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2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Shcomp!$A$6:$JX$6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413" i="20" l="1"/>
  <c r="T413" i="20"/>
  <c r="U413" i="20"/>
  <c r="W413" i="20" s="1"/>
  <c r="V413" i="20"/>
  <c r="Y413" i="20"/>
  <c r="AA413" i="20"/>
  <c r="AC413" i="20"/>
  <c r="AE413" i="20"/>
  <c r="AF413" i="20"/>
  <c r="AG413" i="20"/>
  <c r="AH413" i="20"/>
  <c r="AI413" i="20"/>
  <c r="AJ413" i="20"/>
  <c r="AK413" i="20"/>
  <c r="AL413" i="20"/>
  <c r="AM413" i="20"/>
  <c r="AN413" i="20"/>
  <c r="AO413" i="20"/>
  <c r="AP413" i="20"/>
  <c r="AQ413" i="20"/>
  <c r="AR413" i="20"/>
  <c r="AS413" i="20"/>
  <c r="AT413" i="20"/>
  <c r="AU413" i="20"/>
  <c r="AW413" i="20"/>
  <c r="AY413" i="20"/>
  <c r="AZ413" i="20"/>
  <c r="BA413" i="20"/>
  <c r="BB413" i="20"/>
  <c r="BC413" i="20"/>
  <c r="BD413" i="20"/>
  <c r="B364" i="25"/>
  <c r="D364" i="25"/>
  <c r="M364" i="25"/>
  <c r="K364" i="25"/>
  <c r="I364" i="25"/>
  <c r="L508" i="10"/>
  <c r="M508" i="10"/>
  <c r="I507" i="10"/>
  <c r="C508" i="10"/>
  <c r="D508" i="10"/>
  <c r="E508" i="10" s="1"/>
  <c r="L507" i="9"/>
  <c r="M507" i="9"/>
  <c r="I506" i="9"/>
  <c r="C507" i="9"/>
  <c r="D507" i="9"/>
  <c r="H507" i="9" s="1"/>
  <c r="L507" i="11"/>
  <c r="M507" i="11"/>
  <c r="I506" i="11"/>
  <c r="C507" i="11"/>
  <c r="D507" i="11"/>
  <c r="E507" i="11" s="1"/>
  <c r="L507" i="12"/>
  <c r="M507" i="12"/>
  <c r="I506" i="12"/>
  <c r="C507" i="12"/>
  <c r="D507" i="12"/>
  <c r="G507" i="12" s="1"/>
  <c r="L501" i="8"/>
  <c r="M501" i="8"/>
  <c r="I501" i="8"/>
  <c r="G501" i="8"/>
  <c r="C501" i="8"/>
  <c r="D501" i="8"/>
  <c r="E501" i="8" s="1"/>
  <c r="H501" i="8" s="1"/>
  <c r="L501" i="7"/>
  <c r="D501" i="7" s="1"/>
  <c r="M501" i="7"/>
  <c r="I501" i="7"/>
  <c r="C501" i="7"/>
  <c r="L500" i="6"/>
  <c r="D500" i="6" s="1"/>
  <c r="M500" i="6"/>
  <c r="I500" i="6"/>
  <c r="C500" i="6"/>
  <c r="L501" i="5"/>
  <c r="M501" i="5"/>
  <c r="I500" i="5"/>
  <c r="C501" i="5"/>
  <c r="D501" i="5"/>
  <c r="E501" i="5" s="1"/>
  <c r="AX413" i="20" l="1"/>
  <c r="AD413" i="20"/>
  <c r="Z413" i="20"/>
  <c r="AV413" i="20"/>
  <c r="AB413" i="20"/>
  <c r="X413" i="20"/>
  <c r="G508" i="10"/>
  <c r="H508" i="10"/>
  <c r="E507" i="9"/>
  <c r="G507" i="9"/>
  <c r="G507" i="11"/>
  <c r="H507" i="11"/>
  <c r="E501" i="7"/>
  <c r="G501" i="7"/>
  <c r="H501" i="7"/>
  <c r="E500" i="6"/>
  <c r="H500" i="6"/>
  <c r="G500" i="6"/>
  <c r="G501" i="5"/>
  <c r="H501" i="5"/>
  <c r="S412" i="20"/>
  <c r="T412" i="20"/>
  <c r="U412" i="20"/>
  <c r="W412" i="20" s="1"/>
  <c r="V412" i="20"/>
  <c r="Y412" i="20"/>
  <c r="AA412" i="20"/>
  <c r="AC412" i="20"/>
  <c r="AE412" i="20"/>
  <c r="AF412" i="20"/>
  <c r="AG412" i="20"/>
  <c r="AH412" i="20"/>
  <c r="AI412" i="20"/>
  <c r="AJ412" i="20"/>
  <c r="AK412" i="20"/>
  <c r="AL412" i="20"/>
  <c r="AM412" i="20"/>
  <c r="AN412" i="20"/>
  <c r="AO412" i="20"/>
  <c r="AP412" i="20"/>
  <c r="AQ412" i="20"/>
  <c r="AR412" i="20"/>
  <c r="AS412" i="20"/>
  <c r="AT412" i="20"/>
  <c r="AU412" i="20"/>
  <c r="AW412" i="20"/>
  <c r="AY412" i="20"/>
  <c r="AZ412" i="20"/>
  <c r="BA412" i="20"/>
  <c r="BB412" i="20"/>
  <c r="BC412" i="20"/>
  <c r="BD412" i="20"/>
  <c r="B363" i="25"/>
  <c r="D363" i="25"/>
  <c r="M363" i="25"/>
  <c r="K363" i="25"/>
  <c r="I363" i="25"/>
  <c r="L507" i="10"/>
  <c r="D507" i="10" s="1"/>
  <c r="M507" i="10"/>
  <c r="I506" i="10"/>
  <c r="C507" i="10"/>
  <c r="L506" i="9"/>
  <c r="M506" i="9"/>
  <c r="I505" i="9"/>
  <c r="C506" i="9"/>
  <c r="D506" i="9"/>
  <c r="E506" i="9" s="1"/>
  <c r="L506" i="11"/>
  <c r="D506" i="11" s="1"/>
  <c r="M506" i="11"/>
  <c r="I505" i="11"/>
  <c r="C506" i="11"/>
  <c r="L506" i="12"/>
  <c r="M506" i="12"/>
  <c r="I505" i="12"/>
  <c r="C506" i="12"/>
  <c r="D506" i="12"/>
  <c r="G506" i="12" s="1"/>
  <c r="L500" i="8"/>
  <c r="D500" i="8" s="1"/>
  <c r="M500" i="8"/>
  <c r="I500" i="8"/>
  <c r="C500" i="8"/>
  <c r="L500" i="7"/>
  <c r="D500" i="7" s="1"/>
  <c r="M500" i="7"/>
  <c r="I500" i="7"/>
  <c r="C500" i="7"/>
  <c r="L499" i="6"/>
  <c r="D499" i="6" s="1"/>
  <c r="M499" i="6"/>
  <c r="I499" i="6"/>
  <c r="C499" i="6"/>
  <c r="L500" i="5"/>
  <c r="D500" i="5" s="1"/>
  <c r="M500" i="5"/>
  <c r="I499" i="5"/>
  <c r="C500" i="5"/>
  <c r="AV412" i="20" l="1"/>
  <c r="X412" i="20"/>
  <c r="AX412" i="20"/>
  <c r="AD412" i="20"/>
  <c r="Z412" i="20"/>
  <c r="AB412" i="20"/>
  <c r="E507" i="10"/>
  <c r="H507" i="10"/>
  <c r="G507" i="10"/>
  <c r="G506" i="9"/>
  <c r="H506" i="9"/>
  <c r="E506" i="11"/>
  <c r="H506" i="11"/>
  <c r="G506" i="11"/>
  <c r="G500" i="8"/>
  <c r="E500" i="8"/>
  <c r="H500" i="8" s="1"/>
  <c r="E500" i="7"/>
  <c r="G500" i="7"/>
  <c r="H500" i="7"/>
  <c r="G499" i="6"/>
  <c r="E499" i="6"/>
  <c r="H499" i="6"/>
  <c r="E500" i="5"/>
  <c r="H500" i="5"/>
  <c r="G500" i="5"/>
  <c r="S411" i="20"/>
  <c r="T411" i="20"/>
  <c r="U411" i="20"/>
  <c r="X411" i="20" s="1"/>
  <c r="V411" i="20"/>
  <c r="Y411" i="20"/>
  <c r="AA411" i="20"/>
  <c r="AC411" i="20"/>
  <c r="AE411" i="20"/>
  <c r="AF411" i="20"/>
  <c r="AG411" i="20"/>
  <c r="AH411" i="20"/>
  <c r="AI411" i="20"/>
  <c r="AJ411" i="20"/>
  <c r="AK411" i="20"/>
  <c r="AL411" i="20"/>
  <c r="AM411" i="20"/>
  <c r="AN411" i="20"/>
  <c r="AO411" i="20"/>
  <c r="AP411" i="20"/>
  <c r="AQ411" i="20"/>
  <c r="AR411" i="20"/>
  <c r="AS411" i="20"/>
  <c r="AT411" i="20"/>
  <c r="AU411" i="20"/>
  <c r="AW411" i="20"/>
  <c r="AY411" i="20"/>
  <c r="AZ411" i="20"/>
  <c r="BA411" i="20"/>
  <c r="BB411" i="20"/>
  <c r="BC411" i="20"/>
  <c r="BD411" i="20"/>
  <c r="B362" i="25"/>
  <c r="D362" i="25"/>
  <c r="M362" i="25"/>
  <c r="K362" i="25"/>
  <c r="I362" i="25"/>
  <c r="L506" i="10"/>
  <c r="M506" i="10"/>
  <c r="I505" i="10"/>
  <c r="G506" i="10"/>
  <c r="C506" i="10"/>
  <c r="D506" i="10"/>
  <c r="E506" i="10" s="1"/>
  <c r="L505" i="9"/>
  <c r="M505" i="9"/>
  <c r="I504" i="9"/>
  <c r="C505" i="9"/>
  <c r="D505" i="9"/>
  <c r="E505" i="9" s="1"/>
  <c r="L505" i="11"/>
  <c r="M505" i="11"/>
  <c r="I504" i="11"/>
  <c r="C505" i="11"/>
  <c r="D505" i="11"/>
  <c r="E505" i="11" s="1"/>
  <c r="L505" i="12"/>
  <c r="M505" i="12"/>
  <c r="I504" i="12"/>
  <c r="C505" i="12"/>
  <c r="D505" i="12"/>
  <c r="G505" i="12" s="1"/>
  <c r="L499" i="8"/>
  <c r="M499" i="8"/>
  <c r="I499" i="8"/>
  <c r="C499" i="8"/>
  <c r="D499" i="8"/>
  <c r="E499" i="8" s="1"/>
  <c r="H499" i="8" s="1"/>
  <c r="L499" i="7"/>
  <c r="M499" i="7"/>
  <c r="I499" i="7"/>
  <c r="C499" i="7"/>
  <c r="D499" i="7"/>
  <c r="H499" i="7" s="1"/>
  <c r="L498" i="6"/>
  <c r="M498" i="6"/>
  <c r="I498" i="6"/>
  <c r="C498" i="6"/>
  <c r="D498" i="6"/>
  <c r="E498" i="6" s="1"/>
  <c r="L499" i="5"/>
  <c r="M499" i="5"/>
  <c r="I498" i="5"/>
  <c r="C499" i="5"/>
  <c r="D499" i="5"/>
  <c r="E499" i="5" s="1"/>
  <c r="W411" i="20" l="1"/>
  <c r="AX411" i="20"/>
  <c r="AD411" i="20"/>
  <c r="Z411" i="20"/>
  <c r="AV411" i="20"/>
  <c r="AB411" i="20"/>
  <c r="H506" i="10"/>
  <c r="G505" i="9"/>
  <c r="H505" i="9"/>
  <c r="H505" i="11"/>
  <c r="G505" i="11"/>
  <c r="G499" i="8"/>
  <c r="E499" i="7"/>
  <c r="G499" i="7"/>
  <c r="G498" i="6"/>
  <c r="H498" i="6"/>
  <c r="G499" i="5"/>
  <c r="H499" i="5"/>
  <c r="S410" i="20"/>
  <c r="T410" i="20"/>
  <c r="U410" i="20"/>
  <c r="W410" i="20" s="1"/>
  <c r="V410" i="20"/>
  <c r="Y410" i="20"/>
  <c r="AA410" i="20"/>
  <c r="AC410" i="20"/>
  <c r="AE410" i="20"/>
  <c r="AF410" i="20"/>
  <c r="AG410" i="20"/>
  <c r="AH410" i="20"/>
  <c r="AI410" i="20"/>
  <c r="AJ410" i="20"/>
  <c r="AK410" i="20"/>
  <c r="AL410" i="20"/>
  <c r="AM410" i="20"/>
  <c r="AN410" i="20"/>
  <c r="AO410" i="20"/>
  <c r="AP410" i="20"/>
  <c r="AQ410" i="20"/>
  <c r="AR410" i="20"/>
  <c r="AS410" i="20"/>
  <c r="AT410" i="20"/>
  <c r="AU410" i="20"/>
  <c r="AW410" i="20"/>
  <c r="AY410" i="20"/>
  <c r="AZ410" i="20"/>
  <c r="BA410" i="20"/>
  <c r="BB410" i="20"/>
  <c r="BC410" i="20"/>
  <c r="BD410" i="20"/>
  <c r="B361" i="25"/>
  <c r="D361" i="25"/>
  <c r="M361" i="25"/>
  <c r="K361" i="25"/>
  <c r="I361" i="25"/>
  <c r="L505" i="10"/>
  <c r="M505" i="10"/>
  <c r="I504" i="10"/>
  <c r="C505" i="10"/>
  <c r="D505" i="10"/>
  <c r="E505" i="10" s="1"/>
  <c r="L504" i="9"/>
  <c r="M504" i="9"/>
  <c r="I503" i="9"/>
  <c r="C504" i="9"/>
  <c r="D504" i="9"/>
  <c r="E504" i="9" s="1"/>
  <c r="L504" i="11"/>
  <c r="D504" i="11" s="1"/>
  <c r="M504" i="11"/>
  <c r="I503" i="11"/>
  <c r="C504" i="11"/>
  <c r="L504" i="12"/>
  <c r="M504" i="12"/>
  <c r="I503" i="12"/>
  <c r="C504" i="12"/>
  <c r="D504" i="12"/>
  <c r="G504" i="12" s="1"/>
  <c r="L498" i="8"/>
  <c r="M498" i="8"/>
  <c r="I498" i="8"/>
  <c r="C498" i="8"/>
  <c r="D498" i="8"/>
  <c r="E498" i="8" s="1"/>
  <c r="H498" i="8" s="1"/>
  <c r="L498" i="7"/>
  <c r="M498" i="7"/>
  <c r="I498" i="7"/>
  <c r="C498" i="7"/>
  <c r="D498" i="7"/>
  <c r="E498" i="7" s="1"/>
  <c r="L497" i="6"/>
  <c r="M497" i="6"/>
  <c r="I497" i="6"/>
  <c r="G497" i="6"/>
  <c r="C497" i="6"/>
  <c r="D497" i="6"/>
  <c r="H497" i="6" s="1"/>
  <c r="E497" i="6"/>
  <c r="L498" i="5"/>
  <c r="M498" i="5"/>
  <c r="I497" i="5"/>
  <c r="C498" i="5"/>
  <c r="D498" i="5"/>
  <c r="E498" i="5" s="1"/>
  <c r="AX410" i="20" l="1"/>
  <c r="AD410" i="20"/>
  <c r="Z410" i="20"/>
  <c r="AV410" i="20"/>
  <c r="AB410" i="20"/>
  <c r="X410" i="20"/>
  <c r="G505" i="10"/>
  <c r="H505" i="10"/>
  <c r="G504" i="9"/>
  <c r="H504" i="9"/>
  <c r="G504" i="11"/>
  <c r="E504" i="11"/>
  <c r="H504" i="11"/>
  <c r="G498" i="8"/>
  <c r="H498" i="7"/>
  <c r="G498" i="7"/>
  <c r="G498" i="5"/>
  <c r="H498" i="5"/>
  <c r="BD409" i="20"/>
  <c r="B360" i="25"/>
  <c r="D360" i="25"/>
  <c r="M360" i="25"/>
  <c r="K360" i="25"/>
  <c r="I360" i="25"/>
  <c r="L504" i="10"/>
  <c r="M504" i="10"/>
  <c r="C504" i="10"/>
  <c r="L503" i="9"/>
  <c r="M503" i="9"/>
  <c r="C503" i="9"/>
  <c r="L503" i="11"/>
  <c r="M503" i="11"/>
  <c r="C503" i="11"/>
  <c r="L503" i="12"/>
  <c r="M503" i="12"/>
  <c r="C503" i="12"/>
  <c r="L497" i="8"/>
  <c r="M497" i="8"/>
  <c r="I497" i="8"/>
  <c r="C497" i="8"/>
  <c r="L497" i="7"/>
  <c r="M497" i="7"/>
  <c r="I497" i="7"/>
  <c r="C497" i="7"/>
  <c r="L496" i="6"/>
  <c r="M496" i="6"/>
  <c r="I496" i="6"/>
  <c r="C496" i="6"/>
  <c r="L497" i="5"/>
  <c r="M497" i="5"/>
  <c r="I496" i="5"/>
  <c r="C497" i="5"/>
  <c r="D504" i="10" l="1"/>
  <c r="D503" i="9"/>
  <c r="D503" i="11"/>
  <c r="D503" i="12"/>
  <c r="G503" i="12" s="1"/>
  <c r="D497" i="8"/>
  <c r="D497" i="7"/>
  <c r="D496" i="6"/>
  <c r="D497" i="5"/>
  <c r="H504" i="10" l="1"/>
  <c r="G504" i="10"/>
  <c r="E504" i="10"/>
  <c r="E503" i="9"/>
  <c r="G503" i="9"/>
  <c r="H503" i="9"/>
  <c r="E503" i="11"/>
  <c r="G503" i="11"/>
  <c r="H503" i="11"/>
  <c r="E497" i="8"/>
  <c r="H497" i="8" s="1"/>
  <c r="G497" i="8"/>
  <c r="E497" i="7"/>
  <c r="H497" i="7"/>
  <c r="G497" i="7"/>
  <c r="E496" i="6"/>
  <c r="G496" i="6"/>
  <c r="H496" i="6"/>
  <c r="E497" i="5"/>
  <c r="G497" i="5"/>
  <c r="H497" i="5"/>
  <c r="B414" i="20"/>
  <c r="B413" i="20"/>
  <c r="B412" i="20"/>
  <c r="B411" i="20"/>
  <c r="B410" i="20"/>
  <c r="S409" i="20"/>
  <c r="T409" i="20"/>
  <c r="U409" i="20"/>
  <c r="X409" i="20" s="1"/>
  <c r="V409" i="20"/>
  <c r="Y409" i="20" s="1"/>
  <c r="AA409" i="20"/>
  <c r="AF409" i="20"/>
  <c r="AG409" i="20"/>
  <c r="AH409" i="20"/>
  <c r="AI409" i="20"/>
  <c r="AJ409" i="20"/>
  <c r="AK409" i="20"/>
  <c r="AL409" i="20"/>
  <c r="AM409" i="20"/>
  <c r="AN409" i="20"/>
  <c r="AO409" i="20"/>
  <c r="AP409" i="20"/>
  <c r="AQ409" i="20"/>
  <c r="AR409" i="20"/>
  <c r="AS409" i="20"/>
  <c r="AT409" i="20"/>
  <c r="AU409" i="20"/>
  <c r="AW409" i="20"/>
  <c r="AY409" i="20"/>
  <c r="AZ409" i="20"/>
  <c r="BA409" i="20"/>
  <c r="BB409" i="20"/>
  <c r="BC409" i="20"/>
  <c r="I503" i="10"/>
  <c r="I502" i="9"/>
  <c r="I502" i="11"/>
  <c r="I502" i="12"/>
  <c r="AE409" i="20" l="1"/>
  <c r="AC409" i="20"/>
  <c r="AV409" i="20"/>
  <c r="W409" i="20"/>
  <c r="AX409" i="20"/>
  <c r="AD409" i="20"/>
  <c r="Z409" i="20"/>
  <c r="AB409" i="20"/>
  <c r="S408" i="20"/>
  <c r="T408" i="20"/>
  <c r="U408" i="20"/>
  <c r="W408" i="20" s="1"/>
  <c r="V408" i="20"/>
  <c r="Y408" i="20"/>
  <c r="AA408" i="20"/>
  <c r="AC408" i="20"/>
  <c r="AE408" i="20"/>
  <c r="AF408" i="20"/>
  <c r="AG408" i="20"/>
  <c r="AH408" i="20"/>
  <c r="AI408" i="20"/>
  <c r="AJ408" i="20"/>
  <c r="AK408" i="20"/>
  <c r="AL408" i="20"/>
  <c r="AM408" i="20"/>
  <c r="AN408" i="20"/>
  <c r="AO408" i="20"/>
  <c r="AP408" i="20"/>
  <c r="AQ408" i="20"/>
  <c r="AR408" i="20"/>
  <c r="AS408" i="20"/>
  <c r="AT408" i="20"/>
  <c r="AU408" i="20"/>
  <c r="AW408" i="20"/>
  <c r="AY408" i="20"/>
  <c r="AZ408" i="20"/>
  <c r="BA408" i="20"/>
  <c r="BB408" i="20"/>
  <c r="BC408" i="20"/>
  <c r="BD408" i="20"/>
  <c r="B359" i="25"/>
  <c r="D359" i="25"/>
  <c r="M359" i="25"/>
  <c r="K359" i="25"/>
  <c r="I359" i="25"/>
  <c r="L503" i="10"/>
  <c r="D503" i="10" s="1"/>
  <c r="M503" i="10"/>
  <c r="I502" i="10"/>
  <c r="C503" i="10"/>
  <c r="L502" i="9"/>
  <c r="D502" i="9" s="1"/>
  <c r="M502" i="9"/>
  <c r="I501" i="9"/>
  <c r="C502" i="9"/>
  <c r="L502" i="11"/>
  <c r="D502" i="11" s="1"/>
  <c r="M502" i="11"/>
  <c r="I501" i="11"/>
  <c r="C502" i="11"/>
  <c r="L502" i="12"/>
  <c r="M502" i="12"/>
  <c r="I501" i="12"/>
  <c r="C502" i="12"/>
  <c r="D502" i="12"/>
  <c r="G502" i="12" s="1"/>
  <c r="L496" i="8"/>
  <c r="D496" i="8" s="1"/>
  <c r="M496" i="8"/>
  <c r="I496" i="8"/>
  <c r="C496" i="8"/>
  <c r="L496" i="7"/>
  <c r="M496" i="7"/>
  <c r="I496" i="7"/>
  <c r="C496" i="7"/>
  <c r="D496" i="7"/>
  <c r="E496" i="7" s="1"/>
  <c r="L495" i="6"/>
  <c r="M495" i="6"/>
  <c r="I495" i="6"/>
  <c r="C495" i="6"/>
  <c r="D495" i="6"/>
  <c r="E495" i="6" s="1"/>
  <c r="L496" i="5"/>
  <c r="D496" i="5" s="1"/>
  <c r="M496" i="5"/>
  <c r="I495" i="5"/>
  <c r="C496" i="5"/>
  <c r="X408" i="20" l="1"/>
  <c r="AX408" i="20"/>
  <c r="AD408" i="20"/>
  <c r="Z408" i="20"/>
  <c r="AV408" i="20"/>
  <c r="AB408" i="20"/>
  <c r="E503" i="10"/>
  <c r="H503" i="10"/>
  <c r="G503" i="10"/>
  <c r="E502" i="9"/>
  <c r="G502" i="9"/>
  <c r="H502" i="9"/>
  <c r="E502" i="11"/>
  <c r="H502" i="11"/>
  <c r="G502" i="11"/>
  <c r="E496" i="8"/>
  <c r="H496" i="8" s="1"/>
  <c r="G496" i="8"/>
  <c r="G496" i="7"/>
  <c r="H496" i="7"/>
  <c r="G495" i="6"/>
  <c r="H495" i="6"/>
  <c r="E496" i="5"/>
  <c r="H496" i="5"/>
  <c r="G496" i="5"/>
  <c r="S407" i="20"/>
  <c r="T407" i="20"/>
  <c r="U407" i="20"/>
  <c r="X407" i="20" s="1"/>
  <c r="V407" i="20"/>
  <c r="Y407" i="20"/>
  <c r="AA407" i="20"/>
  <c r="AC407" i="20"/>
  <c r="AE407" i="20"/>
  <c r="AF407" i="20"/>
  <c r="AG407" i="20"/>
  <c r="AH407" i="20"/>
  <c r="AI407" i="20"/>
  <c r="AJ407" i="20"/>
  <c r="AK407" i="20"/>
  <c r="AL407" i="20"/>
  <c r="AM407" i="20"/>
  <c r="AN407" i="20"/>
  <c r="AO407" i="20"/>
  <c r="AP407" i="20"/>
  <c r="AQ407" i="20"/>
  <c r="AR407" i="20"/>
  <c r="AS407" i="20"/>
  <c r="AT407" i="20"/>
  <c r="AU407" i="20"/>
  <c r="AW407" i="20"/>
  <c r="AY407" i="20"/>
  <c r="AZ407" i="20"/>
  <c r="BA407" i="20"/>
  <c r="BB407" i="20"/>
  <c r="BC407" i="20"/>
  <c r="BD407" i="20"/>
  <c r="B358" i="25"/>
  <c r="D358" i="25"/>
  <c r="M358" i="25"/>
  <c r="K358" i="25"/>
  <c r="I358" i="25"/>
  <c r="L502" i="10"/>
  <c r="D502" i="10" s="1"/>
  <c r="M502" i="10"/>
  <c r="I501" i="10"/>
  <c r="C502" i="10"/>
  <c r="L501" i="9"/>
  <c r="D501" i="9" s="1"/>
  <c r="M501" i="9"/>
  <c r="I500" i="9"/>
  <c r="C501" i="9"/>
  <c r="L501" i="11"/>
  <c r="D501" i="11" s="1"/>
  <c r="M501" i="11"/>
  <c r="I500" i="11"/>
  <c r="C501" i="11"/>
  <c r="L501" i="12"/>
  <c r="M501" i="12"/>
  <c r="I500" i="12"/>
  <c r="C501" i="12"/>
  <c r="D501" i="12"/>
  <c r="G501" i="12" s="1"/>
  <c r="L495" i="8"/>
  <c r="M495" i="8"/>
  <c r="I495" i="8"/>
  <c r="C495" i="8"/>
  <c r="D495" i="8"/>
  <c r="G495" i="8" s="1"/>
  <c r="L495" i="7"/>
  <c r="M495" i="7"/>
  <c r="I495" i="7"/>
  <c r="C495" i="7"/>
  <c r="D495" i="7"/>
  <c r="H495" i="7" s="1"/>
  <c r="L494" i="6"/>
  <c r="M494" i="6"/>
  <c r="I494" i="6"/>
  <c r="C494" i="6"/>
  <c r="D494" i="6"/>
  <c r="H494" i="6" s="1"/>
  <c r="E494" i="6"/>
  <c r="L495" i="5"/>
  <c r="M495" i="5"/>
  <c r="I494" i="5"/>
  <c r="C495" i="5"/>
  <c r="D495" i="5"/>
  <c r="E495" i="5" s="1"/>
  <c r="AB407" i="20" l="1"/>
  <c r="W407" i="20"/>
  <c r="AX407" i="20"/>
  <c r="AD407" i="20"/>
  <c r="Z407" i="20"/>
  <c r="AV407" i="20"/>
  <c r="E502" i="10"/>
  <c r="H502" i="10"/>
  <c r="G502" i="10"/>
  <c r="E501" i="9"/>
  <c r="H501" i="9"/>
  <c r="G501" i="9"/>
  <c r="E501" i="11"/>
  <c r="H501" i="11"/>
  <c r="G501" i="11"/>
  <c r="E495" i="8"/>
  <c r="H495" i="8" s="1"/>
  <c r="E495" i="7"/>
  <c r="G495" i="7"/>
  <c r="G494" i="6"/>
  <c r="G495" i="5"/>
  <c r="H495" i="5"/>
  <c r="S406" i="20"/>
  <c r="U406" i="20"/>
  <c r="W406" i="20" s="1"/>
  <c r="V406" i="20"/>
  <c r="Y406" i="20"/>
  <c r="AA406" i="20"/>
  <c r="AC406" i="20"/>
  <c r="AE406" i="20"/>
  <c r="AF406" i="20"/>
  <c r="AG406" i="20"/>
  <c r="AH406" i="20"/>
  <c r="AI406" i="20"/>
  <c r="AJ406" i="20"/>
  <c r="AK406" i="20"/>
  <c r="AL406" i="20"/>
  <c r="AM406" i="20"/>
  <c r="AN406" i="20"/>
  <c r="AO406" i="20"/>
  <c r="AP406" i="20"/>
  <c r="AQ406" i="20"/>
  <c r="AR406" i="20"/>
  <c r="AS406" i="20"/>
  <c r="AT406" i="20"/>
  <c r="AU406" i="20"/>
  <c r="AW406" i="20"/>
  <c r="AY406" i="20"/>
  <c r="AZ406" i="20"/>
  <c r="B357" i="25"/>
  <c r="D357" i="25"/>
  <c r="M357" i="25"/>
  <c r="K357" i="25"/>
  <c r="I357" i="25"/>
  <c r="L501" i="10"/>
  <c r="M501" i="10"/>
  <c r="I500" i="10"/>
  <c r="C501" i="10"/>
  <c r="D501" i="10"/>
  <c r="E501" i="10" s="1"/>
  <c r="L500" i="9"/>
  <c r="M500" i="9"/>
  <c r="I499" i="9"/>
  <c r="C500" i="9"/>
  <c r="D500" i="9"/>
  <c r="E500" i="9" s="1"/>
  <c r="L500" i="11"/>
  <c r="M500" i="11"/>
  <c r="I499" i="11"/>
  <c r="C500" i="11"/>
  <c r="D500" i="11"/>
  <c r="E500" i="11" s="1"/>
  <c r="L500" i="12"/>
  <c r="M500" i="12"/>
  <c r="I499" i="12"/>
  <c r="C500" i="12"/>
  <c r="D500" i="12"/>
  <c r="G500" i="12" s="1"/>
  <c r="L494" i="8"/>
  <c r="D494" i="8" s="1"/>
  <c r="M494" i="8"/>
  <c r="I494" i="8"/>
  <c r="C494" i="8"/>
  <c r="L494" i="7"/>
  <c r="M494" i="7"/>
  <c r="I494" i="7"/>
  <c r="C494" i="7"/>
  <c r="D494" i="7"/>
  <c r="E494" i="7" s="1"/>
  <c r="L493" i="6"/>
  <c r="M493" i="6"/>
  <c r="I493" i="6"/>
  <c r="C493" i="6"/>
  <c r="D493" i="6"/>
  <c r="E493" i="6" s="1"/>
  <c r="L494" i="5"/>
  <c r="M494" i="5"/>
  <c r="I493" i="5"/>
  <c r="C494" i="5"/>
  <c r="D494" i="5"/>
  <c r="E494" i="5" s="1"/>
  <c r="AV406" i="20" l="1"/>
  <c r="AB406" i="20"/>
  <c r="X406" i="20"/>
  <c r="AX406" i="20"/>
  <c r="AD406" i="20"/>
  <c r="Z406" i="20"/>
  <c r="G501" i="10"/>
  <c r="H501" i="10"/>
  <c r="G500" i="9"/>
  <c r="H500" i="9"/>
  <c r="G500" i="11"/>
  <c r="H500" i="11"/>
  <c r="E494" i="8"/>
  <c r="H494" i="8" s="1"/>
  <c r="G494" i="8"/>
  <c r="G494" i="7"/>
  <c r="H494" i="7"/>
  <c r="G493" i="6"/>
  <c r="H493" i="6"/>
  <c r="G494" i="5"/>
  <c r="H494" i="5"/>
  <c r="B356" i="25"/>
  <c r="D356" i="25"/>
  <c r="L500" i="10"/>
  <c r="M500" i="10"/>
  <c r="C500" i="10"/>
  <c r="L499" i="9"/>
  <c r="M499" i="9"/>
  <c r="C499" i="9"/>
  <c r="L499" i="11"/>
  <c r="M499" i="11"/>
  <c r="C499" i="11"/>
  <c r="L499" i="12"/>
  <c r="M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E500" i="10" l="1"/>
  <c r="G500" i="10"/>
  <c r="H500" i="10"/>
  <c r="G499" i="9"/>
  <c r="H499" i="9"/>
  <c r="E499" i="9"/>
  <c r="E499" i="11"/>
  <c r="G499" i="11"/>
  <c r="H499" i="11"/>
  <c r="G493" i="8"/>
  <c r="E493" i="8"/>
  <c r="H493" i="8" s="1"/>
  <c r="E493" i="7"/>
  <c r="G493" i="7"/>
  <c r="H493" i="7"/>
  <c r="E492" i="6"/>
  <c r="G492" i="6"/>
  <c r="H492" i="6"/>
  <c r="E493" i="5"/>
  <c r="H493" i="5"/>
  <c r="G493" i="5"/>
  <c r="B406" i="20"/>
  <c r="B407" i="20"/>
  <c r="B408" i="20"/>
  <c r="B409" i="20"/>
  <c r="S405" i="20"/>
  <c r="T406" i="20" s="1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BC406" i="20" s="1"/>
  <c r="AT405" i="20"/>
  <c r="AU405" i="20"/>
  <c r="AW405" i="20"/>
  <c r="AY405" i="20"/>
  <c r="AZ405" i="20"/>
  <c r="I499" i="10"/>
  <c r="I498" i="9"/>
  <c r="I498" i="11"/>
  <c r="I498" i="12"/>
  <c r="BB406" i="20" l="1"/>
  <c r="BD406" i="20"/>
  <c r="Y405" i="20"/>
  <c r="AE405" i="20"/>
  <c r="AV405" i="20"/>
  <c r="BA406" i="20" s="1"/>
  <c r="W405" i="20"/>
  <c r="AX405" i="20"/>
  <c r="AD405" i="20"/>
  <c r="Z405" i="20"/>
  <c r="X405" i="20"/>
  <c r="I491" i="8"/>
  <c r="I492" i="8"/>
  <c r="I490" i="8"/>
  <c r="S404" i="20"/>
  <c r="T405" i="20" s="1"/>
  <c r="U404" i="20"/>
  <c r="V404" i="20"/>
  <c r="W404" i="20" s="1"/>
  <c r="X404" i="20"/>
  <c r="Z404" i="20"/>
  <c r="AA404" i="20"/>
  <c r="AB404" i="20"/>
  <c r="AD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BC405" i="20" s="1"/>
  <c r="AT404" i="20"/>
  <c r="AU404" i="20"/>
  <c r="AW404" i="20"/>
  <c r="AY404" i="20"/>
  <c r="AZ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M498" i="12"/>
  <c r="I497" i="12"/>
  <c r="C498" i="12"/>
  <c r="D498" i="12"/>
  <c r="G498" i="12" s="1"/>
  <c r="L492" i="8"/>
  <c r="M492" i="8"/>
  <c r="C492" i="8"/>
  <c r="D492" i="8"/>
  <c r="E492" i="8" s="1"/>
  <c r="H492" i="8" s="1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AX404" i="20" l="1"/>
  <c r="BD405" i="20"/>
  <c r="BB405" i="20"/>
  <c r="AC404" i="20"/>
  <c r="Y404" i="20"/>
  <c r="AV404" i="20"/>
  <c r="BA405" i="20" s="1"/>
  <c r="AE404" i="20"/>
  <c r="E499" i="10"/>
  <c r="H499" i="10"/>
  <c r="G499" i="10"/>
  <c r="E498" i="9"/>
  <c r="H498" i="9"/>
  <c r="G498" i="9"/>
  <c r="E498" i="11"/>
  <c r="G498" i="11"/>
  <c r="H498" i="11"/>
  <c r="G492" i="8"/>
  <c r="E492" i="7"/>
  <c r="G492" i="7"/>
  <c r="H492" i="7"/>
  <c r="E491" i="6"/>
  <c r="G491" i="6"/>
  <c r="H491" i="6"/>
  <c r="E492" i="5"/>
  <c r="G492" i="5"/>
  <c r="H492" i="5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M491" i="5"/>
  <c r="I488" i="5"/>
  <c r="C491" i="5"/>
  <c r="A1" i="27"/>
  <c r="I490" i="5"/>
  <c r="I489" i="6"/>
  <c r="I490" i="7"/>
  <c r="G496" i="12"/>
  <c r="I495" i="11"/>
  <c r="S403" i="20"/>
  <c r="T404" i="20" s="1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BC404" i="20" s="1"/>
  <c r="AT403" i="20"/>
  <c r="AU403" i="20"/>
  <c r="AW403" i="20"/>
  <c r="AY403" i="20"/>
  <c r="AZ403" i="20"/>
  <c r="D498" i="10"/>
  <c r="D497" i="9"/>
  <c r="D497" i="12"/>
  <c r="G497" i="12" s="1"/>
  <c r="D491" i="8"/>
  <c r="D490" i="6"/>
  <c r="G490" i="6" s="1"/>
  <c r="D491" i="5"/>
  <c r="BD404" i="20" l="1"/>
  <c r="BB404" i="20"/>
  <c r="AE403" i="20"/>
  <c r="Y403" i="20"/>
  <c r="Z403" i="20"/>
  <c r="AV403" i="20"/>
  <c r="BA404" i="20" s="1"/>
  <c r="E498" i="10"/>
  <c r="G498" i="10"/>
  <c r="H498" i="10"/>
  <c r="E497" i="9"/>
  <c r="G497" i="9"/>
  <c r="H497" i="9"/>
  <c r="E497" i="11"/>
  <c r="G497" i="11"/>
  <c r="H497" i="11"/>
  <c r="E491" i="8"/>
  <c r="H491" i="8" s="1"/>
  <c r="G491" i="8"/>
  <c r="E491" i="7"/>
  <c r="G491" i="7"/>
  <c r="H491" i="7"/>
  <c r="H490" i="6"/>
  <c r="E490" i="6"/>
  <c r="G491" i="5"/>
  <c r="E491" i="5"/>
  <c r="H491" i="5"/>
  <c r="AB403" i="20"/>
  <c r="X403" i="20"/>
  <c r="W403" i="20"/>
  <c r="AX403" i="20"/>
  <c r="AD403" i="20"/>
  <c r="I489" i="5"/>
  <c r="I488" i="6"/>
  <c r="H490" i="7"/>
  <c r="I489" i="7"/>
  <c r="I489" i="8"/>
  <c r="I495" i="12"/>
  <c r="I495" i="9"/>
  <c r="H497" i="10"/>
  <c r="E497" i="10"/>
  <c r="I496" i="10"/>
  <c r="S402" i="20"/>
  <c r="T403" i="20" s="1"/>
  <c r="U402" i="20"/>
  <c r="W402" i="20" s="1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BC403" i="20" s="1"/>
  <c r="AT402" i="20"/>
  <c r="AU402" i="20"/>
  <c r="AW402" i="20"/>
  <c r="AY402" i="20"/>
  <c r="AZ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L490" i="8"/>
  <c r="D490" i="8" s="1"/>
  <c r="M490" i="8"/>
  <c r="I488" i="8"/>
  <c r="C490" i="8"/>
  <c r="L490" i="7"/>
  <c r="D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BD403" i="20" l="1"/>
  <c r="BB403" i="20"/>
  <c r="AX402" i="20"/>
  <c r="AD402" i="20"/>
  <c r="Z402" i="20"/>
  <c r="AV402" i="20"/>
  <c r="BA403" i="20" s="1"/>
  <c r="AB402" i="20"/>
  <c r="X402" i="20"/>
  <c r="G497" i="10"/>
  <c r="E496" i="9"/>
  <c r="H496" i="9"/>
  <c r="G496" i="9"/>
  <c r="E496" i="11"/>
  <c r="H496" i="11"/>
  <c r="G496" i="11"/>
  <c r="E490" i="8"/>
  <c r="H490" i="8" s="1"/>
  <c r="G490" i="8"/>
  <c r="E490" i="7"/>
  <c r="G490" i="7"/>
  <c r="E489" i="6"/>
  <c r="H489" i="6"/>
  <c r="G489" i="6"/>
  <c r="E490" i="5"/>
  <c r="H490" i="5"/>
  <c r="G490" i="5"/>
  <c r="S401" i="20"/>
  <c r="T402" i="20" s="1"/>
  <c r="U401" i="20"/>
  <c r="X401" i="20" s="1"/>
  <c r="V401" i="20"/>
  <c r="Y401" i="20" s="1"/>
  <c r="AA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BC402" i="20" s="1"/>
  <c r="AT401" i="20"/>
  <c r="AU401" i="20"/>
  <c r="AW401" i="20"/>
  <c r="AY401" i="20"/>
  <c r="AZ401" i="20"/>
  <c r="B352" i="25"/>
  <c r="D352" i="25"/>
  <c r="M352" i="25"/>
  <c r="K352" i="25"/>
  <c r="I352" i="25"/>
  <c r="L496" i="10"/>
  <c r="M496" i="10"/>
  <c r="C496" i="10"/>
  <c r="D496" i="10"/>
  <c r="E496" i="10" s="1"/>
  <c r="L495" i="9"/>
  <c r="M495" i="9"/>
  <c r="C495" i="9"/>
  <c r="D495" i="9"/>
  <c r="E495" i="9" s="1"/>
  <c r="L495" i="11"/>
  <c r="M495" i="11"/>
  <c r="C495" i="11"/>
  <c r="D495" i="11"/>
  <c r="E495" i="11" s="1"/>
  <c r="L495" i="12"/>
  <c r="M495" i="12"/>
  <c r="C495" i="12"/>
  <c r="D495" i="12"/>
  <c r="G495" i="12" s="1"/>
  <c r="L489" i="8"/>
  <c r="M489" i="8"/>
  <c r="C489" i="8"/>
  <c r="D489" i="8"/>
  <c r="G489" i="8" s="1"/>
  <c r="L489" i="7"/>
  <c r="M489" i="7"/>
  <c r="C489" i="7"/>
  <c r="D489" i="7"/>
  <c r="E489" i="7" s="1"/>
  <c r="L488" i="6"/>
  <c r="M488" i="6"/>
  <c r="C488" i="6"/>
  <c r="D488" i="6"/>
  <c r="E488" i="6" s="1"/>
  <c r="L489" i="5"/>
  <c r="M489" i="5"/>
  <c r="C489" i="5"/>
  <c r="D489" i="5"/>
  <c r="E489" i="5" s="1"/>
  <c r="AE401" i="20" l="1"/>
  <c r="AC401" i="20"/>
  <c r="BD402" i="20"/>
  <c r="BB402" i="20"/>
  <c r="G496" i="10"/>
  <c r="AV401" i="20"/>
  <c r="BA402" i="20" s="1"/>
  <c r="W401" i="20"/>
  <c r="AX401" i="20"/>
  <c r="AD401" i="20"/>
  <c r="Z401" i="20"/>
  <c r="AB401" i="20"/>
  <c r="H496" i="10"/>
  <c r="G495" i="9"/>
  <c r="H495" i="9"/>
  <c r="G495" i="11"/>
  <c r="H495" i="11"/>
  <c r="E489" i="8"/>
  <c r="H489" i="8" s="1"/>
  <c r="H489" i="7"/>
  <c r="G489" i="7"/>
  <c r="H488" i="6"/>
  <c r="G488" i="6"/>
  <c r="G489" i="5"/>
  <c r="H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1" i="20" s="1"/>
  <c r="U400" i="20"/>
  <c r="Z400" i="20" s="1"/>
  <c r="V400" i="20"/>
  <c r="Y400" i="20" s="1"/>
  <c r="X400" i="20"/>
  <c r="AA400" i="20"/>
  <c r="AB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BC401" i="20" s="1"/>
  <c r="AT400" i="20"/>
  <c r="AU400" i="20"/>
  <c r="AV400" i="20"/>
  <c r="BA401" i="20" s="1"/>
  <c r="AW400" i="20"/>
  <c r="AY400" i="20"/>
  <c r="AZ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E488" i="7" s="1"/>
  <c r="L487" i="6"/>
  <c r="M487" i="6"/>
  <c r="C487" i="6"/>
  <c r="D487" i="6"/>
  <c r="H487" i="6" s="1"/>
  <c r="L488" i="5"/>
  <c r="M488" i="5"/>
  <c r="C488" i="5"/>
  <c r="D488" i="5"/>
  <c r="E488" i="5" s="1"/>
  <c r="BB401" i="20" l="1"/>
  <c r="BD401" i="20"/>
  <c r="AX400" i="20"/>
  <c r="AD400" i="20"/>
  <c r="AC400" i="20"/>
  <c r="AE400" i="20"/>
  <c r="W400" i="20"/>
  <c r="G495" i="10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1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56" i="6"/>
  <c r="O483" i="6"/>
  <c r="E483" i="6" s="1"/>
  <c r="D487" i="5"/>
  <c r="D486" i="5"/>
  <c r="D485" i="5"/>
  <c r="D484" i="5"/>
  <c r="E484" i="5"/>
  <c r="E485" i="5"/>
  <c r="E486" i="5"/>
  <c r="E487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400" i="20" s="1"/>
  <c r="U399" i="20"/>
  <c r="V399" i="20"/>
  <c r="Y399" i="20" s="1"/>
  <c r="W399" i="20"/>
  <c r="AA399" i="20"/>
  <c r="AB399" i="20"/>
  <c r="AC399" i="20"/>
  <c r="AD399" i="20"/>
  <c r="AE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BC400" i="20" s="1"/>
  <c r="AT399" i="20"/>
  <c r="AU399" i="20"/>
  <c r="AV399" i="20"/>
  <c r="BA400" i="20" s="1"/>
  <c r="AW399" i="20"/>
  <c r="AX399" i="20"/>
  <c r="AY399" i="20"/>
  <c r="AZ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M487" i="8"/>
  <c r="I487" i="8"/>
  <c r="C487" i="8"/>
  <c r="D487" i="8"/>
  <c r="G487" i="8" s="1"/>
  <c r="E487" i="8"/>
  <c r="H487" i="8" s="1"/>
  <c r="L487" i="7"/>
  <c r="M487" i="7"/>
  <c r="I487" i="7"/>
  <c r="C487" i="7"/>
  <c r="D487" i="7"/>
  <c r="E487" i="7" s="1"/>
  <c r="L486" i="6"/>
  <c r="M486" i="6"/>
  <c r="I486" i="6"/>
  <c r="E486" i="6"/>
  <c r="L487" i="5"/>
  <c r="M487" i="5"/>
  <c r="I486" i="5"/>
  <c r="BB400" i="20" l="1"/>
  <c r="BD400" i="20"/>
  <c r="Z399" i="20"/>
  <c r="X399" i="20"/>
  <c r="H494" i="10"/>
  <c r="G494" i="10"/>
  <c r="H493" i="9"/>
  <c r="G493" i="9"/>
  <c r="H493" i="11"/>
  <c r="G493" i="11"/>
  <c r="H487" i="7"/>
  <c r="G487" i="7"/>
  <c r="G486" i="6"/>
  <c r="H486" i="6"/>
  <c r="G487" i="5"/>
  <c r="H487" i="5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M485" i="6"/>
  <c r="I485" i="6"/>
  <c r="L486" i="5"/>
  <c r="M486" i="5"/>
  <c r="I485" i="5"/>
  <c r="S398" i="20" l="1"/>
  <c r="T399" i="20" s="1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BC399" i="20" s="1"/>
  <c r="AT398" i="20"/>
  <c r="AU398" i="20"/>
  <c r="AW398" i="20"/>
  <c r="AY398" i="20"/>
  <c r="AZ398" i="20"/>
  <c r="D493" i="10"/>
  <c r="D492" i="9"/>
  <c r="D492" i="11"/>
  <c r="G492" i="12"/>
  <c r="D486" i="8"/>
  <c r="D486" i="7"/>
  <c r="BD399" i="20" l="1"/>
  <c r="BB399" i="20"/>
  <c r="AE398" i="20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BA399" i="20" s="1"/>
  <c r="X398" i="20"/>
  <c r="W398" i="20"/>
  <c r="AD398" i="20"/>
  <c r="I484" i="5"/>
  <c r="S397" i="20"/>
  <c r="T398" i="20" s="1"/>
  <c r="U397" i="20"/>
  <c r="V397" i="20"/>
  <c r="AC397" i="20" s="1"/>
  <c r="X397" i="20"/>
  <c r="AA397" i="20"/>
  <c r="AB397" i="20"/>
  <c r="AD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BC398" i="20" s="1"/>
  <c r="AT397" i="20"/>
  <c r="AU397" i="20"/>
  <c r="AV397" i="20"/>
  <c r="BA398" i="20" s="1"/>
  <c r="AW397" i="20"/>
  <c r="AY397" i="20"/>
  <c r="AZ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M485" i="8"/>
  <c r="I485" i="8"/>
  <c r="C485" i="8"/>
  <c r="D485" i="8"/>
  <c r="E485" i="8" s="1"/>
  <c r="H485" i="8" s="1"/>
  <c r="L485" i="7"/>
  <c r="M485" i="7"/>
  <c r="I485" i="7"/>
  <c r="C485" i="7"/>
  <c r="D485" i="7"/>
  <c r="E485" i="7" s="1"/>
  <c r="L484" i="6"/>
  <c r="M484" i="6"/>
  <c r="I484" i="6"/>
  <c r="E484" i="6"/>
  <c r="L485" i="5"/>
  <c r="M485" i="5"/>
  <c r="BD398" i="20" l="1"/>
  <c r="BB398" i="20"/>
  <c r="AX397" i="20"/>
  <c r="W397" i="20"/>
  <c r="Z397" i="20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7" i="20" s="1"/>
  <c r="U396" i="20"/>
  <c r="AD396" i="20" s="1"/>
  <c r="V396" i="20"/>
  <c r="AE396" i="20" s="1"/>
  <c r="Y396" i="20"/>
  <c r="Z396" i="20"/>
  <c r="AA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BC397" i="20" s="1"/>
  <c r="AT396" i="20"/>
  <c r="AU396" i="20"/>
  <c r="AV396" i="20"/>
  <c r="BA397" i="20" s="1"/>
  <c r="AW396" i="20"/>
  <c r="AY396" i="20"/>
  <c r="AZ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M490" i="12"/>
  <c r="I489" i="12"/>
  <c r="C490" i="12"/>
  <c r="G490" i="12"/>
  <c r="L484" i="8"/>
  <c r="D484" i="8" s="1"/>
  <c r="M484" i="8"/>
  <c r="I484" i="8"/>
  <c r="C484" i="8"/>
  <c r="L484" i="7"/>
  <c r="M484" i="7"/>
  <c r="I484" i="7"/>
  <c r="C484" i="7"/>
  <c r="D484" i="7"/>
  <c r="E484" i="7" s="1"/>
  <c r="L483" i="6"/>
  <c r="M483" i="6"/>
  <c r="I483" i="6"/>
  <c r="L484" i="5"/>
  <c r="M484" i="5"/>
  <c r="I483" i="5"/>
  <c r="BB397" i="20" l="1"/>
  <c r="BD397" i="20"/>
  <c r="AX396" i="20"/>
  <c r="AB396" i="20"/>
  <c r="X396" i="20"/>
  <c r="W396" i="20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M482" i="6"/>
  <c r="I482" i="6"/>
  <c r="L483" i="5"/>
  <c r="M483" i="5"/>
  <c r="B400" i="20" l="1"/>
  <c r="B399" i="20"/>
  <c r="B398" i="20"/>
  <c r="B397" i="20"/>
  <c r="B396" i="20"/>
  <c r="S395" i="20"/>
  <c r="T396" i="20" s="1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BC396" i="20" s="1"/>
  <c r="AT395" i="20"/>
  <c r="AU395" i="20"/>
  <c r="AW395" i="20"/>
  <c r="AY395" i="20"/>
  <c r="AZ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BB396" i="20" l="1"/>
  <c r="BD396" i="20"/>
  <c r="Z395" i="20"/>
  <c r="AE395" i="20"/>
  <c r="AC395" i="20"/>
  <c r="AB395" i="20"/>
  <c r="AD395" i="20"/>
  <c r="AX395" i="20"/>
  <c r="W395" i="20"/>
  <c r="X395" i="20"/>
  <c r="AV395" i="20"/>
  <c r="BA396" i="20" s="1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5" i="20" s="1"/>
  <c r="U394" i="20"/>
  <c r="X394" i="20" s="1"/>
  <c r="V394" i="20"/>
  <c r="AE394" i="20" s="1"/>
  <c r="AA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BC395" i="20" s="1"/>
  <c r="AT394" i="20"/>
  <c r="AU394" i="20"/>
  <c r="AV394" i="20"/>
  <c r="BA395" i="20" s="1"/>
  <c r="AW394" i="20"/>
  <c r="AY394" i="20"/>
  <c r="AZ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M488" i="12"/>
  <c r="I487" i="12"/>
  <c r="C488" i="12"/>
  <c r="G488" i="12"/>
  <c r="L482" i="8"/>
  <c r="D482" i="8" s="1"/>
  <c r="M482" i="8"/>
  <c r="I482" i="8"/>
  <c r="C482" i="8"/>
  <c r="L482" i="7"/>
  <c r="M482" i="7"/>
  <c r="I482" i="7"/>
  <c r="C482" i="7"/>
  <c r="D482" i="7"/>
  <c r="E482" i="7" s="1"/>
  <c r="L481" i="6"/>
  <c r="M481" i="6"/>
  <c r="I481" i="6"/>
  <c r="E481" i="6"/>
  <c r="L482" i="5"/>
  <c r="M482" i="5"/>
  <c r="I481" i="5"/>
  <c r="D482" i="5"/>
  <c r="E482" i="5" s="1"/>
  <c r="AB394" i="20" l="1"/>
  <c r="BD395" i="20"/>
  <c r="BB395" i="20"/>
  <c r="Z394" i="20"/>
  <c r="W394" i="20"/>
  <c r="AX394" i="20"/>
  <c r="AC394" i="20"/>
  <c r="Y394" i="20"/>
  <c r="H489" i="10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4" i="20" s="1"/>
  <c r="U393" i="20"/>
  <c r="AB393" i="20" s="1"/>
  <c r="V393" i="20"/>
  <c r="AE393" i="20" s="1"/>
  <c r="AA393" i="20"/>
  <c r="AC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BC394" i="20" s="1"/>
  <c r="AT393" i="20"/>
  <c r="AU393" i="20"/>
  <c r="AW393" i="20"/>
  <c r="AY393" i="20"/>
  <c r="AZ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M487" i="12"/>
  <c r="I486" i="12"/>
  <c r="C487" i="12"/>
  <c r="G487" i="12"/>
  <c r="L481" i="8"/>
  <c r="M481" i="8"/>
  <c r="I481" i="8"/>
  <c r="C481" i="8"/>
  <c r="D481" i="8"/>
  <c r="E481" i="8" s="1"/>
  <c r="H481" i="8" s="1"/>
  <c r="L481" i="7"/>
  <c r="M481" i="7"/>
  <c r="I481" i="7"/>
  <c r="C481" i="7"/>
  <c r="D481" i="7"/>
  <c r="L480" i="6"/>
  <c r="M480" i="6"/>
  <c r="I480" i="6"/>
  <c r="L481" i="5"/>
  <c r="D481" i="5" s="1"/>
  <c r="E481" i="5" s="1"/>
  <c r="M481" i="5"/>
  <c r="I480" i="5"/>
  <c r="BB394" i="20" l="1"/>
  <c r="BD394" i="20"/>
  <c r="Y393" i="20"/>
  <c r="E487" i="9"/>
  <c r="E487" i="11"/>
  <c r="E481" i="7"/>
  <c r="E480" i="6"/>
  <c r="AX393" i="20"/>
  <c r="Z393" i="20"/>
  <c r="AV393" i="20"/>
  <c r="BA394" i="20" s="1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3" i="20" s="1"/>
  <c r="U392" i="20"/>
  <c r="V392" i="20"/>
  <c r="Y392" i="20" s="1"/>
  <c r="X392" i="20"/>
  <c r="AA392" i="20"/>
  <c r="AB392" i="20"/>
  <c r="AD392" i="20"/>
  <c r="AE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BC393" i="20" s="1"/>
  <c r="AT392" i="20"/>
  <c r="AU392" i="20"/>
  <c r="AV392" i="20"/>
  <c r="BA393" i="20" s="1"/>
  <c r="AW392" i="20"/>
  <c r="AY392" i="20"/>
  <c r="AZ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M486" i="12"/>
  <c r="I485" i="12"/>
  <c r="C486" i="12"/>
  <c r="G486" i="12"/>
  <c r="L480" i="8"/>
  <c r="M480" i="8"/>
  <c r="I480" i="8"/>
  <c r="C480" i="8"/>
  <c r="D480" i="8"/>
  <c r="E480" i="8" s="1"/>
  <c r="H480" i="8" s="1"/>
  <c r="L480" i="7"/>
  <c r="M480" i="7"/>
  <c r="I480" i="7"/>
  <c r="C480" i="7"/>
  <c r="D480" i="7"/>
  <c r="E480" i="7" s="1"/>
  <c r="L479" i="6"/>
  <c r="M479" i="6"/>
  <c r="I479" i="6"/>
  <c r="E479" i="6"/>
  <c r="L480" i="5"/>
  <c r="D480" i="5" s="1"/>
  <c r="E480" i="5" s="1"/>
  <c r="M480" i="5"/>
  <c r="I479" i="5"/>
  <c r="AC392" i="20" l="1"/>
  <c r="BD393" i="20"/>
  <c r="BB393" i="20"/>
  <c r="W392" i="20"/>
  <c r="AX392" i="20"/>
  <c r="Z392" i="20"/>
  <c r="H487" i="10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2" i="20" s="1"/>
  <c r="U391" i="20"/>
  <c r="AB391" i="20" s="1"/>
  <c r="V391" i="20"/>
  <c r="AE391" i="20" s="1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BC392" i="20" s="1"/>
  <c r="AT391" i="20"/>
  <c r="AU391" i="20"/>
  <c r="AW391" i="20"/>
  <c r="AY391" i="20"/>
  <c r="AZ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M479" i="8"/>
  <c r="I479" i="8"/>
  <c r="C479" i="8"/>
  <c r="D479" i="8"/>
  <c r="E479" i="8" s="1"/>
  <c r="H479" i="8" s="1"/>
  <c r="L479" i="7"/>
  <c r="D479" i="7" s="1"/>
  <c r="M479" i="7"/>
  <c r="I479" i="7"/>
  <c r="C479" i="7"/>
  <c r="L478" i="6"/>
  <c r="M478" i="6"/>
  <c r="I478" i="6"/>
  <c r="E478" i="6"/>
  <c r="L479" i="5"/>
  <c r="D479" i="5" s="1"/>
  <c r="M479" i="5"/>
  <c r="I478" i="5"/>
  <c r="Y391" i="20" l="1"/>
  <c r="BB392" i="20"/>
  <c r="BD392" i="20"/>
  <c r="D485" i="12"/>
  <c r="G485" i="12" s="1"/>
  <c r="AX391" i="20"/>
  <c r="Z391" i="20"/>
  <c r="X391" i="20"/>
  <c r="AV391" i="20"/>
  <c r="BA392" i="20" s="1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M477" i="6"/>
  <c r="I477" i="6"/>
  <c r="L478" i="5"/>
  <c r="M478" i="5"/>
  <c r="B395" i="20" l="1"/>
  <c r="B394" i="20"/>
  <c r="B393" i="20"/>
  <c r="B392" i="20"/>
  <c r="B391" i="20"/>
  <c r="S390" i="20"/>
  <c r="T391" i="20" s="1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BC391" i="20" s="1"/>
  <c r="AT390" i="20"/>
  <c r="AU390" i="20"/>
  <c r="AW390" i="20"/>
  <c r="AY390" i="20"/>
  <c r="AZ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BD391" i="20" l="1"/>
  <c r="BB391" i="20"/>
  <c r="Y390" i="20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BA391" i="20" s="1"/>
  <c r="W390" i="20"/>
  <c r="AD390" i="20"/>
  <c r="I483" i="10"/>
  <c r="S389" i="20"/>
  <c r="T390" i="20" s="1"/>
  <c r="U389" i="20"/>
  <c r="V389" i="20"/>
  <c r="AE389" i="20" s="1"/>
  <c r="AA389" i="20"/>
  <c r="AB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BC390" i="20" s="1"/>
  <c r="AT389" i="20"/>
  <c r="AU389" i="20"/>
  <c r="AV389" i="20"/>
  <c r="BA390" i="20" s="1"/>
  <c r="AW389" i="20"/>
  <c r="AY389" i="20"/>
  <c r="AZ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M476" i="6"/>
  <c r="I476" i="6"/>
  <c r="H476" i="6"/>
  <c r="L477" i="5"/>
  <c r="M477" i="5"/>
  <c r="I476" i="5"/>
  <c r="D477" i="5"/>
  <c r="E477" i="5" s="1"/>
  <c r="AC389" i="20" l="1"/>
  <c r="Y389" i="20"/>
  <c r="BD390" i="20"/>
  <c r="BB390" i="20"/>
  <c r="W389" i="20"/>
  <c r="AX389" i="20"/>
  <c r="AD389" i="20"/>
  <c r="Z389" i="20"/>
  <c r="E484" i="10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9" i="20" s="1"/>
  <c r="U388" i="20"/>
  <c r="AB388" i="20" s="1"/>
  <c r="V388" i="20"/>
  <c r="AC388" i="20" s="1"/>
  <c r="AA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BC389" i="20" s="1"/>
  <c r="AT388" i="20"/>
  <c r="AU388" i="20"/>
  <c r="AW388" i="20"/>
  <c r="AY388" i="20"/>
  <c r="AZ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M476" i="8"/>
  <c r="I476" i="8"/>
  <c r="C476" i="8"/>
  <c r="D476" i="8"/>
  <c r="E476" i="8" s="1"/>
  <c r="H476" i="8" s="1"/>
  <c r="L476" i="7"/>
  <c r="M476" i="7"/>
  <c r="I476" i="7"/>
  <c r="C476" i="7"/>
  <c r="D476" i="7"/>
  <c r="E476" i="7" s="1"/>
  <c r="L475" i="6"/>
  <c r="M475" i="6"/>
  <c r="I475" i="6"/>
  <c r="E475" i="6"/>
  <c r="L476" i="5"/>
  <c r="D476" i="5" s="1"/>
  <c r="E476" i="5" s="1"/>
  <c r="M476" i="5"/>
  <c r="I475" i="5"/>
  <c r="BB389" i="20" l="1"/>
  <c r="BD389" i="20"/>
  <c r="Y388" i="20"/>
  <c r="AX388" i="20"/>
  <c r="Z388" i="20"/>
  <c r="AV388" i="20"/>
  <c r="BA389" i="20" s="1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8" i="20" s="1"/>
  <c r="U387" i="20"/>
  <c r="AB387" i="20" s="1"/>
  <c r="V387" i="20"/>
  <c r="AE387" i="20" s="1"/>
  <c r="Y387" i="20"/>
  <c r="AA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BC388" i="20" s="1"/>
  <c r="AT387" i="20"/>
  <c r="AU387" i="20"/>
  <c r="AW387" i="20"/>
  <c r="AY387" i="20"/>
  <c r="AZ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M475" i="7"/>
  <c r="I475" i="7"/>
  <c r="G475" i="7"/>
  <c r="C475" i="7"/>
  <c r="D475" i="7"/>
  <c r="E475" i="7" s="1"/>
  <c r="L474" i="6"/>
  <c r="M474" i="6"/>
  <c r="I474" i="6"/>
  <c r="E474" i="6"/>
  <c r="L475" i="5"/>
  <c r="M475" i="5"/>
  <c r="I474" i="5"/>
  <c r="D475" i="5"/>
  <c r="E475" i="5" s="1"/>
  <c r="BD388" i="20" l="1"/>
  <c r="BB388" i="20"/>
  <c r="AC387" i="20"/>
  <c r="H475" i="5"/>
  <c r="AX387" i="20"/>
  <c r="Z387" i="20"/>
  <c r="AV387" i="20"/>
  <c r="BA388" i="20" s="1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7" i="20" s="1"/>
  <c r="U386" i="20"/>
  <c r="AB386" i="20" s="1"/>
  <c r="V386" i="20"/>
  <c r="AE386" i="20" s="1"/>
  <c r="Y386" i="20"/>
  <c r="AA386" i="20"/>
  <c r="AC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BC387" i="20" s="1"/>
  <c r="AT386" i="20"/>
  <c r="AU386" i="20"/>
  <c r="AW386" i="20"/>
  <c r="AY386" i="20"/>
  <c r="AZ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M474" i="8"/>
  <c r="I474" i="8"/>
  <c r="C474" i="8"/>
  <c r="D474" i="8"/>
  <c r="E474" i="8" s="1"/>
  <c r="H474" i="8" s="1"/>
  <c r="L474" i="7"/>
  <c r="M474" i="7"/>
  <c r="I474" i="7"/>
  <c r="C474" i="7"/>
  <c r="D474" i="7"/>
  <c r="E474" i="7" s="1"/>
  <c r="L473" i="6"/>
  <c r="M473" i="6"/>
  <c r="I473" i="6"/>
  <c r="H473" i="6"/>
  <c r="L474" i="5"/>
  <c r="D474" i="5" s="1"/>
  <c r="E474" i="5" s="1"/>
  <c r="M474" i="5"/>
  <c r="I473" i="5"/>
  <c r="BB387" i="20" l="1"/>
  <c r="BD387" i="20"/>
  <c r="AX386" i="20"/>
  <c r="Z386" i="20"/>
  <c r="X386" i="20"/>
  <c r="W386" i="20"/>
  <c r="AV386" i="20"/>
  <c r="BA387" i="20" s="1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M473" i="7"/>
  <c r="I473" i="7"/>
  <c r="C473" i="7"/>
  <c r="L472" i="6"/>
  <c r="M472" i="6"/>
  <c r="I472" i="6"/>
  <c r="L473" i="5"/>
  <c r="M473" i="5"/>
  <c r="D480" i="10"/>
  <c r="D479" i="9"/>
  <c r="D479" i="11"/>
  <c r="D473" i="8"/>
  <c r="D473" i="7"/>
  <c r="D473" i="5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6" i="20" s="1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BC386" i="20" s="1"/>
  <c r="AT385" i="20"/>
  <c r="AU385" i="20"/>
  <c r="AW385" i="20"/>
  <c r="AY385" i="20"/>
  <c r="AZ385" i="20"/>
  <c r="I479" i="10"/>
  <c r="I478" i="9"/>
  <c r="I478" i="11"/>
  <c r="I478" i="12"/>
  <c r="I472" i="5"/>
  <c r="BD386" i="20" l="1"/>
  <c r="BB386" i="20"/>
  <c r="Y385" i="20"/>
  <c r="W385" i="20"/>
  <c r="AE385" i="20"/>
  <c r="AX385" i="20"/>
  <c r="AD385" i="20"/>
  <c r="Z385" i="20"/>
  <c r="AV385" i="20"/>
  <c r="BA386" i="20" s="1"/>
  <c r="AB385" i="20"/>
  <c r="X385" i="20"/>
  <c r="AR380" i="20"/>
  <c r="AR379" i="20"/>
  <c r="AR384" i="20"/>
  <c r="BD385" i="20" l="1"/>
  <c r="BB385" i="20"/>
  <c r="S384" i="20"/>
  <c r="T385" i="20" s="1"/>
  <c r="U384" i="20"/>
  <c r="X384" i="20" s="1"/>
  <c r="V384" i="20"/>
  <c r="Y384" i="20" s="1"/>
  <c r="AA384" i="20"/>
  <c r="AE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BC385" i="20" s="1"/>
  <c r="AT384" i="20"/>
  <c r="AU384" i="20"/>
  <c r="AW384" i="20"/>
  <c r="AY384" i="20"/>
  <c r="AZ384" i="20"/>
  <c r="B335" i="25"/>
  <c r="D335" i="25"/>
  <c r="M335" i="25"/>
  <c r="K335" i="25"/>
  <c r="I335" i="25"/>
  <c r="E472" i="7" s="1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M472" i="8"/>
  <c r="I472" i="8"/>
  <c r="C472" i="8"/>
  <c r="D472" i="8"/>
  <c r="L472" i="7"/>
  <c r="M472" i="7"/>
  <c r="I472" i="7"/>
  <c r="C472" i="7"/>
  <c r="D472" i="7"/>
  <c r="L471" i="6"/>
  <c r="M471" i="6"/>
  <c r="I471" i="6"/>
  <c r="L472" i="5"/>
  <c r="M472" i="5"/>
  <c r="D472" i="5"/>
  <c r="AC384" i="20" l="1"/>
  <c r="W384" i="20"/>
  <c r="AX384" i="20"/>
  <c r="AD384" i="20"/>
  <c r="Z384" i="20"/>
  <c r="AV384" i="20"/>
  <c r="BA385" i="20" s="1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AA383" i="20"/>
  <c r="AE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M471" i="8"/>
  <c r="I471" i="8"/>
  <c r="C471" i="8"/>
  <c r="D471" i="8"/>
  <c r="E471" i="8" s="1"/>
  <c r="H471" i="8" s="1"/>
  <c r="L471" i="7"/>
  <c r="M471" i="7"/>
  <c r="I471" i="7"/>
  <c r="C471" i="7"/>
  <c r="D471" i="7"/>
  <c r="H471" i="7" s="1"/>
  <c r="L470" i="6"/>
  <c r="M470" i="6"/>
  <c r="I470" i="6"/>
  <c r="L471" i="5"/>
  <c r="M471" i="5"/>
  <c r="D471" i="5"/>
  <c r="E471" i="5" s="1"/>
  <c r="AD383" i="20" l="1"/>
  <c r="Z383" i="20"/>
  <c r="W383" i="20"/>
  <c r="D477" i="12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X382" i="20" s="1"/>
  <c r="V382" i="20"/>
  <c r="Y382" i="20" s="1"/>
  <c r="AA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M469" i="6"/>
  <c r="I469" i="6"/>
  <c r="L470" i="5"/>
  <c r="D470" i="5" s="1"/>
  <c r="M470" i="5"/>
  <c r="I469" i="5"/>
  <c r="AE382" i="20" l="1"/>
  <c r="AB382" i="20"/>
  <c r="W382" i="20"/>
  <c r="Z382" i="20"/>
  <c r="AX382" i="20"/>
  <c r="AD382" i="20"/>
  <c r="AC382" i="20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Z381" i="20" s="1"/>
  <c r="V381" i="20"/>
  <c r="Y381" i="20"/>
  <c r="AA381" i="20"/>
  <c r="AC381" i="20"/>
  <c r="AE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W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M475" i="12"/>
  <c r="I474" i="12"/>
  <c r="C475" i="12"/>
  <c r="G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M468" i="6"/>
  <c r="I468" i="6"/>
  <c r="H468" i="6"/>
  <c r="E468" i="6"/>
  <c r="L469" i="5"/>
  <c r="M469" i="5"/>
  <c r="I468" i="5"/>
  <c r="D469" i="5"/>
  <c r="E469" i="5" s="1"/>
  <c r="AX381" i="20" l="1"/>
  <c r="AV381" i="20"/>
  <c r="BA382" i="20" s="1"/>
  <c r="X381" i="20"/>
  <c r="AB381" i="20"/>
  <c r="W381" i="20"/>
  <c r="AD381" i="20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M467" i="6"/>
  <c r="I467" i="6"/>
  <c r="L468" i="5"/>
  <c r="M468" i="5"/>
  <c r="B385" i="20" l="1"/>
  <c r="B384" i="20"/>
  <c r="B383" i="20"/>
  <c r="B382" i="20"/>
  <c r="B381" i="20"/>
  <c r="I473" i="11"/>
  <c r="E464" i="6"/>
  <c r="E465" i="6"/>
  <c r="E466" i="6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M467" i="7"/>
  <c r="I467" i="7"/>
  <c r="C467" i="7"/>
  <c r="D467" i="7"/>
  <c r="H467" i="7" s="1"/>
  <c r="L466" i="6"/>
  <c r="M466" i="6"/>
  <c r="I466" i="6"/>
  <c r="G466" i="6"/>
  <c r="L467" i="5"/>
  <c r="M467" i="5"/>
  <c r="D467" i="5"/>
  <c r="G467" i="5" s="1"/>
  <c r="AE379" i="20" l="1"/>
  <c r="AC379" i="20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M472" i="12"/>
  <c r="I471" i="12"/>
  <c r="C472" i="12"/>
  <c r="G472" i="12"/>
  <c r="L466" i="8"/>
  <c r="M466" i="8"/>
  <c r="I466" i="8"/>
  <c r="C466" i="8"/>
  <c r="D466" i="8"/>
  <c r="G466" i="8" s="1"/>
  <c r="L466" i="7"/>
  <c r="M466" i="7"/>
  <c r="I466" i="7"/>
  <c r="C466" i="7"/>
  <c r="D466" i="7"/>
  <c r="G466" i="7" s="1"/>
  <c r="L465" i="6"/>
  <c r="M465" i="6"/>
  <c r="I465" i="6"/>
  <c r="L466" i="5"/>
  <c r="D466" i="5" s="1"/>
  <c r="E466" i="5" s="1"/>
  <c r="M466" i="5"/>
  <c r="I465" i="5"/>
  <c r="AE378" i="20" l="1"/>
  <c r="BD379" i="20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X377" i="20" s="1"/>
  <c r="V377" i="20"/>
  <c r="AA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M464" i="6"/>
  <c r="I464" i="6"/>
  <c r="L465" i="5"/>
  <c r="D465" i="5" s="1"/>
  <c r="E465" i="5" s="1"/>
  <c r="M465" i="5"/>
  <c r="I464" i="5"/>
  <c r="AB377" i="20" l="1"/>
  <c r="W377" i="20"/>
  <c r="Z377" i="20"/>
  <c r="AD377" i="20"/>
  <c r="D471" i="12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X376" i="20" s="1"/>
  <c r="V376" i="20"/>
  <c r="AA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M470" i="12"/>
  <c r="I469" i="12"/>
  <c r="C470" i="12"/>
  <c r="G470" i="12"/>
  <c r="L464" i="8"/>
  <c r="M464" i="8"/>
  <c r="I464" i="8"/>
  <c r="G464" i="8"/>
  <c r="C464" i="8"/>
  <c r="D464" i="8"/>
  <c r="L464" i="7"/>
  <c r="D464" i="7" s="1"/>
  <c r="M464" i="7"/>
  <c r="I464" i="7"/>
  <c r="C464" i="7"/>
  <c r="L463" i="6"/>
  <c r="M463" i="6"/>
  <c r="I463" i="6"/>
  <c r="G463" i="6"/>
  <c r="L464" i="5"/>
  <c r="D464" i="5" s="1"/>
  <c r="M464" i="5"/>
  <c r="I463" i="5"/>
  <c r="Z376" i="20" l="1"/>
  <c r="AD376" i="20"/>
  <c r="AX376" i="20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M461" i="6"/>
  <c r="I461" i="6"/>
  <c r="L462" i="5"/>
  <c r="M462" i="5"/>
  <c r="D469" i="10"/>
  <c r="D468" i="9"/>
  <c r="D468" i="11"/>
  <c r="G468" i="12"/>
  <c r="D462" i="8"/>
  <c r="D462" i="7"/>
  <c r="E461" i="6"/>
  <c r="D462" i="5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M461" i="7"/>
  <c r="I461" i="7"/>
  <c r="C461" i="7"/>
  <c r="D461" i="7"/>
  <c r="H461" i="7" s="1"/>
  <c r="L460" i="6"/>
  <c r="M460" i="6"/>
  <c r="I460" i="6"/>
  <c r="L461" i="5"/>
  <c r="M461" i="5"/>
  <c r="I460" i="5"/>
  <c r="D461" i="5"/>
  <c r="E461" i="5" s="1"/>
  <c r="W373" i="20" l="1"/>
  <c r="AX373" i="20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M460" i="8"/>
  <c r="I460" i="8"/>
  <c r="C460" i="8"/>
  <c r="D460" i="8"/>
  <c r="G460" i="8" s="1"/>
  <c r="L460" i="7"/>
  <c r="M460" i="7"/>
  <c r="I460" i="7"/>
  <c r="C460" i="7"/>
  <c r="D460" i="7"/>
  <c r="E460" i="7" s="1"/>
  <c r="L459" i="6"/>
  <c r="M459" i="6"/>
  <c r="I459" i="6"/>
  <c r="H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M459" i="7"/>
  <c r="I459" i="7"/>
  <c r="C459" i="7"/>
  <c r="D459" i="7"/>
  <c r="E459" i="7" s="1"/>
  <c r="L458" i="6"/>
  <c r="M458" i="6"/>
  <c r="I458" i="6"/>
  <c r="G458" i="6"/>
  <c r="E458" i="6"/>
  <c r="L459" i="5"/>
  <c r="M459" i="5"/>
  <c r="I459" i="5"/>
  <c r="D459" i="5"/>
  <c r="E459" i="5" s="1"/>
  <c r="X371" i="20" l="1"/>
  <c r="AV371" i="20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AV369" i="20" s="1"/>
  <c r="BA370" i="20" s="1"/>
  <c r="W369" i="20"/>
  <c r="AA369" i="20"/>
  <c r="AC369" i="20"/>
  <c r="AD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L457" i="5"/>
  <c r="D457" i="5" s="1"/>
  <c r="M457" i="5"/>
  <c r="D464" i="10"/>
  <c r="D463" i="9"/>
  <c r="D463" i="11"/>
  <c r="D457" i="8"/>
  <c r="D457" i="7"/>
  <c r="AE369" i="20" l="1"/>
  <c r="Y369" i="20"/>
  <c r="Z369" i="20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C368" i="20" s="1"/>
  <c r="AA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M455" i="6"/>
  <c r="I455" i="6"/>
  <c r="L456" i="5"/>
  <c r="D456" i="5" s="1"/>
  <c r="H456" i="5" s="1"/>
  <c r="M456" i="5"/>
  <c r="AE368" i="20" l="1"/>
  <c r="AV368" i="20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W367" i="20" s="1"/>
  <c r="V367" i="20"/>
  <c r="Y367" i="20"/>
  <c r="AA367" i="20"/>
  <c r="AC367" i="20"/>
  <c r="AE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E454" i="6"/>
  <c r="L455" i="5"/>
  <c r="D455" i="5" s="1"/>
  <c r="H455" i="5" s="1"/>
  <c r="M455" i="5"/>
  <c r="I455" i="5"/>
  <c r="D461" i="12" l="1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Z366" i="20" s="1"/>
  <c r="V366" i="20"/>
  <c r="W366" i="20"/>
  <c r="X366" i="20"/>
  <c r="Y366" i="20"/>
  <c r="AA366" i="20"/>
  <c r="AB366" i="20"/>
  <c r="AC366" i="20"/>
  <c r="AD366" i="20"/>
  <c r="AE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V366" i="20"/>
  <c r="BA367" i="20" s="1"/>
  <c r="AW366" i="20"/>
  <c r="AX366" i="20"/>
  <c r="AY366" i="20"/>
  <c r="AZ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M460" i="12"/>
  <c r="I459" i="12"/>
  <c r="G460" i="12"/>
  <c r="C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L454" i="5"/>
  <c r="D454" i="5" s="1"/>
  <c r="H454" i="5" s="1"/>
  <c r="M454" i="5"/>
  <c r="I454" i="5"/>
  <c r="BB367" i="20" l="1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W364" i="20" s="1"/>
  <c r="V364" i="20"/>
  <c r="Y364" i="20"/>
  <c r="AA364" i="20"/>
  <c r="AC364" i="20"/>
  <c r="AE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W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M458" i="12"/>
  <c r="I457" i="12"/>
  <c r="C458" i="12"/>
  <c r="G458" i="12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E451" i="6"/>
  <c r="L452" i="5"/>
  <c r="D452" i="5" s="1"/>
  <c r="M452" i="5"/>
  <c r="I452" i="5"/>
  <c r="AV364" i="20" l="1"/>
  <c r="BA365" i="20" s="1"/>
  <c r="AB364" i="20"/>
  <c r="AX364" i="20"/>
  <c r="AD364" i="20"/>
  <c r="Z364" i="20"/>
  <c r="X364" i="20"/>
  <c r="E452" i="5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V363" i="20"/>
  <c r="W363" i="20" s="1"/>
  <c r="X363" i="20"/>
  <c r="AA363" i="20"/>
  <c r="AB363" i="20"/>
  <c r="AD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W363" i="20"/>
  <c r="AX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M457" i="12"/>
  <c r="I456" i="12"/>
  <c r="C457" i="12"/>
  <c r="G457" i="12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E450" i="6"/>
  <c r="L451" i="5"/>
  <c r="D451" i="5" s="1"/>
  <c r="H451" i="5" s="1"/>
  <c r="M451" i="5"/>
  <c r="I451" i="5"/>
  <c r="AC363" i="20" l="1"/>
  <c r="Y363" i="20"/>
  <c r="Z363" i="20"/>
  <c r="AV363" i="20"/>
  <c r="BA364" i="20" s="1"/>
  <c r="AE363" i="20"/>
  <c r="BB364" i="20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W362" i="20" s="1"/>
  <c r="V362" i="20"/>
  <c r="Y362" i="20"/>
  <c r="AA362" i="20"/>
  <c r="AC362" i="20"/>
  <c r="AE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M456" i="12"/>
  <c r="I455" i="12"/>
  <c r="G456" i="12"/>
  <c r="C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M449" i="6"/>
  <c r="I449" i="6"/>
  <c r="L450" i="5"/>
  <c r="M450" i="5"/>
  <c r="I450" i="5"/>
  <c r="D450" i="5"/>
  <c r="E450" i="5" l="1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AD361" i="20" s="1"/>
  <c r="V361" i="20"/>
  <c r="Y361" i="20" s="1"/>
  <c r="X361" i="20"/>
  <c r="AA361" i="20"/>
  <c r="AB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X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M455" i="12"/>
  <c r="I454" i="12"/>
  <c r="C455" i="12"/>
  <c r="G455" i="12"/>
  <c r="L449" i="8"/>
  <c r="D449" i="8" s="1"/>
  <c r="M449" i="8"/>
  <c r="I449" i="8"/>
  <c r="C449" i="8"/>
  <c r="L449" i="7"/>
  <c r="D449" i="7" s="1"/>
  <c r="M449" i="7"/>
  <c r="I449" i="7"/>
  <c r="C449" i="7"/>
  <c r="L448" i="6"/>
  <c r="M448" i="6"/>
  <c r="I448" i="6"/>
  <c r="L449" i="5"/>
  <c r="D449" i="5" s="1"/>
  <c r="H449" i="5" s="1"/>
  <c r="M449" i="5"/>
  <c r="I449" i="5"/>
  <c r="Z361" i="20" l="1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C359" i="20"/>
  <c r="AE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M453" i="12"/>
  <c r="I452" i="12"/>
  <c r="C453" i="12"/>
  <c r="G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H446" i="6"/>
  <c r="E446" i="6"/>
  <c r="L447" i="5"/>
  <c r="M447" i="5"/>
  <c r="I447" i="5"/>
  <c r="D447" i="5"/>
  <c r="H447" i="5" s="1"/>
  <c r="BB360" i="20" l="1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E445" i="6"/>
  <c r="L446" i="5"/>
  <c r="D446" i="5" s="1"/>
  <c r="M446" i="5"/>
  <c r="I446" i="5"/>
  <c r="H446" i="5" l="1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M451" i="12"/>
  <c r="I450" i="12"/>
  <c r="C451" i="12"/>
  <c r="G451" i="12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E444" i="6"/>
  <c r="L445" i="5"/>
  <c r="D445" i="5" s="1"/>
  <c r="H445" i="5" s="1"/>
  <c r="M445" i="5"/>
  <c r="I445" i="5"/>
  <c r="AX357" i="20" l="1"/>
  <c r="BD358" i="20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V356" i="20"/>
  <c r="AC356" i="20" s="1"/>
  <c r="W356" i="20"/>
  <c r="X356" i="20"/>
  <c r="AA356" i="20"/>
  <c r="AB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V356" i="20"/>
  <c r="BA357" i="20" s="1"/>
  <c r="AW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M450" i="12"/>
  <c r="I449" i="12"/>
  <c r="C450" i="12"/>
  <c r="G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M443" i="6"/>
  <c r="I443" i="6"/>
  <c r="L444" i="5"/>
  <c r="D444" i="5" s="1"/>
  <c r="H444" i="5" s="1"/>
  <c r="M444" i="5"/>
  <c r="I444" i="5"/>
  <c r="AE356" i="20" l="1"/>
  <c r="Y356" i="20"/>
  <c r="Z356" i="20"/>
  <c r="AX356" i="20"/>
  <c r="AD356" i="20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L442" i="5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D442" i="7"/>
  <c r="D442" i="5"/>
  <c r="H442" i="5" s="1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 s="1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M447" i="12"/>
  <c r="I446" i="12"/>
  <c r="C447" i="12"/>
  <c r="G447" i="12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E440" i="6"/>
  <c r="L441" i="5"/>
  <c r="D441" i="5" s="1"/>
  <c r="H441" i="5" s="1"/>
  <c r="M441" i="5"/>
  <c r="I440" i="5"/>
  <c r="W353" i="20" l="1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V352" i="20"/>
  <c r="BA353" i="20" s="1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M439" i="6"/>
  <c r="I439" i="6"/>
  <c r="L440" i="5"/>
  <c r="D440" i="5" s="1"/>
  <c r="M440" i="5"/>
  <c r="D446" i="12" l="1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W351" i="20" s="1"/>
  <c r="V351" i="20"/>
  <c r="AE351" i="20" s="1"/>
  <c r="Y351" i="20"/>
  <c r="AA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V351" i="20"/>
  <c r="BA352" i="20" s="1"/>
  <c r="AW351" i="20"/>
  <c r="AX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E438" i="6"/>
  <c r="L439" i="5"/>
  <c r="D439" i="5" s="1"/>
  <c r="H439" i="5" s="1"/>
  <c r="M439" i="5"/>
  <c r="I439" i="5"/>
  <c r="D445" i="12" l="1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X349" i="20" s="1"/>
  <c r="V349" i="20"/>
  <c r="AC349" i="20" s="1"/>
  <c r="AA349" i="20"/>
  <c r="AD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E436" i="6"/>
  <c r="L437" i="5"/>
  <c r="M437" i="5"/>
  <c r="I436" i="5"/>
  <c r="D437" i="5"/>
  <c r="AB349" i="20" l="1"/>
  <c r="E437" i="5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L435" i="5"/>
  <c r="M435" i="5"/>
  <c r="I434" i="5"/>
  <c r="BD348" i="20" l="1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AC346" i="20" s="1"/>
  <c r="AA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M433" i="6"/>
  <c r="I433" i="6"/>
  <c r="L434" i="5"/>
  <c r="D434" i="5" s="1"/>
  <c r="M434" i="5"/>
  <c r="D434" i="8"/>
  <c r="D434" i="7"/>
  <c r="AX346" i="20" l="1"/>
  <c r="Y346" i="20"/>
  <c r="E434" i="5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M439" i="12"/>
  <c r="I438" i="12"/>
  <c r="C439" i="12"/>
  <c r="G439" i="12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E431" i="6"/>
  <c r="L432" i="5"/>
  <c r="M432" i="5"/>
  <c r="I431" i="5"/>
  <c r="D432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M437" i="12"/>
  <c r="I436" i="12"/>
  <c r="C437" i="12"/>
  <c r="G437" i="12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G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M436" i="12"/>
  <c r="I435" i="12"/>
  <c r="C436" i="12"/>
  <c r="G436" i="12"/>
  <c r="L430" i="8"/>
  <c r="D430" i="8" s="1"/>
  <c r="M430" i="8"/>
  <c r="C430" i="8"/>
  <c r="L430" i="7"/>
  <c r="M430" i="7"/>
  <c r="C430" i="7"/>
  <c r="D430" i="7"/>
  <c r="E430" i="7" s="1"/>
  <c r="L429" i="6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M427" i="8"/>
  <c r="I427" i="8"/>
  <c r="C427" i="8"/>
  <c r="D427" i="8"/>
  <c r="L427" i="7"/>
  <c r="M427" i="7"/>
  <c r="I427" i="7"/>
  <c r="G427" i="7"/>
  <c r="C427" i="7"/>
  <c r="D427" i="7"/>
  <c r="L426" i="6"/>
  <c r="M426" i="6"/>
  <c r="I426" i="6"/>
  <c r="L427" i="5"/>
  <c r="D427" i="5" s="1"/>
  <c r="M427" i="5"/>
  <c r="Y344" i="20" l="1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X343" i="20" s="1"/>
  <c r="V343" i="20"/>
  <c r="W343" i="20" s="1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M426" i="8"/>
  <c r="I426" i="8"/>
  <c r="C426" i="8"/>
  <c r="L426" i="7"/>
  <c r="M426" i="7"/>
  <c r="I426" i="7"/>
  <c r="C426" i="7"/>
  <c r="L425" i="6"/>
  <c r="M425" i="6"/>
  <c r="I425" i="6"/>
  <c r="L426" i="5"/>
  <c r="D426" i="5" s="1"/>
  <c r="M426" i="5"/>
  <c r="I425" i="5"/>
  <c r="D433" i="10"/>
  <c r="D432" i="9"/>
  <c r="D432" i="11"/>
  <c r="G432" i="12"/>
  <c r="D426" i="8"/>
  <c r="D426" i="7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L425" i="5"/>
  <c r="D425" i="5" s="1"/>
  <c r="M425" i="5"/>
  <c r="D431" i="11"/>
  <c r="D425" i="8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M423" i="6"/>
  <c r="I423" i="6"/>
  <c r="L424" i="5"/>
  <c r="M424" i="5"/>
  <c r="I423" i="5"/>
  <c r="D424" i="5"/>
  <c r="W341" i="20" l="1"/>
  <c r="AV341" i="20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W340" i="20" l="1"/>
  <c r="AE340" i="20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M428" i="12"/>
  <c r="I427" i="12"/>
  <c r="G428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L422" i="5"/>
  <c r="D422" i="5" s="1"/>
  <c r="M422" i="5"/>
  <c r="I421" i="5"/>
  <c r="AC339" i="20" l="1"/>
  <c r="Y339" i="20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M427" i="12"/>
  <c r="I426" i="12"/>
  <c r="C427" i="12"/>
  <c r="G427" i="12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L421" i="5"/>
  <c r="M421" i="5"/>
  <c r="I420" i="5"/>
  <c r="D421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V337" i="20"/>
  <c r="AE337" i="20" s="1"/>
  <c r="AA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L420" i="5"/>
  <c r="D420" i="5" s="1"/>
  <c r="G420" i="5" s="1"/>
  <c r="M420" i="5"/>
  <c r="D427" i="10"/>
  <c r="D426" i="9"/>
  <c r="D426" i="11"/>
  <c r="G426" i="12"/>
  <c r="D420" i="8"/>
  <c r="D420" i="7"/>
  <c r="W337" i="20" l="1"/>
  <c r="AC337" i="20"/>
  <c r="AD337" i="20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M425" i="12"/>
  <c r="I424" i="12"/>
  <c r="C425" i="12"/>
  <c r="G425" i="12"/>
  <c r="L419" i="8"/>
  <c r="D419" i="8" s="1"/>
  <c r="M419" i="8"/>
  <c r="I419" i="8"/>
  <c r="C419" i="8"/>
  <c r="L419" i="7"/>
  <c r="D419" i="7" s="1"/>
  <c r="M419" i="7"/>
  <c r="I419" i="7"/>
  <c r="C419" i="7"/>
  <c r="L418" i="6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M418" i="7"/>
  <c r="I418" i="7"/>
  <c r="C418" i="7"/>
  <c r="L417" i="6"/>
  <c r="M417" i="6"/>
  <c r="I417" i="6"/>
  <c r="L418" i="5"/>
  <c r="D418" i="5" s="1"/>
  <c r="M418" i="5"/>
  <c r="I417" i="5"/>
  <c r="D425" i="10"/>
  <c r="D418" i="8"/>
  <c r="D418" i="7"/>
  <c r="AV335" i="20" l="1"/>
  <c r="BA336" i="20" s="1"/>
  <c r="D424" i="12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M422" i="12"/>
  <c r="I421" i="12"/>
  <c r="C422" i="12"/>
  <c r="G422" i="12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L416" i="5"/>
  <c r="M416" i="5"/>
  <c r="I415" i="5"/>
  <c r="D416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W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M421" i="12"/>
  <c r="I420" i="12"/>
  <c r="C421" i="12"/>
  <c r="G421" i="12"/>
  <c r="L415" i="8"/>
  <c r="M415" i="8"/>
  <c r="I415" i="8"/>
  <c r="C415" i="8"/>
  <c r="D415" i="8"/>
  <c r="L415" i="7"/>
  <c r="M415" i="7"/>
  <c r="I415" i="7"/>
  <c r="C415" i="7"/>
  <c r="D415" i="7"/>
  <c r="L414" i="6"/>
  <c r="M414" i="6"/>
  <c r="I414" i="6"/>
  <c r="L415" i="5"/>
  <c r="D415" i="5" s="1"/>
  <c r="M415" i="5"/>
  <c r="AX332" i="20" l="1"/>
  <c r="AC332" i="20"/>
  <c r="AV332" i="20"/>
  <c r="BA333" i="20" s="1"/>
  <c r="BB333" i="20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L413" i="5"/>
  <c r="D413" i="5" s="1"/>
  <c r="M413" i="5"/>
  <c r="I413" i="5"/>
  <c r="D420" i="10"/>
  <c r="D419" i="11"/>
  <c r="G419" i="12"/>
  <c r="D413" i="8"/>
  <c r="D413" i="7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W330" i="20"/>
  <c r="AY330" i="20"/>
  <c r="AZ330" i="20"/>
  <c r="AV330" i="20" l="1"/>
  <c r="BA331" i="20" s="1"/>
  <c r="AE330" i="20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D328" i="20" l="1"/>
  <c r="AV328" i="20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M416" i="12"/>
  <c r="I414" i="12"/>
  <c r="C416" i="12"/>
  <c r="G416" i="12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M415" i="12"/>
  <c r="C415" i="12"/>
  <c r="G415" i="12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L408" i="5"/>
  <c r="M408" i="5"/>
  <c r="I408" i="5"/>
  <c r="S325" i="20" l="1"/>
  <c r="T326" i="20" s="1"/>
  <c r="U325" i="20"/>
  <c r="Z325" i="20" s="1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AD325" i="20" l="1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L407" i="5"/>
  <c r="D407" i="5" s="1"/>
  <c r="M407" i="5"/>
  <c r="I407" i="5"/>
  <c r="AD324" i="20" l="1"/>
  <c r="AX324" i="20"/>
  <c r="W324" i="20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Y323" i="20"/>
  <c r="AZ323" i="20"/>
  <c r="I412" i="10"/>
  <c r="S322" i="20"/>
  <c r="T323" i="20" s="1"/>
  <c r="U322" i="20"/>
  <c r="W322" i="20" s="1"/>
  <c r="V322" i="20"/>
  <c r="Y322" i="20" s="1"/>
  <c r="AA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W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M412" i="12"/>
  <c r="I411" i="12"/>
  <c r="C412" i="12"/>
  <c r="G412" i="12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M405" i="6"/>
  <c r="I405" i="6"/>
  <c r="L406" i="5"/>
  <c r="M406" i="5"/>
  <c r="I406" i="5"/>
  <c r="D406" i="5"/>
  <c r="AX322" i="20" l="1"/>
  <c r="AB323" i="20"/>
  <c r="AD322" i="20"/>
  <c r="AX323" i="20"/>
  <c r="AV322" i="20"/>
  <c r="BA323" i="20" s="1"/>
  <c r="BD324" i="20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X320" i="20" s="1"/>
  <c r="V320" i="20"/>
  <c r="AE320" i="20" s="1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D402" i="7"/>
  <c r="G402" i="7" s="1"/>
  <c r="M402" i="7"/>
  <c r="C402" i="7"/>
  <c r="L401" i="6"/>
  <c r="M401" i="6"/>
  <c r="L402" i="5"/>
  <c r="D402" i="5" s="1"/>
  <c r="M402" i="5"/>
  <c r="AV319" i="20" l="1"/>
  <c r="BA320" i="20" s="1"/>
  <c r="AC319" i="20"/>
  <c r="W319" i="20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S318" i="20" l="1"/>
  <c r="T319" i="20" s="1"/>
  <c r="U318" i="20"/>
  <c r="AB318" i="20" s="1"/>
  <c r="V318" i="20"/>
  <c r="AC318" i="20" s="1"/>
  <c r="AA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Y318" i="20" l="1"/>
  <c r="AE318" i="20"/>
  <c r="W318" i="20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M399" i="6"/>
  <c r="L400" i="5"/>
  <c r="D400" i="5" s="1"/>
  <c r="M400" i="5"/>
  <c r="G400" i="8" l="1"/>
  <c r="G400" i="7"/>
  <c r="G399" i="6"/>
  <c r="G400" i="5"/>
  <c r="S317" i="20"/>
  <c r="T318" i="20" s="1"/>
  <c r="U317" i="20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W317" i="20" l="1"/>
  <c r="AE317" i="20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V316" i="20"/>
  <c r="AV316" i="20" s="1"/>
  <c r="BA317" i="20" s="1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M398" i="6"/>
  <c r="I398" i="6"/>
  <c r="L399" i="5"/>
  <c r="D399" i="5" s="1"/>
  <c r="M399" i="5"/>
  <c r="AX316" i="20" l="1"/>
  <c r="BE316" i="20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L398" i="5"/>
  <c r="M398" i="5"/>
  <c r="I398" i="5"/>
  <c r="BJ317" i="20" l="1"/>
  <c r="BJ318" i="20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M403" i="12"/>
  <c r="C403" i="12"/>
  <c r="G403" i="12"/>
  <c r="L397" i="8"/>
  <c r="M397" i="8"/>
  <c r="I397" i="8"/>
  <c r="C397" i="8"/>
  <c r="D397" i="8"/>
  <c r="L397" i="7"/>
  <c r="M397" i="7"/>
  <c r="I397" i="7"/>
  <c r="C397" i="7"/>
  <c r="D397" i="7"/>
  <c r="L396" i="6"/>
  <c r="M396" i="6"/>
  <c r="I396" i="6"/>
  <c r="L397" i="5"/>
  <c r="D397" i="5" s="1"/>
  <c r="M397" i="5"/>
  <c r="W314" i="20" l="1"/>
  <c r="BB315" i="20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X313" i="20" s="1"/>
  <c r="V313" i="20"/>
  <c r="AC313" i="20" s="1"/>
  <c r="Y313" i="20"/>
  <c r="AA313" i="20"/>
  <c r="AB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L396" i="5"/>
  <c r="D396" i="5" s="1"/>
  <c r="M396" i="5"/>
  <c r="I396" i="5"/>
  <c r="W313" i="20" l="1"/>
  <c r="BB314" i="20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L395" i="5"/>
  <c r="D395" i="5" s="1"/>
  <c r="M395" i="5"/>
  <c r="I395" i="5"/>
  <c r="D402" i="10"/>
  <c r="D401" i="11"/>
  <c r="G401" i="12"/>
  <c r="D395" i="8"/>
  <c r="D395" i="7"/>
  <c r="AV312" i="20" l="1"/>
  <c r="BA313" i="20" s="1"/>
  <c r="Y312" i="20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U166" i="20"/>
  <c r="AB166" i="20" s="1"/>
  <c r="S166" i="20"/>
  <c r="S311" i="20"/>
  <c r="T312" i="20" s="1"/>
  <c r="U311" i="20"/>
  <c r="V311" i="20"/>
  <c r="Y311" i="20" s="1"/>
  <c r="AA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M393" i="6"/>
  <c r="I393" i="6"/>
  <c r="L394" i="5"/>
  <c r="D394" i="5" s="1"/>
  <c r="M394" i="5"/>
  <c r="I394" i="5"/>
  <c r="AV311" i="20" l="1"/>
  <c r="BA312" i="20" s="1"/>
  <c r="AV166" i="20"/>
  <c r="AB311" i="20"/>
  <c r="X311" i="20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AD310" i="20" s="1"/>
  <c r="V310" i="20"/>
  <c r="AC310" i="20" s="1"/>
  <c r="AA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Z310" i="20" l="1"/>
  <c r="AV310" i="20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M398" i="12"/>
  <c r="I397" i="12"/>
  <c r="C398" i="12"/>
  <c r="G398" i="12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X308" i="20" s="1"/>
  <c r="V308" i="20"/>
  <c r="AE308" i="20" s="1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L388" i="5"/>
  <c r="M388" i="5"/>
  <c r="I388" i="5"/>
  <c r="S305" i="20" l="1"/>
  <c r="T306" i="20" s="1"/>
  <c r="U305" i="20"/>
  <c r="V305" i="20"/>
  <c r="AE305" i="20" s="1"/>
  <c r="AA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Y305" i="20" l="1"/>
  <c r="AV305" i="20"/>
  <c r="BA306" i="20" s="1"/>
  <c r="AC305" i="20"/>
  <c r="X305" i="20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M393" i="12"/>
  <c r="I392" i="12"/>
  <c r="C393" i="12"/>
  <c r="G393" i="12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L387" i="5"/>
  <c r="D387" i="5" s="1"/>
  <c r="G387" i="5" s="1"/>
  <c r="M387" i="5"/>
  <c r="I387" i="5"/>
  <c r="Z304" i="20" l="1"/>
  <c r="BJ307" i="20"/>
  <c r="BJ310" i="20"/>
  <c r="AD304" i="20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V303" i="20"/>
  <c r="Y303" i="20" s="1"/>
  <c r="AA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M386" i="8"/>
  <c r="I386" i="8"/>
  <c r="C386" i="8"/>
  <c r="D386" i="8"/>
  <c r="L386" i="7"/>
  <c r="D386" i="7" s="1"/>
  <c r="M386" i="7"/>
  <c r="I386" i="7"/>
  <c r="C386" i="7"/>
  <c r="L385" i="6"/>
  <c r="M385" i="6"/>
  <c r="I385" i="6"/>
  <c r="L386" i="5"/>
  <c r="D386" i="5" s="1"/>
  <c r="M386" i="5"/>
  <c r="I386" i="5"/>
  <c r="AC303" i="20" l="1"/>
  <c r="W303" i="20"/>
  <c r="AE303" i="20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L385" i="5"/>
  <c r="D385" i="5" s="1"/>
  <c r="M385" i="5"/>
  <c r="I385" i="5"/>
  <c r="AV302" i="20" l="1"/>
  <c r="BA303" i="20" s="1"/>
  <c r="W302" i="20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M390" i="12"/>
  <c r="I389" i="12"/>
  <c r="C390" i="12"/>
  <c r="G390" i="12"/>
  <c r="L384" i="8"/>
  <c r="D384" i="8" s="1"/>
  <c r="M384" i="8"/>
  <c r="I384" i="8"/>
  <c r="C384" i="8"/>
  <c r="L384" i="7"/>
  <c r="M384" i="7"/>
  <c r="I384" i="7"/>
  <c r="C384" i="7"/>
  <c r="D384" i="7"/>
  <c r="L383" i="6"/>
  <c r="M383" i="6"/>
  <c r="I383" i="6"/>
  <c r="L384" i="5"/>
  <c r="D384" i="5" s="1"/>
  <c r="M384" i="5"/>
  <c r="I384" i="5"/>
  <c r="Y301" i="20" l="1"/>
  <c r="X301" i="20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M388" i="12"/>
  <c r="C388" i="12"/>
  <c r="G388" i="12"/>
  <c r="L382" i="8"/>
  <c r="D382" i="8" s="1"/>
  <c r="M382" i="8"/>
  <c r="I382" i="8"/>
  <c r="C382" i="8"/>
  <c r="L382" i="7"/>
  <c r="D382" i="7" s="1"/>
  <c r="M382" i="7"/>
  <c r="I382" i="7"/>
  <c r="C382" i="7"/>
  <c r="L381" i="6"/>
  <c r="M381" i="6"/>
  <c r="I381" i="6"/>
  <c r="L382" i="5"/>
  <c r="D382" i="5" s="1"/>
  <c r="M382" i="5"/>
  <c r="I381" i="5"/>
  <c r="AX299" i="20" l="1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L381" i="5"/>
  <c r="M381" i="5"/>
  <c r="D381" i="5"/>
  <c r="AV298" i="20" l="1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V296" i="20"/>
  <c r="Y296" i="20" s="1"/>
  <c r="AA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L379" i="5"/>
  <c r="D379" i="5" s="1"/>
  <c r="M379" i="5"/>
  <c r="I378" i="5"/>
  <c r="W296" i="20" l="1"/>
  <c r="AC296" i="20"/>
  <c r="AV296" i="20"/>
  <c r="BA297" i="20" s="1"/>
  <c r="AB296" i="20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W295" i="20" s="1"/>
  <c r="V295" i="20"/>
  <c r="AC295" i="20" s="1"/>
  <c r="X295" i="20"/>
  <c r="Y295" i="20"/>
  <c r="AA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AB295" i="20" l="1"/>
  <c r="BB296" i="20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M383" i="12"/>
  <c r="I382" i="12"/>
  <c r="C383" i="12"/>
  <c r="G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AV293" i="20" s="1"/>
  <c r="BA294" i="20" s="1"/>
  <c r="V293" i="20"/>
  <c r="AC293" i="20" s="1"/>
  <c r="X293" i="20"/>
  <c r="Y293" i="20"/>
  <c r="AA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M382" i="12"/>
  <c r="I381" i="12"/>
  <c r="C382" i="12"/>
  <c r="G382" i="12"/>
  <c r="L376" i="8"/>
  <c r="M376" i="8"/>
  <c r="I376" i="8"/>
  <c r="C376" i="8"/>
  <c r="D376" i="8"/>
  <c r="L376" i="7"/>
  <c r="M376" i="7"/>
  <c r="I376" i="7"/>
  <c r="C376" i="7"/>
  <c r="D376" i="7"/>
  <c r="L375" i="6"/>
  <c r="M375" i="6"/>
  <c r="I375" i="6"/>
  <c r="L376" i="5"/>
  <c r="D376" i="5" s="1"/>
  <c r="M376" i="5"/>
  <c r="I376" i="5"/>
  <c r="AD293" i="20" l="1"/>
  <c r="Z293" i="20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G375" i="8"/>
  <c r="C375" i="8"/>
  <c r="D375" i="8"/>
  <c r="L375" i="7"/>
  <c r="M375" i="7"/>
  <c r="I375" i="7"/>
  <c r="C375" i="7"/>
  <c r="D375" i="7"/>
  <c r="L374" i="6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X291" i="20" s="1"/>
  <c r="V291" i="20"/>
  <c r="AE291" i="20" s="1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M380" i="12"/>
  <c r="I379" i="12"/>
  <c r="C380" i="12"/>
  <c r="G380" i="12"/>
  <c r="L374" i="8"/>
  <c r="M374" i="8"/>
  <c r="I374" i="8"/>
  <c r="C374" i="8"/>
  <c r="D374" i="8"/>
  <c r="L374" i="7"/>
  <c r="D374" i="7" s="1"/>
  <c r="M374" i="7"/>
  <c r="I374" i="7"/>
  <c r="C374" i="7"/>
  <c r="L373" i="6"/>
  <c r="M373" i="6"/>
  <c r="I373" i="6"/>
  <c r="L374" i="5"/>
  <c r="D374" i="5" s="1"/>
  <c r="M374" i="5"/>
  <c r="I374" i="5"/>
  <c r="AV291" i="20" l="1"/>
  <c r="BA292" i="20" s="1"/>
  <c r="BD292" i="20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 s="1"/>
  <c r="AA290" i="20"/>
  <c r="AC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W290" i="20"/>
  <c r="AY290" i="20"/>
  <c r="AZ290" i="20"/>
  <c r="D368" i="8"/>
  <c r="D380" i="10"/>
  <c r="I379" i="10"/>
  <c r="D379" i="9"/>
  <c r="I378" i="9"/>
  <c r="D379" i="11"/>
  <c r="I378" i="11"/>
  <c r="G379" i="12"/>
  <c r="I378" i="12"/>
  <c r="D373" i="8"/>
  <c r="D373" i="7"/>
  <c r="D373" i="5"/>
  <c r="AV290" i="20" l="1"/>
  <c r="BA291" i="20" s="1"/>
  <c r="AB290" i="20"/>
  <c r="AE290" i="20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A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M371" i="6"/>
  <c r="I371" i="6"/>
  <c r="L372" i="5"/>
  <c r="D372" i="5" s="1"/>
  <c r="M372" i="5"/>
  <c r="I372" i="5"/>
  <c r="AV289" i="20" l="1"/>
  <c r="BA290" i="20" s="1"/>
  <c r="AB289" i="20"/>
  <c r="D378" i="12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B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L370" i="5"/>
  <c r="D370" i="5" s="1"/>
  <c r="M370" i="5"/>
  <c r="I370" i="5"/>
  <c r="AD287" i="20" l="1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M368" i="6"/>
  <c r="I368" i="6"/>
  <c r="L369" i="5"/>
  <c r="D369" i="5" s="1"/>
  <c r="M369" i="5"/>
  <c r="I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M368" i="8"/>
  <c r="C368" i="8"/>
  <c r="L368" i="7"/>
  <c r="M368" i="7"/>
  <c r="I368" i="7"/>
  <c r="C368" i="7"/>
  <c r="L367" i="6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L367" i="5"/>
  <c r="D367" i="5" s="1"/>
  <c r="M367" i="5"/>
  <c r="I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X283" i="20" s="1"/>
  <c r="V283" i="20"/>
  <c r="AC283" i="20" s="1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Y282" i="20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L365" i="5"/>
  <c r="D365" i="5" s="1"/>
  <c r="M365" i="5"/>
  <c r="I365" i="5"/>
  <c r="X282" i="20" l="1"/>
  <c r="BB283" i="20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M370" i="12"/>
  <c r="I369" i="12"/>
  <c r="C370" i="12"/>
  <c r="G370" i="12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L364" i="5"/>
  <c r="M364" i="5"/>
  <c r="I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 s="1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L362" i="5"/>
  <c r="M362" i="5"/>
  <c r="I362" i="5"/>
  <c r="D362" i="5"/>
  <c r="AE279" i="20" l="1"/>
  <c r="AC279" i="20"/>
  <c r="AV279" i="20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X278" i="20" s="1"/>
  <c r="V278" i="20"/>
  <c r="AE278" i="20" s="1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M367" i="12"/>
  <c r="I366" i="12"/>
  <c r="C367" i="12"/>
  <c r="G367" i="12"/>
  <c r="L361" i="8"/>
  <c r="M361" i="8"/>
  <c r="I361" i="8"/>
  <c r="C361" i="8"/>
  <c r="D361" i="8"/>
  <c r="L361" i="7"/>
  <c r="M361" i="7"/>
  <c r="I361" i="7"/>
  <c r="C361" i="7"/>
  <c r="D361" i="7"/>
  <c r="L360" i="6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 s="1"/>
  <c r="AA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M365" i="12"/>
  <c r="I364" i="12"/>
  <c r="C365" i="12"/>
  <c r="G365" i="12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L359" i="5"/>
  <c r="D359" i="5" s="1"/>
  <c r="M359" i="5"/>
  <c r="I359" i="5"/>
  <c r="AB276" i="20" l="1"/>
  <c r="AV276" i="20"/>
  <c r="BA277" i="20" s="1"/>
  <c r="BB277" i="20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 s="1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AV275" i="20" l="1"/>
  <c r="BA276" i="20" s="1"/>
  <c r="AB275" i="20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9" i="20" l="1"/>
  <c r="BJ277" i="20"/>
  <c r="BJ280" i="20"/>
  <c r="BJ276" i="20"/>
  <c r="S274" i="20"/>
  <c r="T275" i="20" s="1"/>
  <c r="U274" i="20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G356" i="6"/>
  <c r="L355" i="6"/>
  <c r="M355" i="6"/>
  <c r="L356" i="6"/>
  <c r="M356" i="6"/>
  <c r="L356" i="5"/>
  <c r="L357" i="5"/>
  <c r="D356" i="5"/>
  <c r="M356" i="5"/>
  <c r="D357" i="5"/>
  <c r="M357" i="5"/>
  <c r="S273" i="20"/>
  <c r="T274" i="20" s="1"/>
  <c r="U273" i="20"/>
  <c r="W273" i="20" s="1"/>
  <c r="V273" i="20"/>
  <c r="Y273" i="20" s="1"/>
  <c r="AA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AB273" i="20" l="1"/>
  <c r="W274" i="20"/>
  <c r="AV274" i="20"/>
  <c r="BA275" i="20" s="1"/>
  <c r="X273" i="20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M360" i="12"/>
  <c r="I359" i="12"/>
  <c r="G360" i="12"/>
  <c r="C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L353" i="5"/>
  <c r="D353" i="5" s="1"/>
  <c r="M353" i="5"/>
  <c r="I353" i="5"/>
  <c r="AX270" i="20" l="1"/>
  <c r="AV270" i="20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L352" i="5"/>
  <c r="D352" i="5" s="1"/>
  <c r="M352" i="5"/>
  <c r="I352" i="5"/>
  <c r="BJ273" i="20" l="1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M351" i="8"/>
  <c r="C351" i="8"/>
  <c r="D351" i="8"/>
  <c r="L351" i="7"/>
  <c r="M351" i="7"/>
  <c r="I351" i="7"/>
  <c r="C351" i="7"/>
  <c r="D351" i="7"/>
  <c r="L350" i="6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M356" i="12"/>
  <c r="I355" i="12"/>
  <c r="C356" i="12"/>
  <c r="G356" i="12"/>
  <c r="L350" i="8"/>
  <c r="M350" i="8"/>
  <c r="C350" i="8"/>
  <c r="D350" i="8"/>
  <c r="L350" i="7"/>
  <c r="M350" i="7"/>
  <c r="I350" i="7"/>
  <c r="C350" i="7"/>
  <c r="D350" i="7"/>
  <c r="G350" i="7" s="1"/>
  <c r="L349" i="6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M348" i="6"/>
  <c r="I348" i="6"/>
  <c r="L349" i="5"/>
  <c r="D349" i="5" s="1"/>
  <c r="M349" i="5"/>
  <c r="I349" i="5"/>
  <c r="G355" i="12" l="1"/>
  <c r="D355" i="12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L348" i="5"/>
  <c r="M348" i="5"/>
  <c r="I348" i="5"/>
  <c r="BG268" i="20" l="1"/>
  <c r="BI268" i="20"/>
  <c r="BE268" i="20"/>
  <c r="BF268" i="20"/>
  <c r="BH268" i="20"/>
  <c r="BE267" i="20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F269" i="20"/>
  <c r="BH269" i="20"/>
  <c r="BG269" i="20"/>
  <c r="S265" i="20"/>
  <c r="T266" i="20" s="1"/>
  <c r="U265" i="20"/>
  <c r="W265" i="20" s="1"/>
  <c r="V265" i="20"/>
  <c r="Y265" i="20" s="1"/>
  <c r="AA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W265" i="20"/>
  <c r="AX265" i="20"/>
  <c r="AY265" i="20"/>
  <c r="AZ265" i="20"/>
  <c r="BJ269" i="20" l="1"/>
  <c r="AD265" i="20"/>
  <c r="AB265" i="20"/>
  <c r="BJ267" i="20"/>
  <c r="AV265" i="20"/>
  <c r="BA266" i="20" s="1"/>
  <c r="X265" i="20"/>
  <c r="Z265" i="20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M352" i="12"/>
  <c r="I351" i="12"/>
  <c r="C352" i="12"/>
  <c r="G352" i="12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M345" i="6"/>
  <c r="I345" i="6"/>
  <c r="L346" i="5"/>
  <c r="M346" i="5"/>
  <c r="I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V262" i="20"/>
  <c r="Y262" i="20" s="1"/>
  <c r="AA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L345" i="5"/>
  <c r="D345" i="5" s="1"/>
  <c r="M345" i="5"/>
  <c r="I345" i="5"/>
  <c r="D352" i="10"/>
  <c r="D351" i="9"/>
  <c r="G351" i="9" s="1"/>
  <c r="D351" i="11"/>
  <c r="G351" i="12"/>
  <c r="D345" i="7"/>
  <c r="AE262" i="20" l="1"/>
  <c r="Z262" i="20"/>
  <c r="AC262" i="20"/>
  <c r="AV262" i="20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L344" i="5"/>
  <c r="D344" i="5" s="1"/>
  <c r="M344" i="5"/>
  <c r="I344" i="5"/>
  <c r="G350" i="12" l="1"/>
  <c r="D350" i="12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AA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Y260" i="20" l="1"/>
  <c r="AE260" i="20"/>
  <c r="W260" i="20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V259" i="20"/>
  <c r="AE259" i="20" s="1"/>
  <c r="AA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M348" i="12"/>
  <c r="I347" i="12"/>
  <c r="C348" i="12"/>
  <c r="G348" i="12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L342" i="5"/>
  <c r="D342" i="5" s="1"/>
  <c r="M342" i="5"/>
  <c r="I342" i="5"/>
  <c r="AC259" i="20" l="1"/>
  <c r="W259" i="20"/>
  <c r="Y259" i="20"/>
  <c r="AV259" i="20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 s="1"/>
  <c r="AA258" i="20"/>
  <c r="AB258" i="20"/>
  <c r="AC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AE258" i="20" l="1"/>
  <c r="BB259" i="20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M340" i="6"/>
  <c r="L341" i="5"/>
  <c r="D341" i="5" s="1"/>
  <c r="G341" i="5" s="1"/>
  <c r="M341" i="5"/>
  <c r="G347" i="12" l="1"/>
  <c r="D347" i="12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M336" i="6"/>
  <c r="I336" i="6"/>
  <c r="L337" i="5"/>
  <c r="D337" i="5" s="1"/>
  <c r="M337" i="5"/>
  <c r="I337" i="5"/>
  <c r="G343" i="12" l="1"/>
  <c r="D343" i="12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Y256" i="20" l="1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M342" i="12"/>
  <c r="I341" i="12"/>
  <c r="C342" i="12"/>
  <c r="G342" i="12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L336" i="5"/>
  <c r="M336" i="5"/>
  <c r="I336" i="5"/>
  <c r="D336" i="5"/>
  <c r="AB255" i="20" l="1"/>
  <c r="AV255" i="20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M334" i="6"/>
  <c r="I334" i="6"/>
  <c r="L335" i="5"/>
  <c r="D335" i="5" s="1"/>
  <c r="M335" i="5"/>
  <c r="I335" i="5"/>
  <c r="AC254" i="20" l="1"/>
  <c r="Y254" i="20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L334" i="5"/>
  <c r="D334" i="5" s="1"/>
  <c r="G334" i="5" s="1"/>
  <c r="M334" i="5"/>
  <c r="I334" i="5"/>
  <c r="D341" i="10"/>
  <c r="D340" i="9"/>
  <c r="D340" i="11"/>
  <c r="G340" i="12"/>
  <c r="D334" i="8"/>
  <c r="D334" i="7"/>
  <c r="AD253" i="20" l="1"/>
  <c r="AB253" i="20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V252" i="20" l="1"/>
  <c r="BA253" i="20" s="1"/>
  <c r="AX252" i="20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M338" i="12"/>
  <c r="I337" i="12"/>
  <c r="C338" i="12"/>
  <c r="G338" i="12"/>
  <c r="L332" i="8"/>
  <c r="D332" i="8" s="1"/>
  <c r="M332" i="8"/>
  <c r="I332" i="8"/>
  <c r="C332" i="8"/>
  <c r="L332" i="7"/>
  <c r="M332" i="7"/>
  <c r="I332" i="7"/>
  <c r="C332" i="7"/>
  <c r="D332" i="7"/>
  <c r="L331" i="6"/>
  <c r="M331" i="6"/>
  <c r="I331" i="6"/>
  <c r="L332" i="5"/>
  <c r="D332" i="5" s="1"/>
  <c r="G332" i="5" s="1"/>
  <c r="M332" i="5"/>
  <c r="I332" i="5"/>
  <c r="Z251" i="20" l="1"/>
  <c r="W251" i="20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L331" i="5"/>
  <c r="D331" i="5" s="1"/>
  <c r="M331" i="5"/>
  <c r="I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AE249" i="20" l="1"/>
  <c r="AC249" i="20"/>
  <c r="BD250" i="20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M336" i="12"/>
  <c r="I335" i="12"/>
  <c r="C336" i="12"/>
  <c r="G336" i="12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L330" i="5"/>
  <c r="M330" i="5"/>
  <c r="I330" i="5"/>
  <c r="D330" i="5"/>
  <c r="G330" i="5" s="1"/>
  <c r="X248" i="20" l="1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AV247" i="20" s="1"/>
  <c r="BA248" i="20" s="1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M327" i="6"/>
  <c r="I327" i="6"/>
  <c r="L328" i="5"/>
  <c r="D328" i="5" s="1"/>
  <c r="M328" i="5"/>
  <c r="I328" i="5"/>
  <c r="G334" i="12" l="1"/>
  <c r="D334" i="12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M333" i="12"/>
  <c r="I332" i="12"/>
  <c r="C333" i="12"/>
  <c r="G333" i="12"/>
  <c r="L327" i="8"/>
  <c r="M327" i="8"/>
  <c r="I327" i="8"/>
  <c r="C327" i="8"/>
  <c r="D327" i="8"/>
  <c r="L327" i="7"/>
  <c r="M327" i="7"/>
  <c r="I327" i="7"/>
  <c r="C327" i="7"/>
  <c r="D327" i="7"/>
  <c r="L326" i="6"/>
  <c r="M326" i="6"/>
  <c r="I326" i="6"/>
  <c r="L327" i="5"/>
  <c r="D327" i="5" s="1"/>
  <c r="M327" i="5"/>
  <c r="I327" i="5"/>
  <c r="W245" i="20" l="1"/>
  <c r="AC245" i="20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W241" i="20" l="1"/>
  <c r="AV242" i="20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M327" i="12"/>
  <c r="I326" i="12"/>
  <c r="C327" i="12"/>
  <c r="G327" i="12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L321" i="5"/>
  <c r="M321" i="5"/>
  <c r="I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M320" i="7"/>
  <c r="G320" i="7"/>
  <c r="C320" i="7"/>
  <c r="D320" i="7"/>
  <c r="L319" i="6"/>
  <c r="M319" i="6"/>
  <c r="L320" i="5"/>
  <c r="D320" i="5" s="1"/>
  <c r="M320" i="5"/>
  <c r="AE239" i="20" l="1"/>
  <c r="AV239" i="20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M319" i="8"/>
  <c r="I318" i="8"/>
  <c r="C319" i="8"/>
  <c r="D319" i="8"/>
  <c r="L319" i="7"/>
  <c r="D319" i="7" s="1"/>
  <c r="M319" i="7"/>
  <c r="I318" i="7"/>
  <c r="C319" i="7"/>
  <c r="L318" i="6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M316" i="6"/>
  <c r="I316" i="6"/>
  <c r="L317" i="5"/>
  <c r="D317" i="5" s="1"/>
  <c r="M317" i="5"/>
  <c r="I317" i="5"/>
  <c r="BA239" i="20" l="1"/>
  <c r="BE239" i="20"/>
  <c r="BJ239" i="20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M314" i="8"/>
  <c r="I314" i="8"/>
  <c r="C314" i="8"/>
  <c r="D314" i="8"/>
  <c r="L314" i="7"/>
  <c r="M314" i="7"/>
  <c r="I314" i="7"/>
  <c r="C314" i="7"/>
  <c r="D314" i="7"/>
  <c r="L313" i="6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AA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Y233" i="20"/>
  <c r="AZ233" i="20"/>
  <c r="B234" i="20"/>
  <c r="B235" i="20"/>
  <c r="B236" i="20"/>
  <c r="B237" i="20"/>
  <c r="W233" i="20" l="1"/>
  <c r="AB233" i="20"/>
  <c r="AD233" i="20"/>
  <c r="AX233" i="20"/>
  <c r="Z233" i="20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M312" i="8"/>
  <c r="I312" i="8"/>
  <c r="G312" i="8"/>
  <c r="C312" i="8"/>
  <c r="D312" i="8"/>
  <c r="L312" i="7"/>
  <c r="M312" i="7"/>
  <c r="I312" i="7"/>
  <c r="C312" i="7"/>
  <c r="D312" i="7"/>
  <c r="L311" i="6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AB231" i="20" s="1"/>
  <c r="V231" i="20"/>
  <c r="AC231" i="20" s="1"/>
  <c r="AA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L311" i="5"/>
  <c r="M311" i="5"/>
  <c r="I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L309" i="5"/>
  <c r="M309" i="5"/>
  <c r="I309" i="5"/>
  <c r="D309" i="5"/>
  <c r="B229" i="20"/>
  <c r="B230" i="20"/>
  <c r="B231" i="20"/>
  <c r="B232" i="20"/>
  <c r="B233" i="20"/>
  <c r="S228" i="20"/>
  <c r="T229" i="20" s="1"/>
  <c r="U228" i="20"/>
  <c r="AV228" i="20" s="1"/>
  <c r="BA229" i="20" s="1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M307" i="6"/>
  <c r="I307" i="6"/>
  <c r="L308" i="5"/>
  <c r="D308" i="5" s="1"/>
  <c r="M308" i="5"/>
  <c r="I308" i="5"/>
  <c r="D314" i="11"/>
  <c r="G314" i="12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G307" i="8"/>
  <c r="C307" i="8"/>
  <c r="D307" i="8"/>
  <c r="L307" i="7"/>
  <c r="M307" i="7"/>
  <c r="C307" i="7"/>
  <c r="D307" i="7"/>
  <c r="L306" i="6"/>
  <c r="M306" i="6"/>
  <c r="L307" i="5"/>
  <c r="D307" i="5" s="1"/>
  <c r="M307" i="5"/>
  <c r="I307" i="5"/>
  <c r="AV227" i="20" l="1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L306" i="5"/>
  <c r="M306" i="5"/>
  <c r="I306" i="5"/>
  <c r="D313" i="10"/>
  <c r="D312" i="9"/>
  <c r="G312" i="12"/>
  <c r="D306" i="8"/>
  <c r="D306" i="7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E225" i="20" s="1"/>
  <c r="AA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V224" i="20"/>
  <c r="AE224" i="20" s="1"/>
  <c r="AA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Z224" i="20" l="1"/>
  <c r="AC224" i="20"/>
  <c r="Y224" i="20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L302" i="5"/>
  <c r="M302" i="5"/>
  <c r="I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L301" i="5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1" i="5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M306" i="12"/>
  <c r="I305" i="12"/>
  <c r="C306" i="12"/>
  <c r="G306" i="12"/>
  <c r="L300" i="8"/>
  <c r="D300" i="8" s="1"/>
  <c r="M300" i="8"/>
  <c r="I298" i="8"/>
  <c r="C300" i="8"/>
  <c r="L300" i="7"/>
  <c r="D300" i="7" s="1"/>
  <c r="M300" i="7"/>
  <c r="I298" i="7"/>
  <c r="C300" i="7"/>
  <c r="L299" i="6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M305" i="12"/>
  <c r="I304" i="12"/>
  <c r="C305" i="12"/>
  <c r="G305" i="12"/>
  <c r="L299" i="8"/>
  <c r="M299" i="8"/>
  <c r="C299" i="8"/>
  <c r="D299" i="8"/>
  <c r="L299" i="7"/>
  <c r="D299" i="7" s="1"/>
  <c r="M299" i="7"/>
  <c r="C299" i="7"/>
  <c r="L298" i="6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M297" i="7"/>
  <c r="I297" i="7"/>
  <c r="C297" i="7"/>
  <c r="L296" i="6"/>
  <c r="M296" i="6"/>
  <c r="I296" i="6"/>
  <c r="L297" i="5"/>
  <c r="M297" i="5"/>
  <c r="I297" i="5"/>
  <c r="D304" i="10"/>
  <c r="D303" i="9"/>
  <c r="D303" i="11"/>
  <c r="D297" i="8"/>
  <c r="D297" i="7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L294" i="5"/>
  <c r="D294" i="5" s="1"/>
  <c r="M294" i="5"/>
  <c r="I294" i="5"/>
  <c r="D294" i="8"/>
  <c r="D294" i="7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M298" i="12"/>
  <c r="I297" i="12"/>
  <c r="G298" i="12"/>
  <c r="C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L290" i="5"/>
  <c r="D290" i="5" s="1"/>
  <c r="G290" i="5" s="1"/>
  <c r="M290" i="5"/>
  <c r="I290" i="5"/>
  <c r="D297" i="10"/>
  <c r="D296" i="11"/>
  <c r="G296" i="12"/>
  <c r="D290" i="8"/>
  <c r="D290" i="7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M295" i="12"/>
  <c r="I294" i="12"/>
  <c r="C295" i="12"/>
  <c r="G295" i="12"/>
  <c r="L289" i="8"/>
  <c r="M289" i="8"/>
  <c r="I289" i="8"/>
  <c r="C289" i="8"/>
  <c r="L289" i="7"/>
  <c r="M289" i="7"/>
  <c r="I289" i="7"/>
  <c r="C289" i="7"/>
  <c r="L288" i="6"/>
  <c r="M288" i="6"/>
  <c r="I288" i="6"/>
  <c r="L289" i="5"/>
  <c r="M289" i="5"/>
  <c r="I289" i="5"/>
  <c r="B152" i="25"/>
  <c r="D296" i="10"/>
  <c r="D295" i="9"/>
  <c r="D295" i="11"/>
  <c r="D289" i="8"/>
  <c r="D289" i="7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L287" i="5"/>
  <c r="D287" i="5" s="1"/>
  <c r="M287" i="5"/>
  <c r="I287" i="5"/>
  <c r="D294" i="10"/>
  <c r="D293" i="9"/>
  <c r="D293" i="11"/>
  <c r="G293" i="12"/>
  <c r="D287" i="7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L286" i="5"/>
  <c r="M286" i="5"/>
  <c r="I286" i="5"/>
  <c r="D293" i="10"/>
  <c r="D292" i="11"/>
  <c r="G292" i="12"/>
  <c r="D286" i="7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J204" i="20" s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M284" i="12"/>
  <c r="I282" i="12"/>
  <c r="I283" i="12"/>
  <c r="G284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L277" i="6"/>
  <c r="M278" i="5"/>
  <c r="L278" i="5"/>
  <c r="I278" i="5"/>
  <c r="D278" i="5"/>
  <c r="G278" i="5" s="1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L276" i="6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G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L273" i="6"/>
  <c r="D274" i="5"/>
  <c r="M274" i="5"/>
  <c r="L274" i="5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I272" i="6"/>
  <c r="G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X194" i="20" s="1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W194" i="20"/>
  <c r="AY194" i="20"/>
  <c r="AZ194" i="20"/>
  <c r="K135" i="25"/>
  <c r="I135" i="25"/>
  <c r="M135" i="25"/>
  <c r="D135" i="25"/>
  <c r="M278" i="12"/>
  <c r="M277" i="12"/>
  <c r="L278" i="12"/>
  <c r="D278" i="12" s="1"/>
  <c r="I277" i="12"/>
  <c r="C278" i="12"/>
  <c r="G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L270" i="6"/>
  <c r="M272" i="5"/>
  <c r="L272" i="5"/>
  <c r="D272" i="5" s="1"/>
  <c r="AV194" i="20" l="1"/>
  <c r="BA195" i="20" s="1"/>
  <c r="X194" i="20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L269" i="6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L267" i="6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L266" i="6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G265" i="6"/>
  <c r="L265" i="6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I261" i="5"/>
  <c r="D124" i="25"/>
  <c r="L260" i="6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C265" i="12"/>
  <c r="G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D253" i="12" s="1"/>
  <c r="L254" i="10"/>
  <c r="D254" i="10" s="1"/>
  <c r="L253" i="11"/>
  <c r="D253" i="11" s="1"/>
  <c r="L249" i="7"/>
  <c r="I248" i="6"/>
  <c r="M248" i="6"/>
  <c r="L248" i="6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M245" i="6"/>
  <c r="L245" i="6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V169" i="20" l="1"/>
  <c r="BA170" i="20" s="1"/>
  <c r="AB169" i="20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44" i="12" l="1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G235" i="6"/>
  <c r="M235" i="6"/>
  <c r="L235" i="6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G234" i="6" s="1"/>
  <c r="L235" i="5"/>
  <c r="D235" i="5" s="1"/>
  <c r="G235" i="5" s="1"/>
  <c r="I235" i="5"/>
  <c r="D240" i="12" l="1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G233" i="6" s="1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9" i="12" l="1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G232" i="6" s="1"/>
  <c r="L233" i="5"/>
  <c r="D233" i="5" s="1"/>
  <c r="G233" i="5" s="1"/>
  <c r="D238" i="12" l="1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G230" i="6" s="1"/>
  <c r="I230" i="6"/>
  <c r="M236" i="5"/>
  <c r="M235" i="5"/>
  <c r="M234" i="5"/>
  <c r="M233" i="5"/>
  <c r="M231" i="5"/>
  <c r="L231" i="5"/>
  <c r="D231" i="5" s="1"/>
  <c r="G231" i="5" s="1"/>
  <c r="I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G229" i="6" s="1"/>
  <c r="I230" i="5"/>
  <c r="D236" i="12" l="1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G228" i="6" s="1"/>
  <c r="M229" i="5"/>
  <c r="L229" i="5"/>
  <c r="D229" i="5" s="1"/>
  <c r="G229" i="5" s="1"/>
  <c r="I229" i="5"/>
  <c r="D235" i="12" l="1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G227" i="6" s="1"/>
  <c r="M228" i="5"/>
  <c r="L228" i="5"/>
  <c r="D228" i="5" s="1"/>
  <c r="G228" i="5" s="1"/>
  <c r="D234" i="12" l="1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G225" i="6" s="1"/>
  <c r="D232" i="12" l="1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G224" i="6" s="1"/>
  <c r="M225" i="5"/>
  <c r="L225" i="5"/>
  <c r="D225" i="5" s="1"/>
  <c r="G225" i="5" s="1"/>
  <c r="D231" i="12" l="1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G223" i="6" s="1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D230" i="12" l="1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G222" i="6" s="1"/>
  <c r="M223" i="5"/>
  <c r="L223" i="5"/>
  <c r="D223" i="5" s="1"/>
  <c r="G223" i="5" s="1"/>
  <c r="I223" i="5"/>
  <c r="M229" i="12"/>
  <c r="L229" i="12"/>
  <c r="D229" i="12" l="1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G221" i="6" s="1"/>
  <c r="M222" i="5"/>
  <c r="L222" i="5"/>
  <c r="D222" i="5" s="1"/>
  <c r="G222" i="5" s="1"/>
  <c r="I222" i="5"/>
  <c r="D228" i="12" l="1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G220" i="6" s="1"/>
  <c r="M220" i="6"/>
  <c r="M221" i="5"/>
  <c r="L221" i="5"/>
  <c r="D221" i="5" s="1"/>
  <c r="G221" i="5" s="1"/>
  <c r="I221" i="5"/>
  <c r="D227" i="12" l="1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G219" i="6"/>
  <c r="L219" i="6"/>
  <c r="M219" i="6"/>
  <c r="M220" i="5"/>
  <c r="L220" i="5"/>
  <c r="D220" i="5" s="1"/>
  <c r="G220" i="5" s="1"/>
  <c r="I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G218" i="6" s="1"/>
  <c r="M219" i="5"/>
  <c r="L219" i="5"/>
  <c r="D219" i="5" s="1"/>
  <c r="G219" i="5" s="1"/>
  <c r="I219" i="5"/>
  <c r="D225" i="12" l="1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G217" i="6" s="1"/>
  <c r="M218" i="5"/>
  <c r="L218" i="5"/>
  <c r="D218" i="5" s="1"/>
  <c r="G218" i="5" s="1"/>
  <c r="I218" i="5"/>
  <c r="D224" i="12" l="1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G216" i="6" s="1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l="1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G213" i="6" s="1"/>
  <c r="L214" i="5"/>
  <c r="I214" i="5"/>
  <c r="D214" i="5"/>
  <c r="G214" i="5" s="1"/>
  <c r="D220" i="12" l="1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G212" i="6" s="1"/>
  <c r="I212" i="6"/>
  <c r="L213" i="5"/>
  <c r="D213" i="5" s="1"/>
  <c r="G213" i="5" s="1"/>
  <c r="I213" i="5"/>
  <c r="D219" i="12" l="1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G211" i="6" s="1"/>
  <c r="M212" i="5"/>
  <c r="M213" i="5"/>
  <c r="M214" i="5"/>
  <c r="M215" i="5"/>
  <c r="M216" i="5"/>
  <c r="L212" i="5"/>
  <c r="D212" i="5" s="1"/>
  <c r="G212" i="5" s="1"/>
  <c r="I212" i="5"/>
  <c r="D218" i="11" l="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G210" i="6" s="1"/>
  <c r="M211" i="5"/>
  <c r="L211" i="5"/>
  <c r="D211" i="5" s="1"/>
  <c r="G211" i="5" s="1"/>
  <c r="I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G208" i="6" s="1"/>
  <c r="I208" i="6"/>
  <c r="M209" i="5"/>
  <c r="L209" i="5"/>
  <c r="D209" i="5" s="1"/>
  <c r="I209" i="5"/>
  <c r="D215" i="12" l="1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G207" i="6" s="1"/>
  <c r="M208" i="5"/>
  <c r="L208" i="5"/>
  <c r="D208" i="5" s="1"/>
  <c r="G208" i="5" s="1"/>
  <c r="I208" i="5"/>
  <c r="D214" i="12" l="1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G206" i="6" s="1"/>
  <c r="M207" i="5"/>
  <c r="L207" i="5"/>
  <c r="D207" i="5" s="1"/>
  <c r="G207" i="5" s="1"/>
  <c r="I207" i="5"/>
  <c r="D213" i="12" l="1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G205" i="6" s="1"/>
  <c r="I205" i="6"/>
  <c r="M206" i="5"/>
  <c r="L206" i="5"/>
  <c r="D206" i="5" s="1"/>
  <c r="G206" i="5" s="1"/>
  <c r="I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G204" i="6" s="1"/>
  <c r="M205" i="5"/>
  <c r="L205" i="5"/>
  <c r="D205" i="5" s="1"/>
  <c r="G205" i="5" s="1"/>
  <c r="I205" i="5"/>
  <c r="M211" i="12"/>
  <c r="L211" i="12"/>
  <c r="I210" i="12"/>
  <c r="C211" i="12"/>
  <c r="D211" i="12" l="1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G203" i="6" s="1"/>
  <c r="M204" i="5"/>
  <c r="L204" i="5"/>
  <c r="D204" i="5" s="1"/>
  <c r="G204" i="5" s="1"/>
  <c r="I204" i="5"/>
  <c r="D210" i="12" l="1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G202" i="6" s="1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9" i="12" l="1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G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G200" i="6" s="1"/>
  <c r="I200" i="6"/>
  <c r="I201" i="5"/>
  <c r="M201" i="5"/>
  <c r="L201" i="5"/>
  <c r="D201" i="5" s="1"/>
  <c r="G201" i="5" s="1"/>
  <c r="D207" i="12" l="1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G199" i="6" s="1"/>
  <c r="M200" i="5"/>
  <c r="L200" i="5"/>
  <c r="D200" i="5" s="1"/>
  <c r="G200" i="5" s="1"/>
  <c r="I200" i="5"/>
  <c r="D206" i="12" l="1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G198" i="6" s="1"/>
  <c r="M199" i="5"/>
  <c r="L199" i="5"/>
  <c r="D199" i="5" s="1"/>
  <c r="G199" i="5" s="1"/>
  <c r="I199" i="5"/>
  <c r="D205" i="12" l="1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G197" i="6" s="1"/>
  <c r="M198" i="5"/>
  <c r="L198" i="5"/>
  <c r="D198" i="5" s="1"/>
  <c r="G198" i="5" s="1"/>
  <c r="I198" i="5"/>
  <c r="D204" i="12" l="1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G196" i="6" s="1"/>
  <c r="M197" i="5"/>
  <c r="L197" i="5"/>
  <c r="D197" i="5" s="1"/>
  <c r="G197" i="5" s="1"/>
  <c r="I197" i="5"/>
  <c r="D203" i="12" l="1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G195" i="6" s="1"/>
  <c r="I195" i="6"/>
  <c r="L196" i="5"/>
  <c r="D196" i="5" s="1"/>
  <c r="G196" i="5" s="1"/>
  <c r="I196" i="5"/>
  <c r="D202" i="12" l="1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G194" i="6" s="1"/>
  <c r="L195" i="5"/>
  <c r="D195" i="5" s="1"/>
  <c r="G195" i="5" s="1"/>
  <c r="I195" i="5"/>
  <c r="D201" i="12" l="1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G193" i="6"/>
  <c r="L193" i="6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G192" i="6" s="1"/>
  <c r="L193" i="5"/>
  <c r="D193" i="5" s="1"/>
  <c r="G193" i="5" s="1"/>
  <c r="I193" i="5"/>
  <c r="D199" i="12" l="1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G191" i="6"/>
  <c r="M191" i="6"/>
  <c r="L191" i="6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G190" i="6" s="1"/>
  <c r="M191" i="5"/>
  <c r="L191" i="5"/>
  <c r="D191" i="5" s="1"/>
  <c r="G191" i="5" s="1"/>
  <c r="I191" i="5"/>
  <c r="D197" i="12" l="1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G189" i="6" s="1"/>
  <c r="M190" i="5"/>
  <c r="L190" i="5"/>
  <c r="D190" i="5" s="1"/>
  <c r="G190" i="5" s="1"/>
  <c r="I190" i="5"/>
  <c r="D196" i="12" l="1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G188" i="6" s="1"/>
  <c r="M189" i="5"/>
  <c r="L189" i="5"/>
  <c r="D189" i="5" s="1"/>
  <c r="G189" i="5" s="1"/>
  <c r="I189" i="5"/>
  <c r="D195" i="12" l="1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G187" i="6" s="1"/>
  <c r="M188" i="5"/>
  <c r="L188" i="5"/>
  <c r="D188" i="5" s="1"/>
  <c r="G188" i="5" s="1"/>
  <c r="I188" i="5"/>
  <c r="D194" i="12" l="1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G186" i="6" s="1"/>
  <c r="M187" i="5"/>
  <c r="L187" i="5"/>
  <c r="D187" i="5" s="1"/>
  <c r="G187" i="5" s="1"/>
  <c r="I187" i="5"/>
  <c r="D48" i="25"/>
  <c r="B48" i="25"/>
  <c r="B49" i="25"/>
  <c r="B50" i="25"/>
  <c r="B51" i="25"/>
  <c r="B52" i="25"/>
  <c r="D193" i="12" l="1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G185" i="6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G184" i="6" s="1"/>
  <c r="M185" i="5"/>
  <c r="L185" i="5"/>
  <c r="D185" i="5" s="1"/>
  <c r="G185" i="5" s="1"/>
  <c r="I185" i="5"/>
  <c r="D191" i="12" l="1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G183" i="6" s="1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G182" i="6" s="1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9" i="12" l="1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G181" i="6" s="1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8" i="12" l="1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G180" i="6" s="1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G179" i="6" s="1"/>
  <c r="M180" i="5"/>
  <c r="L180" i="5"/>
  <c r="D180" i="5" s="1"/>
  <c r="G180" i="5" s="1"/>
  <c r="I180" i="5"/>
  <c r="D186" i="12" l="1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G178" i="6" s="1"/>
  <c r="I178" i="6"/>
  <c r="M179" i="5"/>
  <c r="L179" i="5"/>
  <c r="D179" i="5" s="1"/>
  <c r="G179" i="5" s="1"/>
  <c r="I179" i="5"/>
  <c r="D185" i="12" l="1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G176" i="6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G175" i="6" s="1"/>
  <c r="I175" i="6"/>
  <c r="M174" i="6"/>
  <c r="L174" i="6"/>
  <c r="G174" i="6" s="1"/>
  <c r="I174" i="6"/>
  <c r="M173" i="6"/>
  <c r="L173" i="6"/>
  <c r="G173" i="6" s="1"/>
  <c r="I173" i="6"/>
  <c r="M172" i="6"/>
  <c r="L172" i="6"/>
  <c r="G172" i="6" s="1"/>
  <c r="I172" i="6"/>
  <c r="M171" i="6"/>
  <c r="L171" i="6"/>
  <c r="G171" i="6" s="1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G178" i="12" l="1"/>
  <c r="D178" i="12"/>
  <c r="D179" i="12"/>
  <c r="G179" i="12" s="1"/>
  <c r="G180" i="12"/>
  <c r="D180" i="12"/>
  <c r="D181" i="12"/>
  <c r="G181" i="12" s="1"/>
  <c r="G182" i="12"/>
  <c r="D182" i="12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G170" i="6" s="1"/>
  <c r="I170" i="6"/>
  <c r="L171" i="5"/>
  <c r="D171" i="5" s="1"/>
  <c r="G171" i="5" s="1"/>
  <c r="I171" i="5"/>
  <c r="D177" i="12" l="1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G169" i="6" s="1"/>
  <c r="I169" i="6"/>
  <c r="L170" i="5"/>
  <c r="D170" i="5" s="1"/>
  <c r="G170" i="5" s="1"/>
  <c r="I170" i="5"/>
  <c r="D176" i="12" l="1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G168" i="6" s="1"/>
  <c r="L169" i="5"/>
  <c r="D169" i="5" s="1"/>
  <c r="G169" i="5" s="1"/>
  <c r="I169" i="5"/>
  <c r="D175" i="12" l="1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G167" i="6" s="1"/>
  <c r="M168" i="5"/>
  <c r="M169" i="5"/>
  <c r="M170" i="5"/>
  <c r="M171" i="5"/>
  <c r="L168" i="5"/>
  <c r="D168" i="5" s="1"/>
  <c r="G168" i="5" s="1"/>
  <c r="I168" i="5"/>
  <c r="D174" i="12" l="1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G166" i="6" s="1"/>
  <c r="L167" i="5"/>
  <c r="D167" i="5" s="1"/>
  <c r="G167" i="5" s="1"/>
  <c r="I167" i="5"/>
  <c r="G173" i="12" l="1"/>
  <c r="D173" i="12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G165" i="6" s="1"/>
  <c r="I165" i="6"/>
  <c r="L166" i="5"/>
  <c r="D166" i="5" s="1"/>
  <c r="G166" i="5" s="1"/>
  <c r="I166" i="5"/>
  <c r="D172" i="12" l="1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G164" i="6" s="1"/>
  <c r="I164" i="6"/>
  <c r="L165" i="5"/>
  <c r="D165" i="5" s="1"/>
  <c r="G165" i="5" s="1"/>
  <c r="I165" i="5"/>
  <c r="D171" i="12" l="1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G163" i="6" s="1"/>
  <c r="M164" i="5"/>
  <c r="M165" i="5"/>
  <c r="M166" i="5"/>
  <c r="M167" i="5"/>
  <c r="L164" i="5"/>
  <c r="D164" i="5" s="1"/>
  <c r="G164" i="5" s="1"/>
  <c r="I164" i="5"/>
  <c r="D170" i="12" l="1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G162" i="6" s="1"/>
  <c r="M160" i="6"/>
  <c r="M161" i="6"/>
  <c r="M162" i="6"/>
  <c r="M163" i="6"/>
  <c r="I161" i="6"/>
  <c r="L161" i="6"/>
  <c r="G161" i="6" s="1"/>
  <c r="I162" i="6"/>
  <c r="M163" i="5"/>
  <c r="L163" i="5"/>
  <c r="D163" i="5" s="1"/>
  <c r="G163" i="5" s="1"/>
  <c r="I163" i="5"/>
  <c r="B93" i="20"/>
  <c r="B94" i="20"/>
  <c r="B95" i="20"/>
  <c r="B96" i="20"/>
  <c r="D169" i="12" l="1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G160" i="6" s="1"/>
  <c r="I160" i="6"/>
  <c r="L159" i="6"/>
  <c r="G159" i="6" s="1"/>
  <c r="I159" i="6"/>
  <c r="J158" i="6"/>
  <c r="L158" i="6" s="1"/>
  <c r="G158" i="6" s="1"/>
  <c r="I158" i="6"/>
  <c r="I162" i="5"/>
  <c r="M161" i="5"/>
  <c r="M162" i="5"/>
  <c r="L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64" i="12" l="1"/>
  <c r="G164" i="12" s="1"/>
  <c r="G168" i="12"/>
  <c r="D168" i="12"/>
  <c r="D167" i="12"/>
  <c r="G167" i="12" s="1"/>
  <c r="G166" i="12"/>
  <c r="D166" i="12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G157" i="6" s="1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63" i="12" l="1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G156" i="6" s="1"/>
  <c r="I156" i="6"/>
  <c r="M157" i="5"/>
  <c r="L157" i="5"/>
  <c r="D157" i="5" s="1"/>
  <c r="G157" i="5" s="1"/>
  <c r="I157" i="5"/>
  <c r="D162" i="12" l="1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G155" i="6" s="1"/>
  <c r="M156" i="5"/>
  <c r="L156" i="5"/>
  <c r="D156" i="5" s="1"/>
  <c r="G156" i="5" s="1"/>
  <c r="I156" i="5"/>
  <c r="D161" i="12" l="1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G154" i="6" s="1"/>
  <c r="M155" i="5"/>
  <c r="L155" i="5"/>
  <c r="D155" i="5" s="1"/>
  <c r="G155" i="5" s="1"/>
  <c r="I155" i="5"/>
  <c r="D160" i="12" l="1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G153" i="6" s="1"/>
  <c r="M154" i="5"/>
  <c r="L154" i="5"/>
  <c r="D154" i="5" s="1"/>
  <c r="G154" i="5" s="1"/>
  <c r="I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G151" i="6" s="1"/>
  <c r="I151" i="6"/>
  <c r="D157" i="12" l="1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G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G149" i="6" s="1"/>
  <c r="M150" i="5"/>
  <c r="L150" i="5"/>
  <c r="D150" i="5" s="1"/>
  <c r="G150" i="5" s="1"/>
  <c r="I150" i="5"/>
  <c r="D155" i="12" l="1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G148" i="6" s="1"/>
  <c r="I148" i="6"/>
  <c r="M149" i="5"/>
  <c r="L149" i="5"/>
  <c r="D149" i="5" s="1"/>
  <c r="G149" i="5" s="1"/>
  <c r="I149" i="5"/>
  <c r="D154" i="12" l="1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G147" i="6" s="1"/>
  <c r="M148" i="5"/>
  <c r="L148" i="5"/>
  <c r="D148" i="5" s="1"/>
  <c r="G148" i="5" s="1"/>
  <c r="I148" i="5"/>
  <c r="D153" i="12" l="1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G146" i="6" s="1"/>
  <c r="I146" i="6"/>
  <c r="M147" i="5"/>
  <c r="L147" i="5"/>
  <c r="D147" i="5" s="1"/>
  <c r="G147" i="5" s="1"/>
  <c r="I147" i="5"/>
  <c r="D152" i="12" l="1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G145" i="6" s="1"/>
  <c r="L146" i="5"/>
  <c r="D146" i="5" s="1"/>
  <c r="G146" i="5" s="1"/>
  <c r="M146" i="5"/>
  <c r="I146" i="5"/>
  <c r="G151" i="12" l="1"/>
  <c r="D151" i="12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G144" i="6" s="1"/>
  <c r="M145" i="5"/>
  <c r="L145" i="5"/>
  <c r="D145" i="5" s="1"/>
  <c r="G145" i="5" s="1"/>
  <c r="I145" i="5"/>
  <c r="D150" i="12" l="1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G143" i="6" s="1"/>
  <c r="M144" i="5"/>
  <c r="L144" i="5"/>
  <c r="D144" i="5" s="1"/>
  <c r="G144" i="5" s="1"/>
  <c r="I144" i="5"/>
  <c r="G149" i="12" l="1"/>
  <c r="D149" i="12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G142" i="6" s="1"/>
  <c r="I143" i="5"/>
  <c r="D148" i="12" l="1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G141" i="6" s="1"/>
  <c r="I141" i="6"/>
  <c r="I142" i="5"/>
  <c r="D147" i="12" l="1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G140" i="6" s="1"/>
  <c r="L141" i="5"/>
  <c r="D141" i="5" s="1"/>
  <c r="G141" i="5" s="1"/>
  <c r="I141" i="5"/>
  <c r="M146" i="12"/>
  <c r="L146" i="12"/>
  <c r="D146" i="12" l="1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L138" i="6"/>
  <c r="G138" i="6" s="1"/>
  <c r="L139" i="5"/>
  <c r="D139" i="5" s="1"/>
  <c r="G139" i="5" s="1"/>
  <c r="I139" i="5"/>
  <c r="D144" i="12" l="1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G137" i="6" s="1"/>
  <c r="L138" i="5"/>
  <c r="D138" i="5" s="1"/>
  <c r="G138" i="5" s="1"/>
  <c r="I138" i="5"/>
  <c r="D143" i="12" l="1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G136" i="6" s="1"/>
  <c r="M141" i="5"/>
  <c r="M140" i="5"/>
  <c r="M139" i="5"/>
  <c r="M138" i="5"/>
  <c r="M137" i="5"/>
  <c r="L137" i="5"/>
  <c r="D137" i="5" s="1"/>
  <c r="G137" i="5" s="1"/>
  <c r="I137" i="5"/>
  <c r="D142" i="12" l="1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G135" i="6" s="1"/>
  <c r="I135" i="6"/>
  <c r="I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G134" i="6" s="1"/>
  <c r="M135" i="5"/>
  <c r="L135" i="5"/>
  <c r="D135" i="5" s="1"/>
  <c r="G135" i="5" s="1"/>
  <c r="D140" i="12" l="1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G133" i="6" s="1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9" i="12" l="1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G131" i="6" s="1"/>
  <c r="M131" i="6"/>
  <c r="M132" i="6"/>
  <c r="J132" i="6"/>
  <c r="L132" i="6" s="1"/>
  <c r="G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8" i="12" l="1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G130" i="6" s="1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6" i="12" l="1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G129" i="6" s="1"/>
  <c r="C130" i="8"/>
  <c r="M128" i="6"/>
  <c r="L128" i="6"/>
  <c r="G128" i="6" s="1"/>
  <c r="L130" i="5"/>
  <c r="D130" i="5" s="1"/>
  <c r="G130" i="5" s="1"/>
  <c r="I130" i="5"/>
  <c r="D135" i="12" l="1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G127" i="6" s="1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33" i="12" l="1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G126" i="6" s="1"/>
  <c r="I126" i="6"/>
  <c r="M125" i="5"/>
  <c r="M126" i="5"/>
  <c r="M127" i="5"/>
  <c r="L127" i="5"/>
  <c r="D127" i="5" s="1"/>
  <c r="G127" i="5" s="1"/>
  <c r="I127" i="5"/>
  <c r="D132" i="12" l="1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G125" i="6" s="1"/>
  <c r="L126" i="5"/>
  <c r="D126" i="5" s="1"/>
  <c r="G126" i="5" s="1"/>
  <c r="I126" i="5"/>
  <c r="D131" i="12" l="1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G124" i="6" s="1"/>
  <c r="I125" i="5"/>
  <c r="L125" i="5"/>
  <c r="D125" i="5" s="1"/>
  <c r="G125" i="5" s="1"/>
  <c r="D130" i="12" l="1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G123" i="6" s="1"/>
  <c r="M123" i="5"/>
  <c r="M124" i="5"/>
  <c r="L124" i="5"/>
  <c r="D124" i="5" s="1"/>
  <c r="G124" i="5" s="1"/>
  <c r="I124" i="5"/>
  <c r="D129" i="12" l="1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G122" i="6" s="1"/>
  <c r="I122" i="6"/>
  <c r="L123" i="5"/>
  <c r="D123" i="5" s="1"/>
  <c r="G123" i="5" s="1"/>
  <c r="I123" i="5"/>
  <c r="L128" i="12"/>
  <c r="C128" i="12"/>
  <c r="D128" i="12" l="1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G121" i="6" s="1"/>
  <c r="M122" i="5"/>
  <c r="L122" i="5"/>
  <c r="D122" i="5" s="1"/>
  <c r="G122" i="5" s="1"/>
  <c r="I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G120" i="6" s="1"/>
  <c r="M119" i="6"/>
  <c r="L119" i="6"/>
  <c r="G119" i="6" s="1"/>
  <c r="M118" i="6"/>
  <c r="L118" i="6"/>
  <c r="G118" i="6" s="1"/>
  <c r="I119" i="6"/>
  <c r="I120" i="6"/>
  <c r="M121" i="5"/>
  <c r="L121" i="5"/>
  <c r="D121" i="5" s="1"/>
  <c r="G121" i="5" s="1"/>
  <c r="I121" i="5"/>
  <c r="G126" i="12" l="1"/>
  <c r="D126" i="12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G125" i="12" l="1"/>
  <c r="D125" i="12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G116" i="6" s="1"/>
  <c r="M116" i="6"/>
  <c r="L117" i="6"/>
  <c r="G117" i="6" s="1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G123" i="12" l="1"/>
  <c r="D123" i="12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G122" i="12" l="1"/>
  <c r="D122" i="12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G115" i="6" s="1"/>
  <c r="M116" i="5"/>
  <c r="L116" i="5"/>
  <c r="D116" i="5" s="1"/>
  <c r="G116" i="5" s="1"/>
  <c r="I116" i="5"/>
  <c r="G121" i="12" l="1"/>
  <c r="D121" i="12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M114" i="6"/>
  <c r="L114" i="6"/>
  <c r="M115" i="5"/>
  <c r="L115" i="5"/>
  <c r="D115" i="5" s="1"/>
  <c r="G115" i="5" s="1"/>
  <c r="I115" i="5"/>
  <c r="G120" i="12" l="1"/>
  <c r="D120" i="12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G113" i="6" s="1"/>
  <c r="M114" i="5"/>
  <c r="L114" i="5"/>
  <c r="D114" i="5" s="1"/>
  <c r="G114" i="5" s="1"/>
  <c r="I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G112" i="6" s="1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G111" i="6" s="1"/>
  <c r="L112" i="5"/>
  <c r="D112" i="5" s="1"/>
  <c r="G112" i="5" s="1"/>
  <c r="I112" i="5"/>
  <c r="G117" i="12" l="1"/>
  <c r="D117" i="12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G110" i="6" s="1"/>
  <c r="D116" i="12" l="1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M109" i="6"/>
  <c r="L109" i="6"/>
  <c r="G109" i="6" s="1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G112" i="12" l="1"/>
  <c r="D112" i="12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G108" i="6" s="1"/>
  <c r="L107" i="6"/>
  <c r="G107" i="6" s="1"/>
  <c r="L106" i="6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G105" i="6" s="1"/>
  <c r="L106" i="5"/>
  <c r="D106" i="5" s="1"/>
  <c r="G106" i="5" s="1"/>
  <c r="I106" i="5"/>
  <c r="D111" i="12" l="1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G104" i="6" s="1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10" i="12" l="1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G103" i="6" s="1"/>
  <c r="L104" i="5"/>
  <c r="D104" i="5" s="1"/>
  <c r="G104" i="5" s="1"/>
  <c r="I104" i="5"/>
  <c r="D109" i="12" l="1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G102" i="6" s="1"/>
  <c r="L103" i="5"/>
  <c r="D103" i="5" s="1"/>
  <c r="G103" i="5" s="1"/>
  <c r="D108" i="12" l="1"/>
  <c r="G108" i="12" s="1"/>
  <c r="I107" i="10"/>
  <c r="I107" i="9"/>
  <c r="M102" i="7"/>
  <c r="L102" i="7"/>
  <c r="M101" i="6"/>
  <c r="L101" i="6"/>
  <c r="G101" i="6" s="1"/>
  <c r="I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G100" i="6" s="1"/>
  <c r="M101" i="5"/>
  <c r="L101" i="5"/>
  <c r="D101" i="5" s="1"/>
  <c r="G101" i="5" s="1"/>
  <c r="I101" i="5"/>
  <c r="D106" i="12" l="1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G99" i="6" s="1"/>
  <c r="M99" i="5"/>
  <c r="M100" i="5"/>
  <c r="L100" i="5"/>
  <c r="D100" i="5" s="1"/>
  <c r="G100" i="5" s="1"/>
  <c r="I100" i="5"/>
  <c r="D105" i="12" l="1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103" i="12" l="1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7" i="5"/>
  <c r="G97" i="5" s="1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101" i="12" l="1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G94" i="6" s="1"/>
  <c r="M95" i="5"/>
  <c r="L95" i="5"/>
  <c r="D95" i="5" s="1"/>
  <c r="G95" i="5" s="1"/>
  <c r="I95" i="5"/>
  <c r="D100" i="12" l="1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G93" i="6" s="1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9" i="12" l="1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M90" i="6"/>
  <c r="L91" i="6"/>
  <c r="G91" i="6" s="1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7" i="12" l="1"/>
  <c r="G97" i="12" s="1"/>
  <c r="G96" i="12"/>
  <c r="D96" i="12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G89" i="6" s="1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95" i="12" l="1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G88" i="6" s="1"/>
  <c r="I88" i="6"/>
  <c r="I89" i="5"/>
  <c r="M89" i="5"/>
  <c r="L89" i="5"/>
  <c r="D89" i="5" s="1"/>
  <c r="G89" i="5" s="1"/>
  <c r="D94" i="12" l="1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G87" i="6" s="1"/>
  <c r="M87" i="5"/>
  <c r="M88" i="5"/>
  <c r="L88" i="5"/>
  <c r="D88" i="5" s="1"/>
  <c r="G88" i="5" s="1"/>
  <c r="I88" i="5"/>
  <c r="D93" i="12" l="1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G86" i="6" s="1"/>
  <c r="L87" i="5"/>
  <c r="D87" i="5" s="1"/>
  <c r="G87" i="5" s="1"/>
  <c r="I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G85" i="6" s="1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91" i="12" l="1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G84" i="6" s="1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90" i="12" l="1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9" i="12" l="1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G82" i="6" s="1"/>
  <c r="L83" i="5"/>
  <c r="D83" i="5" s="1"/>
  <c r="G83" i="5" s="1"/>
  <c r="I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G81" i="6" s="1"/>
  <c r="L80" i="6"/>
  <c r="G80" i="6" s="1"/>
  <c r="L81" i="5"/>
  <c r="D81" i="5" s="1"/>
  <c r="G81" i="5" s="1"/>
  <c r="L82" i="5"/>
  <c r="D82" i="5" s="1"/>
  <c r="G82" i="5" s="1"/>
  <c r="I81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G79" i="6" s="1"/>
  <c r="L80" i="5"/>
  <c r="D80" i="5" s="1"/>
  <c r="G80" i="5" s="1"/>
  <c r="I80" i="5"/>
  <c r="D85" i="12" l="1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G78" i="6" s="1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84" i="12" l="1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G77" i="6" s="1"/>
  <c r="L78" i="5"/>
  <c r="D78" i="5" s="1"/>
  <c r="G78" i="5" s="1"/>
  <c r="I78" i="5"/>
  <c r="D83" i="12" l="1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G75" i="6" s="1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81" i="12" l="1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G74" i="6" s="1"/>
  <c r="I75" i="5"/>
  <c r="L75" i="5"/>
  <c r="D75" i="5" s="1"/>
  <c r="G75" i="5" s="1"/>
  <c r="D80" i="12" l="1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G73" i="6" s="1"/>
  <c r="I74" i="5"/>
  <c r="M73" i="5"/>
  <c r="L74" i="5"/>
  <c r="D74" i="5" s="1"/>
  <c r="G74" i="5" s="1"/>
  <c r="D79" i="12" l="1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G72" i="6" s="1"/>
  <c r="I72" i="6"/>
  <c r="L73" i="5"/>
  <c r="D73" i="5" s="1"/>
  <c r="G73" i="5" s="1"/>
  <c r="I73" i="5"/>
  <c r="D78" i="12" l="1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G71" i="6" s="1"/>
  <c r="L72" i="5"/>
  <c r="D72" i="5" s="1"/>
  <c r="G72" i="5" s="1"/>
  <c r="I72" i="5"/>
  <c r="D77" i="12" l="1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G70" i="6" s="1"/>
  <c r="I70" i="6"/>
  <c r="I71" i="5"/>
  <c r="L71" i="5"/>
  <c r="D71" i="5" s="1"/>
  <c r="G71" i="5" s="1"/>
  <c r="D76" i="12" l="1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G69" i="6" s="1"/>
  <c r="I70" i="5"/>
  <c r="L70" i="5"/>
  <c r="D70" i="5" s="1"/>
  <c r="G70" i="5" s="1"/>
  <c r="D75" i="12" l="1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G68" i="6" s="1"/>
  <c r="L69" i="5"/>
  <c r="D69" i="5" s="1"/>
  <c r="G69" i="5" s="1"/>
  <c r="I69" i="5"/>
  <c r="D74" i="12" l="1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G67" i="6" s="1"/>
  <c r="L68" i="5"/>
  <c r="D68" i="5" s="1"/>
  <c r="G68" i="5" s="1"/>
  <c r="I68" i="5"/>
  <c r="D73" i="12" l="1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G66" i="6" s="1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I66" i="7"/>
  <c r="C66" i="7"/>
  <c r="L66" i="7"/>
  <c r="D66" i="7" s="1"/>
  <c r="G66" i="7" s="1"/>
  <c r="I66" i="8"/>
  <c r="L66" i="8"/>
  <c r="D66" i="8" s="1"/>
  <c r="G66" i="8" s="1"/>
  <c r="C66" i="8"/>
  <c r="L65" i="6"/>
  <c r="G65" i="6" s="1"/>
  <c r="L66" i="5"/>
  <c r="D66" i="5" s="1"/>
  <c r="G66" i="5" s="1"/>
  <c r="M67" i="12" l="1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G64" i="6" s="1"/>
  <c r="I65" i="5"/>
  <c r="L65" i="5"/>
  <c r="D65" i="5" s="1"/>
  <c r="G65" i="5" s="1"/>
  <c r="I64" i="5" l="1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G63" i="6" s="1"/>
  <c r="L64" i="5"/>
  <c r="D64" i="5" s="1"/>
  <c r="G64" i="5" s="1"/>
  <c r="D69" i="12" l="1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G62" i="6" s="1"/>
  <c r="I63" i="5"/>
  <c r="L63" i="5"/>
  <c r="D63" i="5" s="1"/>
  <c r="G63" i="5" s="1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G61" i="6" s="1"/>
  <c r="L62" i="5"/>
  <c r="D62" i="5" s="1"/>
  <c r="G62" i="5" s="1"/>
  <c r="I62" i="5"/>
  <c r="D66" i="12" l="1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G60" i="6" s="1"/>
  <c r="I61" i="5"/>
  <c r="L61" i="5"/>
  <c r="D65" i="12" l="1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G59" i="6" s="1"/>
  <c r="I59" i="6"/>
  <c r="L60" i="5"/>
  <c r="I60" i="5"/>
  <c r="D64" i="12" l="1"/>
  <c r="G64" i="12" s="1"/>
  <c r="D60" i="5"/>
  <c r="G60" i="5" s="1"/>
  <c r="I59" i="8"/>
  <c r="C59" i="8"/>
  <c r="J59" i="8"/>
  <c r="L59" i="8" s="1"/>
  <c r="D59" i="8" s="1"/>
  <c r="G59" i="8" s="1"/>
  <c r="I58" i="6"/>
  <c r="L58" i="6"/>
  <c r="G58" i="6" s="1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63" i="12" l="1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/>
  <c r="I60" i="12"/>
  <c r="C61" i="12"/>
  <c r="C60" i="12"/>
  <c r="L58" i="8"/>
  <c r="I58" i="8"/>
  <c r="C58" i="8"/>
  <c r="L58" i="7"/>
  <c r="I58" i="7"/>
  <c r="C58" i="7"/>
  <c r="I56" i="6"/>
  <c r="L56" i="6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G54" i="6" s="1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G59" i="12" l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G53" i="6" s="1"/>
  <c r="L54" i="5"/>
  <c r="D54" i="5" s="1"/>
  <c r="G54" i="5" s="1"/>
  <c r="I54" i="5"/>
  <c r="D58" i="12" l="1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G52" i="6" s="1"/>
  <c r="L53" i="5"/>
  <c r="D53" i="5" s="1"/>
  <c r="G53" i="5" s="1"/>
  <c r="I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G51" i="6" s="1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6" i="12" l="1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G50" i="6" s="1"/>
  <c r="C50" i="6"/>
  <c r="I51" i="5"/>
  <c r="L51" i="5"/>
  <c r="D55" i="12" l="1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G49" i="6" s="1"/>
  <c r="L50" i="5"/>
  <c r="D50" i="5" s="1"/>
  <c r="G50" i="5" s="1"/>
  <c r="D54" i="12" l="1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G48" i="6" s="1"/>
  <c r="I49" i="5"/>
  <c r="L49" i="5"/>
  <c r="D49" i="5" s="1"/>
  <c r="G49" i="5" s="1"/>
  <c r="L52" i="10" l="1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G47" i="6" s="1"/>
  <c r="I48" i="5"/>
  <c r="L48" i="5"/>
  <c r="D48" i="5" s="1"/>
  <c r="G48" i="5" s="1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G46" i="6" s="1"/>
  <c r="I46" i="6"/>
  <c r="C46" i="6"/>
  <c r="I47" i="5"/>
  <c r="L47" i="5"/>
  <c r="D47" i="5" s="1"/>
  <c r="G47" i="5" s="1"/>
  <c r="D51" i="12" l="1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G45" i="6" s="1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l="1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G44" i="6" s="1"/>
  <c r="L45" i="5"/>
  <c r="D45" i="5" s="1"/>
  <c r="G45" i="5" s="1"/>
  <c r="I45" i="5"/>
  <c r="D49" i="12" l="1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G43" i="6" s="1"/>
  <c r="C43" i="6"/>
  <c r="I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G42" i="6" s="1"/>
  <c r="I43" i="5"/>
  <c r="L43" i="5"/>
  <c r="D43" i="5" s="1"/>
  <c r="G43" i="5" s="1"/>
  <c r="D46" i="12" l="1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G41" i="6" s="1"/>
  <c r="I41" i="6"/>
  <c r="I42" i="5"/>
  <c r="L42" i="5"/>
  <c r="D42" i="5" s="1"/>
  <c r="G42" i="5" s="1"/>
  <c r="D45" i="12" l="1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<sst xmlns="http://schemas.openxmlformats.org/spreadsheetml/2006/main" count="751" uniqueCount="655">
  <si>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</si>
  <si>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</si>
  <si>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</si>
  <si>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</si>
  <si>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</si>
  <si>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</si>
  <si>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</si>
  <si>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</si>
  <si>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</si>
  <si>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</si>
  <si>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</si>
  <si>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</si>
  <si>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</si>
  <si>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</si>
  <si>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</si>
  <si>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</si>
  <si>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</si>
  <si>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</si>
  <si>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</si>
  <si>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</si>
  <si>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</si>
  <si>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</si>
  <si>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</si>
  <si>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</si>
  <si>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</si>
  <si>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</si>
  <si>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</si>
  <si>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</si>
  <si>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</si>
  <si>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</si>
  <si>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</si>
  <si>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</si>
  <si>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</si>
  <si>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</si>
  <si>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</si>
  <si>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</si>
  <si>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</si>
  <si>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</si>
  <si>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</si>
  <si>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</si>
  <si>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</si>
  <si>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</si>
  <si>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</si>
  <si>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</si>
  <si>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</si>
  <si>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</si>
  <si>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</si>
  <si>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</si>
  <si>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</si>
  <si>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</si>
  <si>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</si>
  <si>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</si>
  <si>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</si>
  <si>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</si>
  <si>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</si>
  <si>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</si>
  <si>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</si>
  <si>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</si>
  <si>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</si>
  <si>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</si>
  <si>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</si>
  <si>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</si>
  <si>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</si>
  <si>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</si>
  <si>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</si>
  <si>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</si>
  <si>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</si>
  <si>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</si>
  <si>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</si>
  <si>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</si>
  <si>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</si>
  <si>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</si>
  <si>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</si>
  <si>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</si>
  <si>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</si>
  <si>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</si>
  <si>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</si>
  <si>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</si>
  <si>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</si>
  <si>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</si>
  <si>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</si>
  <si>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</si>
  <si>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</si>
  <si>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</si>
  <si>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</si>
  <si>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</si>
  <si>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</si>
  <si>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</si>
  <si>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</si>
  <si>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</si>
  <si>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</si>
  <si>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</si>
  <si>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</si>
  <si>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</si>
  <si>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</si>
  <si>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</si>
  <si>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</si>
  <si>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</si>
  <si>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</si>
  <si>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</si>
  <si>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</si>
  <si>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</si>
  <si>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</si>
  <si>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</si>
  <si>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</si>
  <si>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</si>
  <si>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</si>
  <si>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</si>
  <si>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</si>
  <si>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</si>
  <si>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</si>
  <si>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</si>
  <si>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</si>
  <si>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</si>
  <si>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</si>
  <si>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</si>
  <si>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</si>
  <si>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</si>
  <si>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</si>
  <si>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</si>
  <si>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</si>
  <si>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</si>
  <si>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</si>
  <si>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</si>
  <si>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</si>
  <si>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</si>
  <si>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</si>
  <si>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</si>
  <si>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</si>
  <si>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</si>
  <si>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</si>
  <si>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</si>
  <si>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</si>
  <si>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</si>
  <si>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</si>
  <si>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</si>
  <si>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</si>
  <si>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</si>
  <si>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</si>
  <si>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</si>
  <si>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</si>
  <si>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</si>
  <si>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</si>
  <si>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</si>
  <si>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</si>
  <si>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</si>
  <si>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</si>
  <si>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</si>
  <si>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</si>
  <si>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</si>
  <si>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</si>
  <si>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</si>
  <si>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</si>
  <si>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</si>
  <si>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</si>
  <si>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</si>
  <si>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</si>
  <si>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</si>
  <si>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</si>
  <si>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</si>
  <si>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</si>
  <si>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</si>
  <si>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</si>
  <si>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</si>
  <si>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</si>
  <si>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</si>
  <si>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</si>
  <si>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</si>
  <si>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</si>
  <si>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</si>
  <si>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</si>
  <si>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</si>
  <si>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</si>
  <si>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</si>
  <si>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</si>
  <si>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</si>
  <si>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</si>
  <si>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</si>
  <si>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</si>
  <si>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</si>
  <si>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</si>
  <si>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</si>
  <si>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</si>
  <si>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</si>
  <si>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</si>
  <si>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</si>
  <si>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</si>
  <si>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</si>
  <si>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</si>
  <si>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</si>
  <si>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</si>
  <si>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</si>
  <si>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</si>
  <si>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</si>
  <si>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</si>
  <si>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</si>
  <si>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</si>
  <si>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</si>
  <si>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</si>
  <si>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</si>
  <si>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</si>
  <si>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</si>
  <si>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</si>
  <si>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</si>
  <si>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</si>
  <si>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</si>
  <si>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</si>
  <si>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</si>
  <si>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</si>
  <si>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</si>
  <si>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</si>
  <si>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</si>
  <si>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</si>
  <si>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</si>
  <si>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</si>
  <si>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</si>
  <si>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</si>
  <si>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</si>
  <si>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</si>
  <si>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</si>
  <si>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</si>
  <si>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</si>
  <si>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</si>
  <si>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</si>
  <si>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</si>
  <si>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</si>
  <si>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</si>
  <si>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</si>
  <si>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</si>
  <si>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</si>
  <si>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</si>
  <si>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</si>
  <si>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</si>
  <si>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</si>
  <si>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</si>
  <si>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</si>
  <si>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</si>
  <si>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</si>
  <si>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</si>
  <si>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</si>
  <si>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</si>
  <si>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</si>
  <si>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</si>
  <si>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</si>
  <si>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</si>
  <si>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</si>
  <si>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</si>
  <si>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</si>
  <si>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</si>
  <si>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</si>
  <si>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</si>
  <si>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</si>
  <si>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</si>
  <si>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</si>
  <si>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</si>
  <si>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</si>
  <si>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</si>
  <si>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</si>
  <si>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</si>
  <si>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</si>
  <si>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</si>
  <si>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</si>
  <si>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</si>
  <si>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</si>
  <si>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</si>
  <si>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</si>
  <si>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</si>
  <si>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</si>
  <si>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</si>
  <si>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</si>
  <si>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</si>
  <si>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</si>
  <si>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</si>
  <si>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</si>
  <si>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</si>
  <si>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</si>
  <si>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</si>
  <si>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</si>
  <si>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</si>
  <si>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</si>
  <si>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</si>
  <si>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</si>
  <si>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</si>
  <si>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</si>
  <si>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</si>
  <si>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</si>
  <si>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</si>
  <si>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</si>
  <si>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</si>
  <si>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</si>
  <si>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</si>
  <si>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</si>
  <si>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</si>
  <si>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</si>
  <si>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</si>
  <si>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</si>
  <si>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</si>
  <si>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</si>
  <si>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</si>
  <si>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</si>
  <si>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</si>
  <si>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</si>
  <si>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</si>
  <si>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</si>
  <si>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</si>
  <si>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</si>
  <si>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</si>
  <si>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</si>
  <si>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</si>
  <si>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</si>
  <si>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</si>
  <si>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</si>
  <si>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</si>
  <si>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</si>
  <si>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</si>
  <si>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</si>
  <si>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</si>
  <si>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</si>
  <si>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</si>
  <si>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</si>
  <si>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</si>
  <si>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</si>
  <si>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</si>
  <si>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</si>
  <si>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</si>
  <si>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</si>
  <si>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</si>
  <si>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</si>
  <si>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</si>
  <si>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</si>
  <si>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</si>
  <si>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</si>
  <si>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</si>
  <si>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</si>
  <si>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</si>
  <si>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</si>
  <si>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</si>
  <si>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</si>
  <si>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</si>
  <si>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</si>
  <si>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</si>
  <si>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</si>
  <si>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</si>
  <si>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</si>
  <si>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</si>
  <si>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</si>
  <si>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</si>
  <si>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</si>
  <si>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</si>
  <si>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</si>
  <si>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</si>
  <si>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</si>
  <si>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</si>
  <si>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</si>
  <si>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</si>
  <si>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</si>
  <si>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</si>
  <si>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</si>
  <si>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</si>
  <si>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</si>
  <si>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</si>
  <si>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</si>
  <si>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</si>
  <si>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</si>
  <si>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</si>
  <si>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</si>
  <si>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</si>
  <si>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</si>
  <si>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</si>
  <si>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</si>
  <si>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</si>
  <si>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</si>
  <si>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</si>
  <si>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</si>
  <si>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</si>
  <si>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</si>
  <si>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</si>
  <si>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</si>
  <si>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</si>
  <si>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</si>
  <si>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</si>
  <si>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</si>
  <si>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</si>
  <si>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</si>
  <si>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</si>
  <si>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</si>
  <si>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</si>
  <si>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</si>
  <si>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</si>
  <si>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</si>
  <si>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</si>
  <si>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</si>
  <si>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</si>
  <si>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</si>
  <si>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</si>
  <si>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</si>
  <si>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</si>
  <si>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</si>
  <si>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</si>
  <si>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</si>
  <si>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</si>
  <si>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</si>
  <si>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</si>
  <si>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</si>
  <si>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</si>
  <si>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</si>
  <si>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</si>
  <si>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</si>
  <si>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</si>
  <si>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</si>
  <si>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</si>
  <si>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</si>
  <si>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</si>
  <si>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</si>
  <si>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</si>
  <si>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</si>
  <si>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</si>
  <si>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</si>
  <si>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</si>
  <si>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</si>
  <si>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</si>
  <si>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</si>
  <si>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</si>
  <si>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</si>
  <si>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</si>
  <si>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</si>
  <si>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</si>
  <si>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</si>
  <si>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</si>
  <si>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</si>
  <si>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</si>
  <si>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</si>
  <si>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</si>
  <si>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</si>
  <si>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</si>
  <si>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</si>
  <si>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</si>
  <si>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</si>
  <si>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</si>
  <si>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</si>
  <si>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</si>
  <si>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</si>
  <si>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</si>
  <si>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</si>
  <si>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</si>
  <si>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</si>
  <si>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</si>
  <si>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</si>
  <si>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</si>
  <si>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</si>
  <si>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</si>
  <si>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</si>
  <si>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</si>
  <si>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</si>
  <si>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</si>
  <si>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</si>
  <si>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</si>
  <si>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</si>
  <si>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</si>
  <si>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</si>
  <si>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</si>
  <si>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</si>
  <si>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</si>
  <si>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</si>
  <si>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</si>
  <si>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</si>
  <si>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</si>
  <si>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</si>
  <si>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</si>
  <si>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</si>
  <si>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</si>
  <si>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</si>
  <si>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</si>
  <si>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</si>
  <si>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</si>
  <si>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</si>
  <si>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</si>
  <si>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</si>
  <si>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</si>
  <si>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</si>
  <si>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</si>
  <si>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</si>
  <si>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</si>
  <si>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</si>
  <si>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</si>
  <si>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</si>
  <si>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</si>
  <si>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</si>
  <si>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</si>
  <si>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</si>
  <si>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</si>
  <si>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</si>
  <si>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</si>
  <si>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</si>
  <si>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</si>
  <si>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</si>
  <si>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</si>
  <si>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</si>
  <si>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</si>
  <si>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</si>
  <si>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</si>
  <si>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</si>
  <si>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</si>
  <si>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</si>
  <si>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</si>
  <si>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</si>
  <si>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</si>
  <si>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</si>
  <si>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</si>
  <si>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</si>
  <si>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</si>
  <si>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</si>
  <si>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</si>
  <si>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</si>
  <si>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</si>
  <si>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</si>
  <si>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</si>
  <si>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</si>
  <si>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</si>
  <si>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</si>
  <si>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</si>
  <si>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</si>
  <si>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</si>
  <si>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</si>
  <si>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</si>
  <si>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</si>
  <si>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</si>
  <si>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</si>
  <si>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</si>
  <si>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</si>
  <si>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</si>
  <si>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</si>
  <si>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</si>
  <si>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</si>
  <si>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</si>
  <si>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</si>
  <si>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</si>
  <si>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</si>
  <si>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</si>
  <si>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</si>
  <si>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</si>
  <si>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</si>
  <si>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</si>
  <si>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</si>
  <si>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</si>
  <si>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</si>
  <si>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</si>
  <si>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</si>
  <si>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</si>
  <si>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</si>
  <si>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</si>
  <si>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</si>
  <si>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</si>
  <si>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</si>
  <si>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</si>
  <si>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</si>
  <si>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</si>
  <si>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</si>
  <si>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</si>
  <si>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</si>
  <si>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</si>
  <si>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</si>
  <si>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</si>
  <si>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</si>
  <si>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</si>
  <si>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</si>
  <si>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</si>
  <si>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</si>
  <si>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</si>
  <si>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</si>
  <si>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</si>
  <si>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</si>
  <si>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</si>
  <si>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</si>
  <si>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</si>
  <si>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</si>
  <si>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</si>
  <si>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</si>
  <si>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</si>
  <si>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</si>
  <si>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</si>
  <si>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</si>
  <si>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</si>
  <si>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</si>
  <si>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</si>
  <si>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</si>
  <si>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</si>
  <si>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</si>
  <si>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</si>
  <si>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</si>
  <si>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</si>
  <si>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</si>
  <si>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</si>
  <si>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</si>
  <si>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</si>
  <si>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</si>
  <si>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</si>
  <si>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</si>
  <si>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</si>
  <si>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</si>
  <si>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</si>
  <si>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</si>
  <si>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</si>
  <si>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</si>
  <si>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</si>
  <si>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</si>
  <si>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</si>
  <si>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</si>
  <si>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</si>
  <si>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</si>
  <si>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</si>
  <si>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</si>
  <si>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</si>
  <si>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</si>
  <si>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</si>
  <si>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</si>
  <si>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</si>
  <si>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</si>
  <si>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</si>
  <si>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</si>
  <si>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</si>
  <si>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</si>
  <si>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</si>
  <si>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</si>
  <si>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</si>
  <si>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</si>
  <si>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</si>
  <si>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</si>
  <si>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</si>
  <si>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</si>
  <si>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</si>
  <si>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</si>
  <si>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</si>
  <si>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</si>
  <si>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</si>
  <si>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</si>
  <si>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</si>
  <si>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</si>
  <si>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</si>
  <si>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</si>
  <si>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</si>
  <si>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</si>
  <si>
    <t>HK NOON</t>
  </si>
  <si>
    <t>HK CLOSE</t>
  </si>
  <si>
    <t>US CLOSE</t>
  </si>
  <si>
    <t>rmb moving up very rapidly</t>
    <phoneticPr fontId="1" type="noConversion"/>
  </si>
  <si>
    <t>fx up 32 bps</t>
    <phoneticPr fontId="1" type="noConversion"/>
  </si>
  <si>
    <t>pd +0.5%, fx +0.3%, overall +2.5%. ETF up 40% since 2017.</t>
    <phoneticPr fontId="1" type="noConversion"/>
  </si>
  <si>
    <t>pmcl tradable.</t>
    <phoneticPr fontId="1" type="noConversion"/>
  </si>
  <si>
    <t>rmb broke through 6.5</t>
    <phoneticPr fontId="1" type="noConversion"/>
  </si>
  <si>
    <t>rose 65% in 2 years. Index up 46%.</t>
    <phoneticPr fontId="1" type="noConversion"/>
  </si>
  <si>
    <t>market rallied 5% from lows in dec (600 fut points) Dec index was only up 1%. Funds aggressively building pos.</t>
    <phoneticPr fontId="1" type="noConversion"/>
  </si>
  <si>
    <t>Since rebound on dec 28, trend pnl every &gt; 0, sum 3.6%. PM pnl sum to 0.6%. In periods like this, trend pnl is the only thing making money.</t>
    <phoneticPr fontId="1" type="noConversion"/>
  </si>
  <si>
    <t>erasing rmb gains from beginning of this year</t>
    <phoneticPr fontId="1" type="noConversion"/>
  </si>
  <si>
    <t>back to below 6.5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</si>
</sst>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4</xdr:row>
          <xdr:rowOff>66675</xdr:rowOff>
        </xdr:from>
        <xdr:to>
          <xdr:col>6</xdr:col>
          <xdr:colOff>28575</xdr:colOff>
          <xdr:row>5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28575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142875</xdr:rowOff>
        </xdr:from>
        <xdr:to>
          <xdr:col>6</xdr:col>
          <xdr:colOff>28575</xdr:colOff>
          <xdr:row>11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D24" sqref="D24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875" bestFit="1" customWidth="1" collapsed="1"/>
    <col min="6" max="6" width="11.625" bestFit="1" customWidth="1" collapsed="1"/>
    <col min="10" max="13" width="16.125" customWidth="1" collapsed="1"/>
  </cols>
  <sheetData>
    <row r="1" spans="1:16" x14ac:dyDescent="0.15">
      <c r="A1" s="1">
        <f>D12</f>
        <v>43111</v>
      </c>
    </row>
    <row r="2" spans="1:16" x14ac:dyDescent="0.15">
      <c r="A2" s="39" t="s">
        <v>642</v>
      </c>
      <c r="B2" s="39">
        <v>6.5219699999999996</v>
      </c>
      <c r="C2" s="90">
        <v>43111</v>
      </c>
      <c r="D2" s="39">
        <v>13</v>
      </c>
    </row>
    <row r="3" spans="1:16" x14ac:dyDescent="0.15">
      <c r="A3" s="39" t="s">
        <v>643</v>
      </c>
      <c r="B3" s="39">
        <v>6.5165449999999998</v>
      </c>
      <c r="C3" s="90">
        <v>43111</v>
      </c>
      <c r="D3" s="39">
        <v>16</v>
      </c>
      <c r="J3" s="83"/>
      <c r="K3" s="84"/>
      <c r="L3" s="85"/>
    </row>
    <row r="4" spans="1:16" x14ac:dyDescent="0.15">
      <c r="A4" s="39" t="s">
        <v>644</v>
      </c>
      <c r="B4" s="39">
        <v>6.4919399999999996</v>
      </c>
      <c r="C4" s="90">
        <v>43112</v>
      </c>
      <c r="D4" s="39">
        <v>4</v>
      </c>
      <c r="J4" s="68"/>
      <c r="K4" s="69"/>
      <c r="L4" s="70"/>
    </row>
    <row r="5" spans="1:16" x14ac:dyDescent="0.15">
      <c r="A5" s="39" t="s">
        <v>348</v>
      </c>
      <c r="B5" s="39">
        <v>4205.59</v>
      </c>
      <c r="C5" s="39">
        <v>4207.8100000000004</v>
      </c>
      <c r="D5" s="93">
        <v>-5.0000000000000001E-4</v>
      </c>
      <c r="E5" s="39"/>
      <c r="F5" s="39"/>
      <c r="G5" s="39"/>
      <c r="H5" s="39"/>
      <c r="I5" s="39"/>
      <c r="J5" s="95"/>
      <c r="K5" s="96"/>
      <c r="L5" s="96"/>
      <c r="M5" s="95"/>
      <c r="N5" s="39"/>
      <c r="O5" s="39"/>
      <c r="P5" s="39"/>
    </row>
    <row r="6" spans="1:16" x14ac:dyDescent="0.15">
      <c r="A6" s="39" t="s">
        <v>522</v>
      </c>
      <c r="B6" s="39">
        <v>3425.35</v>
      </c>
      <c r="C6" s="39">
        <v>3421.83</v>
      </c>
      <c r="D6" s="93">
        <v>1E-3</v>
      </c>
      <c r="E6" s="39"/>
      <c r="F6" s="39"/>
      <c r="G6" s="39"/>
      <c r="H6" s="39"/>
      <c r="I6" s="39"/>
      <c r="J6" s="95"/>
      <c r="K6" s="96"/>
      <c r="L6" s="96"/>
      <c r="M6" s="95"/>
      <c r="N6" s="39"/>
      <c r="O6" s="39"/>
      <c r="P6" s="39"/>
    </row>
    <row r="7" spans="1:16" x14ac:dyDescent="0.15">
      <c r="A7" s="39" t="s">
        <v>523</v>
      </c>
      <c r="B7" s="39">
        <v>1804.23</v>
      </c>
      <c r="C7" s="39">
        <v>1791.08</v>
      </c>
      <c r="D7" s="93">
        <v>7.3000000000000001E-3</v>
      </c>
      <c r="H7" s="88"/>
      <c r="J7" s="71"/>
      <c r="K7" s="72"/>
      <c r="L7" s="73"/>
      <c r="M7" s="74"/>
    </row>
    <row r="8" spans="1:16" x14ac:dyDescent="0.15">
      <c r="A8" s="39" t="s">
        <v>524</v>
      </c>
      <c r="B8" s="39">
        <v>11464.2</v>
      </c>
      <c r="C8" s="39">
        <v>11437.08</v>
      </c>
      <c r="D8" s="93">
        <v>2.3999999999999998E-3</v>
      </c>
      <c r="J8" s="75"/>
      <c r="K8" s="76"/>
      <c r="L8" s="77"/>
      <c r="M8" s="78"/>
    </row>
    <row r="9" spans="1:16" x14ac:dyDescent="0.15">
      <c r="A9" s="39" t="s">
        <v>525</v>
      </c>
      <c r="B9" s="39">
        <v>6425.94</v>
      </c>
      <c r="C9" s="39">
        <v>6405.94</v>
      </c>
      <c r="D9" s="93">
        <v>3.0999999999999999E-3</v>
      </c>
      <c r="J9" s="79"/>
      <c r="K9" s="80"/>
      <c r="L9" s="81"/>
      <c r="M9" s="82"/>
    </row>
    <row r="10" spans="1:16" x14ac:dyDescent="0.15">
      <c r="A10" s="39" t="s">
        <v>526</v>
      </c>
      <c r="B10" s="39">
        <v>2997.05</v>
      </c>
      <c r="C10" s="39">
        <v>2995.56</v>
      </c>
      <c r="D10" s="93">
        <v>5.0000000000000001E-4</v>
      </c>
    </row>
    <row r="11" spans="1:16" x14ac:dyDescent="0.15">
      <c r="A11" s="39" t="s">
        <v>527</v>
      </c>
      <c r="B11" s="39">
        <v>15.92</v>
      </c>
      <c r="C11" s="39">
        <v>15.956</v>
      </c>
      <c r="D11" s="90">
        <v>43110</v>
      </c>
    </row>
    <row r="12" spans="1:16" x14ac:dyDescent="0.15">
      <c r="A12" s="39" t="s">
        <v>528</v>
      </c>
      <c r="B12" s="39">
        <v>16.38</v>
      </c>
      <c r="C12" s="39">
        <v>16.340699999999998</v>
      </c>
      <c r="D12" s="90">
        <v>43111</v>
      </c>
      <c r="J12" s="53"/>
      <c r="K12" s="56"/>
      <c r="L12" s="59"/>
      <c r="M12" s="62"/>
      <c r="N12" s="65"/>
    </row>
    <row r="13" spans="1:16" x14ac:dyDescent="0.15">
      <c r="A13" s="39" t="s">
        <v>529</v>
      </c>
      <c r="B13" s="39">
        <v>7.77</v>
      </c>
      <c r="C13" s="39">
        <v>7.819</v>
      </c>
      <c r="D13" s="90">
        <v>43111</v>
      </c>
      <c r="J13" s="54"/>
      <c r="K13" s="57"/>
      <c r="L13" s="60"/>
      <c r="M13" s="63"/>
      <c r="N13" s="66"/>
    </row>
    <row r="14" spans="1:16" x14ac:dyDescent="0.15">
      <c r="A14" s="39" t="s">
        <v>530</v>
      </c>
      <c r="B14" s="39">
        <v>51.75</v>
      </c>
      <c r="C14" s="39">
        <v>51.472999999999999</v>
      </c>
      <c r="D14" s="90">
        <v>43111</v>
      </c>
      <c r="J14" s="55"/>
      <c r="K14" s="58"/>
      <c r="L14" s="61"/>
      <c r="M14" s="64"/>
      <c r="N14" s="67"/>
    </row>
    <row r="15" spans="1:16" x14ac:dyDescent="0.15">
      <c r="A15" s="39" t="s">
        <v>531</v>
      </c>
      <c r="B15" s="39">
        <v>48.96</v>
      </c>
      <c r="C15" s="39">
        <v>48.79</v>
      </c>
      <c r="D15" s="90">
        <v>43110</v>
      </c>
    </row>
    <row r="16" spans="1:16" x14ac:dyDescent="0.15">
      <c r="A16" s="39" t="s">
        <v>532</v>
      </c>
      <c r="B16" s="39">
        <v>36</v>
      </c>
      <c r="C16" s="39">
        <v>35.645499999999998</v>
      </c>
      <c r="D16" s="90">
        <v>43110</v>
      </c>
    </row>
    <row r="17" spans="1:16" x14ac:dyDescent="0.15">
      <c r="A17" s="39" t="s">
        <v>533</v>
      </c>
      <c r="B17" s="39">
        <v>32.51</v>
      </c>
      <c r="C17" s="39">
        <v>32.281999999999996</v>
      </c>
      <c r="D17" s="90">
        <v>43110</v>
      </c>
    </row>
    <row r="18" spans="1:16" x14ac:dyDescent="0.15">
      <c r="A18" s="39" t="s">
        <v>534</v>
      </c>
      <c r="B18" s="39">
        <v>36.11</v>
      </c>
      <c r="C18" s="39">
        <v>35.720799999999997</v>
      </c>
      <c r="D18" s="90">
        <v>43110</v>
      </c>
    </row>
    <row r="19" spans="1:16" x14ac:dyDescent="0.15">
      <c r="A19" s="39" t="s">
        <v>535</v>
      </c>
      <c r="B19" s="39">
        <v>13904.47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9" customFormat="1" x14ac:dyDescent="0.15">
      <c r="A20" s="39" t="s">
        <v>536</v>
      </c>
      <c r="B20" s="39">
        <v>21898.12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9" customFormat="1" x14ac:dyDescent="0.15">
      <c r="A21" s="39" t="s">
        <v>537</v>
      </c>
      <c r="B21" s="39">
        <v>6.5147000000000004</v>
      </c>
      <c r="C21" s="90">
        <v>43111</v>
      </c>
      <c r="D21" s="91">
        <v>0.6471527777777778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x14ac:dyDescent="0.15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 x14ac:dyDescent="0.15">
      <c r="A23" s="39">
        <v>3415.58</v>
      </c>
      <c r="B23" s="39">
        <v>3411.52</v>
      </c>
      <c r="C23" s="39">
        <v>3409.38</v>
      </c>
      <c r="D23" s="39">
        <v>3414.15</v>
      </c>
      <c r="E23" s="39">
        <v>3416.65</v>
      </c>
      <c r="F23" s="39">
        <v>3425.96</v>
      </c>
      <c r="G23" s="39">
        <v>3405.69</v>
      </c>
      <c r="H23" s="39">
        <v>957</v>
      </c>
      <c r="I23" s="39">
        <v>1058</v>
      </c>
      <c r="J23" s="39">
        <v>3416.32</v>
      </c>
      <c r="K23" s="39">
        <v>3416.43</v>
      </c>
      <c r="L23" s="39">
        <v>3425.35</v>
      </c>
      <c r="M23" s="39">
        <v>3426.48</v>
      </c>
      <c r="N23" s="39">
        <v>3414.01</v>
      </c>
      <c r="O23" s="39">
        <v>1408</v>
      </c>
      <c r="P23" s="39">
        <v>1324</v>
      </c>
    </row>
    <row r="24" spans="1:16" x14ac:dyDescent="0.15">
      <c r="D24" s="93"/>
    </row>
    <row r="25" spans="1:16" x14ac:dyDescent="0.15">
      <c r="A25" s="39"/>
      <c r="B25" s="39"/>
      <c r="C25" s="39"/>
      <c r="D25" s="93"/>
    </row>
    <row r="26" spans="1:16" x14ac:dyDescent="0.15">
      <c r="C26" s="39"/>
      <c r="D26" s="93"/>
    </row>
    <row r="27" spans="1:16" x14ac:dyDescent="0.15">
      <c r="D27" s="1"/>
    </row>
    <row r="28" spans="1:16" x14ac:dyDescent="0.15">
      <c r="D28" s="90"/>
    </row>
    <row r="29" spans="1:16" x14ac:dyDescent="0.15">
      <c r="D29" s="1"/>
    </row>
    <row r="30" spans="1:16" x14ac:dyDescent="0.15">
      <c r="C30" s="1"/>
      <c r="D30" s="90"/>
    </row>
    <row r="31" spans="1:16" x14ac:dyDescent="0.15">
      <c r="C31" s="1"/>
      <c r="D31" s="1"/>
    </row>
    <row r="32" spans="1:16" x14ac:dyDescent="0.15">
      <c r="D32" s="1"/>
    </row>
    <row r="33" spans="3:4" x14ac:dyDescent="0.15">
      <c r="D33" s="1"/>
    </row>
    <row r="34" spans="3:4" x14ac:dyDescent="0.15">
      <c r="C34" s="1"/>
      <c r="D34" s="1"/>
    </row>
    <row r="35" spans="3:4" x14ac:dyDescent="0.15">
      <c r="D35" s="1"/>
    </row>
    <row r="36" spans="3:4" x14ac:dyDescent="0.15">
      <c r="D36" s="1"/>
    </row>
    <row r="37" spans="3:4" x14ac:dyDescent="0.15">
      <c r="C37" s="90"/>
      <c r="D37" s="91"/>
    </row>
    <row r="38" spans="3:4" x14ac:dyDescent="0.15">
      <c r="C38" s="90"/>
      <c r="D38" s="91"/>
    </row>
    <row r="39" spans="3:4" x14ac:dyDescent="0.15">
      <c r="C39" s="1"/>
      <c r="D39" s="1"/>
    </row>
    <row r="40" spans="3:4" x14ac:dyDescent="0.15">
      <c r="C40" s="1"/>
      <c r="D40" s="86"/>
    </row>
    <row r="41" spans="3:4" x14ac:dyDescent="0.15">
      <c r="D41" s="1"/>
    </row>
    <row r="42" spans="3:4" x14ac:dyDescent="0.15">
      <c r="D42" s="1"/>
    </row>
    <row r="43" spans="3:4" x14ac:dyDescent="0.15">
      <c r="D43" s="1"/>
    </row>
    <row r="44" spans="3:4" x14ac:dyDescent="0.15">
      <c r="D44" s="1"/>
    </row>
    <row r="45" spans="3:4" x14ac:dyDescent="0.15">
      <c r="C45" s="1"/>
      <c r="D45" s="1"/>
    </row>
    <row r="46" spans="3:4" x14ac:dyDescent="0.15">
      <c r="D46" s="1"/>
    </row>
    <row r="47" spans="3:4" x14ac:dyDescent="0.15">
      <c r="D47" s="1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25"/>
    </row>
    <row r="52" spans="3:4" x14ac:dyDescent="0.15">
      <c r="D52" s="25"/>
    </row>
    <row r="53" spans="3:4" x14ac:dyDescent="0.15">
      <c r="D53" s="1"/>
    </row>
    <row r="54" spans="3:4" x14ac:dyDescent="0.15">
      <c r="D54" s="1"/>
    </row>
    <row r="55" spans="3:4" x14ac:dyDescent="0.15">
      <c r="D55" s="1"/>
    </row>
    <row r="56" spans="3:4" x14ac:dyDescent="0.15">
      <c r="C56" s="1"/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D62" s="1"/>
    </row>
    <row r="63" spans="3:4" x14ac:dyDescent="0.15">
      <c r="D63" s="1"/>
    </row>
    <row r="64" spans="3:4" x14ac:dyDescent="0.15">
      <c r="C64" s="1"/>
      <c r="D64" s="86"/>
    </row>
    <row r="65" spans="3:4" x14ac:dyDescent="0.15">
      <c r="C65" s="1"/>
      <c r="D65" s="86"/>
    </row>
    <row r="66" spans="3:4" x14ac:dyDescent="0.15">
      <c r="D66" s="1"/>
    </row>
    <row r="67" spans="3:4" x14ac:dyDescent="0.15">
      <c r="D67" s="1"/>
    </row>
    <row r="68" spans="3:4" x14ac:dyDescent="0.15">
      <c r="D68" s="1"/>
    </row>
    <row r="69" spans="3:4" x14ac:dyDescent="0.15">
      <c r="D69" s="1"/>
    </row>
    <row r="70" spans="3:4" x14ac:dyDescent="0.15">
      <c r="D70" s="1"/>
    </row>
    <row r="71" spans="3:4" x14ac:dyDescent="0.15">
      <c r="D71" s="1"/>
    </row>
    <row r="72" spans="3:4" x14ac:dyDescent="0.15">
      <c r="D72" s="1"/>
    </row>
    <row r="73" spans="3:4" x14ac:dyDescent="0.15">
      <c r="D73" s="1"/>
    </row>
    <row r="74" spans="3:4" x14ac:dyDescent="0.15">
      <c r="D74" s="1"/>
    </row>
    <row r="75" spans="3:4" x14ac:dyDescent="0.15">
      <c r="D75" s="1"/>
    </row>
    <row r="76" spans="3:4" x14ac:dyDescent="0.15">
      <c r="D76" s="1"/>
    </row>
    <row r="77" spans="3:4" x14ac:dyDescent="0.15">
      <c r="D77" s="1"/>
    </row>
    <row r="78" spans="3:4" x14ac:dyDescent="0.15">
      <c r="D78" s="1"/>
    </row>
    <row r="79" spans="3:4" x14ac:dyDescent="0.15">
      <c r="D79" s="1"/>
    </row>
    <row r="80" spans="3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1"/>
    </row>
    <row r="84" spans="4:4" x14ac:dyDescent="0.15">
      <c r="D84" s="1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25"/>
    </row>
    <row r="89" spans="4:4" x14ac:dyDescent="0.15">
      <c r="D89" s="25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6" spans="4:4" x14ac:dyDescent="0.15">
      <c r="D96" s="1"/>
    </row>
    <row r="97" spans="3:4" x14ac:dyDescent="0.15">
      <c r="D97" s="1"/>
    </row>
    <row r="101" spans="3:4" x14ac:dyDescent="0.15">
      <c r="C101" s="1"/>
      <c r="D101" s="8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28575</xdr:colOff>
                    <xdr:row>4</xdr:row>
                    <xdr:rowOff>66675</xdr:rowOff>
                  </from>
                  <to>
                    <xdr:col>6</xdr:col>
                    <xdr:colOff>28575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28575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28575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142875</xdr:rowOff>
                  </from>
                  <to>
                    <xdr:col>6</xdr:col>
                    <xdr:colOff>28575</xdr:colOff>
                    <xdr:row>11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414"/>
  <sheetViews>
    <sheetView zoomScale="115" zoomScaleNormal="115" workbookViewId="0">
      <pane xSplit="2" ySplit="6" topLeftCell="AC388" activePane="bottomRight" state="frozen"/>
      <selection pane="topRight" activeCell="C1" sqref="C1"/>
      <selection pane="bottomLeft" activeCell="A3" sqref="A3"/>
      <selection pane="bottomRight" activeCell="AJ412" sqref="AJ412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8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1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125" bestFit="1" customWidth="1" collapsed="1"/>
    <col min="37" max="37" width="10.5" bestFit="1" customWidth="1" collapsed="1"/>
    <col min="38" max="38" width="10.875" bestFit="1" customWidth="1" collapsed="1"/>
    <col min="39" max="42" width="10.625" bestFit="1" customWidth="1" collapsed="1"/>
    <col min="43" max="43" width="11.125" customWidth="1" collapsed="1"/>
    <col min="44" max="44" width="10.875" bestFit="1" customWidth="1" collapsed="1"/>
    <col min="45" max="46" width="10.625" customWidth="1" collapsed="1"/>
    <col min="47" max="47" width="9.5" customWidth="1" collapsed="1"/>
    <col min="48" max="48" width="7.5" customWidth="1" collapsed="1"/>
    <col min="49" max="49" width="12.875" bestFit="1" customWidth="1" collapsed="1"/>
    <col min="50" max="50" width="10.625" bestFit="1" customWidth="1" collapsed="1"/>
    <col min="51" max="51" width="10.875" bestFit="1" customWidth="1" collapsed="1"/>
    <col min="52" max="52" width="10.625" bestFit="1" customWidth="1" collapsed="1"/>
    <col min="53" max="53" width="14.1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15">
      <c r="BK2" s="51"/>
    </row>
    <row r="3" spans="1:284" s="39" customFormat="1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15">
      <c r="C5" s="45" t="s">
        <v>49</v>
      </c>
      <c r="BE5" s="45" t="s">
        <v>82</v>
      </c>
      <c r="BK5" s="52"/>
    </row>
    <row r="6" spans="1:284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x14ac:dyDescent="0.1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x14ac:dyDescent="0.1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x14ac:dyDescent="0.1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x14ac:dyDescent="0.1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x14ac:dyDescent="0.1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x14ac:dyDescent="0.1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x14ac:dyDescent="0.1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x14ac:dyDescent="0.1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x14ac:dyDescent="0.1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x14ac:dyDescent="0.1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x14ac:dyDescent="0.1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x14ac:dyDescent="0.1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x14ac:dyDescent="0.1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x14ac:dyDescent="0.1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x14ac:dyDescent="0.1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x14ac:dyDescent="0.1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x14ac:dyDescent="0.1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x14ac:dyDescent="0.1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x14ac:dyDescent="0.1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x14ac:dyDescent="0.1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x14ac:dyDescent="0.1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x14ac:dyDescent="0.1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x14ac:dyDescent="0.1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x14ac:dyDescent="0.1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x14ac:dyDescent="0.1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x14ac:dyDescent="0.1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x14ac:dyDescent="0.1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x14ac:dyDescent="0.1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x14ac:dyDescent="0.1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x14ac:dyDescent="0.1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x14ac:dyDescent="0.1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x14ac:dyDescent="0.1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x14ac:dyDescent="0.1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x14ac:dyDescent="0.1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x14ac:dyDescent="0.1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x14ac:dyDescent="0.1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x14ac:dyDescent="0.1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x14ac:dyDescent="0.1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x14ac:dyDescent="0.1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x14ac:dyDescent="0.1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x14ac:dyDescent="0.1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x14ac:dyDescent="0.1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x14ac:dyDescent="0.1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x14ac:dyDescent="0.1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x14ac:dyDescent="0.1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x14ac:dyDescent="0.1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x14ac:dyDescent="0.1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x14ac:dyDescent="0.1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x14ac:dyDescent="0.1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x14ac:dyDescent="0.1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x14ac:dyDescent="0.1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x14ac:dyDescent="0.1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x14ac:dyDescent="0.1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x14ac:dyDescent="0.1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x14ac:dyDescent="0.1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x14ac:dyDescent="0.1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x14ac:dyDescent="0.1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x14ac:dyDescent="0.1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x14ac:dyDescent="0.1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x14ac:dyDescent="0.1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x14ac:dyDescent="0.1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x14ac:dyDescent="0.1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x14ac:dyDescent="0.1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x14ac:dyDescent="0.1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x14ac:dyDescent="0.1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x14ac:dyDescent="0.1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x14ac:dyDescent="0.1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x14ac:dyDescent="0.1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x14ac:dyDescent="0.1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x14ac:dyDescent="0.1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x14ac:dyDescent="0.1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x14ac:dyDescent="0.1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x14ac:dyDescent="0.1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x14ac:dyDescent="0.1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x14ac:dyDescent="0.1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x14ac:dyDescent="0.1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x14ac:dyDescent="0.1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x14ac:dyDescent="0.1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x14ac:dyDescent="0.1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x14ac:dyDescent="0.1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x14ac:dyDescent="0.1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x14ac:dyDescent="0.1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x14ac:dyDescent="0.1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x14ac:dyDescent="0.1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x14ac:dyDescent="0.1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x14ac:dyDescent="0.1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x14ac:dyDescent="0.1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x14ac:dyDescent="0.1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x14ac:dyDescent="0.1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x14ac:dyDescent="0.1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x14ac:dyDescent="0.1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x14ac:dyDescent="0.1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x14ac:dyDescent="0.1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x14ac:dyDescent="0.1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x14ac:dyDescent="0.1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x14ac:dyDescent="0.1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x14ac:dyDescent="0.1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x14ac:dyDescent="0.1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x14ac:dyDescent="0.1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x14ac:dyDescent="0.1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x14ac:dyDescent="0.1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x14ac:dyDescent="0.1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x14ac:dyDescent="0.1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x14ac:dyDescent="0.1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x14ac:dyDescent="0.1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x14ac:dyDescent="0.1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x14ac:dyDescent="0.1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x14ac:dyDescent="0.1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x14ac:dyDescent="0.1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x14ac:dyDescent="0.1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x14ac:dyDescent="0.1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x14ac:dyDescent="0.1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x14ac:dyDescent="0.1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x14ac:dyDescent="0.1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x14ac:dyDescent="0.1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x14ac:dyDescent="0.1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x14ac:dyDescent="0.1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x14ac:dyDescent="0.1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x14ac:dyDescent="0.1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x14ac:dyDescent="0.1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x14ac:dyDescent="0.1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x14ac:dyDescent="0.1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x14ac:dyDescent="0.1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x14ac:dyDescent="0.1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x14ac:dyDescent="0.1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x14ac:dyDescent="0.1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x14ac:dyDescent="0.1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x14ac:dyDescent="0.1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x14ac:dyDescent="0.1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x14ac:dyDescent="0.1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x14ac:dyDescent="0.1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x14ac:dyDescent="0.1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x14ac:dyDescent="0.1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x14ac:dyDescent="0.1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x14ac:dyDescent="0.1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x14ac:dyDescent="0.1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x14ac:dyDescent="0.1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x14ac:dyDescent="0.1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x14ac:dyDescent="0.1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x14ac:dyDescent="0.1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x14ac:dyDescent="0.1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x14ac:dyDescent="0.1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x14ac:dyDescent="0.1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x14ac:dyDescent="0.1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x14ac:dyDescent="0.1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x14ac:dyDescent="0.1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x14ac:dyDescent="0.1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x14ac:dyDescent="0.1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x14ac:dyDescent="0.1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x14ac:dyDescent="0.1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x14ac:dyDescent="0.1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x14ac:dyDescent="0.1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x14ac:dyDescent="0.1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x14ac:dyDescent="0.1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x14ac:dyDescent="0.1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x14ac:dyDescent="0.1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x14ac:dyDescent="0.1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x14ac:dyDescent="0.1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7" x14ac:dyDescent="0.1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x14ac:dyDescent="0.1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x14ac:dyDescent="0.1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13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x14ac:dyDescent="0.1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x14ac:dyDescent="0.1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x14ac:dyDescent="0.1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x14ac:dyDescent="0.1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x14ac:dyDescent="0.1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x14ac:dyDescent="0.1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x14ac:dyDescent="0.1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x14ac:dyDescent="0.1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x14ac:dyDescent="0.1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x14ac:dyDescent="0.1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x14ac:dyDescent="0.1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x14ac:dyDescent="0.1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x14ac:dyDescent="0.1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x14ac:dyDescent="0.1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x14ac:dyDescent="0.1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x14ac:dyDescent="0.1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0.5" x14ac:dyDescent="0.1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x14ac:dyDescent="0.1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x14ac:dyDescent="0.1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4.5" x14ac:dyDescent="0.1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x14ac:dyDescent="0.1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x14ac:dyDescent="0.1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x14ac:dyDescent="0.1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x14ac:dyDescent="0.1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x14ac:dyDescent="0.1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x14ac:dyDescent="0.1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0.5" x14ac:dyDescent="0.1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x14ac:dyDescent="0.1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x14ac:dyDescent="0.1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x14ac:dyDescent="0.1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7" x14ac:dyDescent="0.1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7" x14ac:dyDescent="0.1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1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x14ac:dyDescent="0.15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x14ac:dyDescent="0.15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x14ac:dyDescent="0.15">
      <c r="A204" s="1">
        <f>+A203+1</f>
        <v>42803</v>
      </c>
      <c r="B204" s="41">
        <f t="shared" si="225"/>
        <v>4</v>
      </c>
      <c r="C204" s="85">
        <v>3230.9416000000001</v>
      </c>
      <c r="D204" s="85">
        <v>3230.0419000000002</v>
      </c>
      <c r="E204" s="85">
        <v>3226.5655000000002</v>
      </c>
      <c r="F204" s="85">
        <v>3225.8024</v>
      </c>
      <c r="G204" s="85">
        <v>3213.0989</v>
      </c>
      <c r="H204" s="85">
        <v>3233.7006999999999</v>
      </c>
      <c r="I204" s="85">
        <v>3205.5488</v>
      </c>
      <c r="J204" s="85">
        <v>930</v>
      </c>
      <c r="K204" s="85">
        <v>1101</v>
      </c>
      <c r="L204" s="85">
        <v>3211.6334999999999</v>
      </c>
      <c r="M204" s="85">
        <v>3211.9083000000001</v>
      </c>
      <c r="N204" s="85">
        <v>3216.5808000000002</v>
      </c>
      <c r="O204" s="85">
        <v>3217.5666999999999</v>
      </c>
      <c r="P204" s="85">
        <v>3205.8863000000001</v>
      </c>
      <c r="Q204" s="85">
        <v>1450</v>
      </c>
      <c r="R204" s="85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x14ac:dyDescent="0.15">
      <c r="A205" s="1">
        <f>+A204+1</f>
        <v>42804</v>
      </c>
      <c r="B205" s="41">
        <f t="shared" si="225"/>
        <v>5</v>
      </c>
      <c r="C205" s="85">
        <v>3214.7685999999999</v>
      </c>
      <c r="D205" s="85">
        <v>3215.8507</v>
      </c>
      <c r="E205" s="85">
        <v>3218.1154000000001</v>
      </c>
      <c r="F205" s="85">
        <v>3219.6264999999999</v>
      </c>
      <c r="G205" s="85">
        <v>3216.5810999999999</v>
      </c>
      <c r="H205" s="85">
        <v>3221.9443000000001</v>
      </c>
      <c r="I205" s="85">
        <v>3211.6266999999998</v>
      </c>
      <c r="J205" s="85">
        <v>943</v>
      </c>
      <c r="K205" s="85">
        <v>1016</v>
      </c>
      <c r="L205" s="85">
        <v>3217.1583000000001</v>
      </c>
      <c r="M205" s="85">
        <v>3215.8413</v>
      </c>
      <c r="N205" s="85">
        <v>3212.4276</v>
      </c>
      <c r="O205" s="85">
        <v>3219.2067999999999</v>
      </c>
      <c r="P205" s="85">
        <v>3208.5803000000001</v>
      </c>
      <c r="Q205" s="85">
        <v>1344</v>
      </c>
      <c r="R205" s="85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x14ac:dyDescent="0.15">
      <c r="A206" s="1">
        <v>42807</v>
      </c>
      <c r="B206" s="41">
        <f t="shared" si="225"/>
        <v>1</v>
      </c>
      <c r="C206" s="85">
        <v>3207.1464000000001</v>
      </c>
      <c r="D206" s="85">
        <v>3206.8425000000002</v>
      </c>
      <c r="E206" s="85">
        <v>3203.7483999999999</v>
      </c>
      <c r="F206" s="85">
        <v>3200.0214000000001</v>
      </c>
      <c r="G206" s="85">
        <v>3226.5092</v>
      </c>
      <c r="H206" s="85">
        <v>3226.9486999999999</v>
      </c>
      <c r="I206" s="85">
        <v>3193.1565000000001</v>
      </c>
      <c r="J206" s="85">
        <v>1129</v>
      </c>
      <c r="K206" s="85">
        <v>945</v>
      </c>
      <c r="L206" s="85">
        <v>3226.9405999999999</v>
      </c>
      <c r="M206" s="85">
        <v>3225.1354999999999</v>
      </c>
      <c r="N206" s="85">
        <v>3237.0228000000002</v>
      </c>
      <c r="O206" s="85">
        <v>3237.0428000000002</v>
      </c>
      <c r="P206" s="85">
        <v>3223.6199000000001</v>
      </c>
      <c r="Q206" s="85">
        <v>1500</v>
      </c>
      <c r="R206" s="85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x14ac:dyDescent="0.15">
      <c r="A207" s="1">
        <v>42808</v>
      </c>
      <c r="B207" s="41">
        <f t="shared" si="225"/>
        <v>2</v>
      </c>
      <c r="C207" s="85">
        <v>3235.0154000000002</v>
      </c>
      <c r="D207" s="85">
        <v>3235.2644</v>
      </c>
      <c r="E207" s="85">
        <v>3239.2676999999999</v>
      </c>
      <c r="F207" s="85">
        <v>3242.4191999999998</v>
      </c>
      <c r="G207" s="85">
        <v>3240.8924999999999</v>
      </c>
      <c r="H207" s="85">
        <v>3246.0938999999998</v>
      </c>
      <c r="I207" s="85">
        <v>3234.6795000000002</v>
      </c>
      <c r="J207" s="85">
        <v>1046</v>
      </c>
      <c r="K207" s="85">
        <v>931</v>
      </c>
      <c r="L207" s="85">
        <v>3241.2948999999999</v>
      </c>
      <c r="M207" s="85">
        <v>3240.7914999999998</v>
      </c>
      <c r="N207" s="85">
        <v>3238.6205</v>
      </c>
      <c r="O207" s="85">
        <v>3241.9263999999998</v>
      </c>
      <c r="P207" s="85">
        <v>3231.6268</v>
      </c>
      <c r="Q207" s="85">
        <v>1354</v>
      </c>
      <c r="R207" s="85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x14ac:dyDescent="0.15">
      <c r="A208" s="1">
        <v>42809</v>
      </c>
      <c r="B208" s="41">
        <f t="shared" si="225"/>
        <v>3</v>
      </c>
      <c r="C208" s="85">
        <v>3233.45</v>
      </c>
      <c r="D208" s="85">
        <v>3232.26</v>
      </c>
      <c r="E208" s="85">
        <v>3233.75</v>
      </c>
      <c r="F208" s="85">
        <v>3233.16</v>
      </c>
      <c r="G208" s="85">
        <v>3241.52</v>
      </c>
      <c r="H208" s="85">
        <v>3243.56</v>
      </c>
      <c r="I208" s="85">
        <v>3227.74</v>
      </c>
      <c r="J208" s="85">
        <v>1118</v>
      </c>
      <c r="K208" s="85">
        <v>945</v>
      </c>
      <c r="L208" s="85">
        <v>3241.78</v>
      </c>
      <c r="M208" s="85">
        <v>3240.61</v>
      </c>
      <c r="N208" s="85">
        <v>3241.76</v>
      </c>
      <c r="O208" s="85">
        <v>3242.84</v>
      </c>
      <c r="P208" s="85">
        <v>3233.06</v>
      </c>
      <c r="Q208" s="85">
        <v>1303</v>
      </c>
      <c r="R208" s="85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x14ac:dyDescent="0.15">
      <c r="A209" s="1">
        <v>42810</v>
      </c>
      <c r="B209" s="41">
        <f t="shared" si="225"/>
        <v>4</v>
      </c>
      <c r="C209" s="85">
        <v>3253.4501</v>
      </c>
      <c r="D209" s="85">
        <v>3255.1612</v>
      </c>
      <c r="E209" s="85">
        <v>3259.1979000000001</v>
      </c>
      <c r="F209" s="85">
        <v>3263.6039000000001</v>
      </c>
      <c r="G209" s="85">
        <v>3263.0517</v>
      </c>
      <c r="H209" s="85">
        <v>3267.2854000000002</v>
      </c>
      <c r="I209" s="85">
        <v>3247.1628000000001</v>
      </c>
      <c r="J209" s="85">
        <v>947</v>
      </c>
      <c r="K209" s="85">
        <v>930</v>
      </c>
      <c r="L209" s="85">
        <v>3265.0990999999999</v>
      </c>
      <c r="M209" s="85">
        <v>3264.2988999999998</v>
      </c>
      <c r="N209" s="85">
        <v>3269.5410000000002</v>
      </c>
      <c r="O209" s="85">
        <v>3269.5644000000002</v>
      </c>
      <c r="P209" s="85">
        <v>3261.7936</v>
      </c>
      <c r="Q209" s="85">
        <v>1500</v>
      </c>
      <c r="R209" s="85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x14ac:dyDescent="0.15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x14ac:dyDescent="0.15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x14ac:dyDescent="0.15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x14ac:dyDescent="0.15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x14ac:dyDescent="0.15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x14ac:dyDescent="0.15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0.5" x14ac:dyDescent="0.1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x14ac:dyDescent="0.15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x14ac:dyDescent="0.15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x14ac:dyDescent="0.15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x14ac:dyDescent="0.15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x14ac:dyDescent="0.15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x14ac:dyDescent="0.15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x14ac:dyDescent="0.15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4" x14ac:dyDescent="0.15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x14ac:dyDescent="0.15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x14ac:dyDescent="0.15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x14ac:dyDescent="0.15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x14ac:dyDescent="0.15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4" x14ac:dyDescent="0.15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x14ac:dyDescent="0.15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x14ac:dyDescent="0.15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x14ac:dyDescent="0.15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x14ac:dyDescent="0.15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x14ac:dyDescent="0.15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x14ac:dyDescent="0.15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x14ac:dyDescent="0.15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x14ac:dyDescent="0.15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x14ac:dyDescent="0.15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x14ac:dyDescent="0.15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0.5" x14ac:dyDescent="0.1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x14ac:dyDescent="0.15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x14ac:dyDescent="0.15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x14ac:dyDescent="0.15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x14ac:dyDescent="0.15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x14ac:dyDescent="0.15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x14ac:dyDescent="0.15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x14ac:dyDescent="0.15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x14ac:dyDescent="0.15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x14ac:dyDescent="0.15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x14ac:dyDescent="0.15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x14ac:dyDescent="0.15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x14ac:dyDescent="0.15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x14ac:dyDescent="0.15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x14ac:dyDescent="0.15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x14ac:dyDescent="0.15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x14ac:dyDescent="0.15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x14ac:dyDescent="0.15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x14ac:dyDescent="0.15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x14ac:dyDescent="0.15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x14ac:dyDescent="0.15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x14ac:dyDescent="0.15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x14ac:dyDescent="0.15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x14ac:dyDescent="0.15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 x14ac:dyDescent="0.15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x14ac:dyDescent="0.15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x14ac:dyDescent="0.15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x14ac:dyDescent="0.15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x14ac:dyDescent="0.15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x14ac:dyDescent="0.15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x14ac:dyDescent="0.15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x14ac:dyDescent="0.15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x14ac:dyDescent="0.15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x14ac:dyDescent="0.15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x14ac:dyDescent="0.15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x14ac:dyDescent="0.15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x14ac:dyDescent="0.15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x14ac:dyDescent="0.15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x14ac:dyDescent="0.15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x14ac:dyDescent="0.15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x14ac:dyDescent="0.15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x14ac:dyDescent="0.15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x14ac:dyDescent="0.15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x14ac:dyDescent="0.15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x14ac:dyDescent="0.15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x14ac:dyDescent="0.15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x14ac:dyDescent="0.15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x14ac:dyDescent="0.15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x14ac:dyDescent="0.15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x14ac:dyDescent="0.15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x14ac:dyDescent="0.15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x14ac:dyDescent="0.15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x14ac:dyDescent="0.15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x14ac:dyDescent="0.15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x14ac:dyDescent="0.15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x14ac:dyDescent="0.15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x14ac:dyDescent="0.15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x14ac:dyDescent="0.15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x14ac:dyDescent="0.15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x14ac:dyDescent="0.15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x14ac:dyDescent="0.15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x14ac:dyDescent="0.15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x14ac:dyDescent="0.15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x14ac:dyDescent="0.15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x14ac:dyDescent="0.15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x14ac:dyDescent="0.15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x14ac:dyDescent="0.15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x14ac:dyDescent="0.15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x14ac:dyDescent="0.15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x14ac:dyDescent="0.15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x14ac:dyDescent="0.15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x14ac:dyDescent="0.15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x14ac:dyDescent="0.15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x14ac:dyDescent="0.15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x14ac:dyDescent="0.15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x14ac:dyDescent="0.15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x14ac:dyDescent="0.15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x14ac:dyDescent="0.15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2">
        <f t="shared" si="176"/>
        <v>3262.6350499999999</v>
      </c>
      <c r="T317" s="92" t="str">
        <f t="shared" ref="T317" si="2381">IF(AVERAGE(N316)&lt;S316,"熊",IF(AVERAGE(N316)&gt;S316,"牛",""))</f>
        <v>牛</v>
      </c>
      <c r="U317" s="92">
        <f t="shared" ref="U317" si="2382">MAX(H317,O317)</f>
        <v>3293.4760000000001</v>
      </c>
      <c r="V317" s="92">
        <f t="shared" ref="V317" si="2383">MIN(I317,P317)</f>
        <v>3274.9924999999998</v>
      </c>
      <c r="W317" s="40">
        <f t="shared" ref="W317" si="2384">LN(U317/V317)</f>
        <v>5.6279629831892386E-3</v>
      </c>
      <c r="X317" s="92">
        <f t="shared" ref="X317" si="2385">IF(U317=H317,J317,Q317)</f>
        <v>1121</v>
      </c>
      <c r="Y317" s="92">
        <f t="shared" ref="Y317" si="2386">IF(V317=I317,K317,R317)</f>
        <v>1004</v>
      </c>
      <c r="Z317" s="93">
        <f t="shared" ref="Z317" si="2387">(U317-V317)/(C317)</f>
        <v>5.6221612587388286E-3</v>
      </c>
      <c r="AA317" s="93">
        <f t="shared" ref="AA317" si="2388">LN(C317/N316)</f>
        <v>8.903507776541694E-5</v>
      </c>
      <c r="AB317" s="93">
        <f t="shared" ref="AB317" si="2389">LN(N317/U317)</f>
        <v>-7.4435404118798111E-4</v>
      </c>
      <c r="AC317" s="93">
        <f t="shared" ref="AC317" si="2390">LN(N317/V317)</f>
        <v>4.8836089420012914E-3</v>
      </c>
      <c r="AD317" s="93">
        <f t="shared" ref="AD317" si="2391">LN(U317/C317)</f>
        <v>1.7812553623556351E-3</v>
      </c>
      <c r="AE317" s="93">
        <f t="shared" ref="AE317" si="2392">LN(V317/C317)</f>
        <v>-3.846707620833546E-3</v>
      </c>
      <c r="AF317" s="93">
        <f t="shared" ref="AF317" si="2393">LN(N317/C317)</f>
        <v>1.0369013211677493E-3</v>
      </c>
      <c r="AG317" s="93">
        <f t="shared" ref="AG317" si="2394">LN(N317/N316)</f>
        <v>1.1259363989330716E-3</v>
      </c>
      <c r="AH317" s="93">
        <f t="shared" ref="AH317" si="2395">LN(D317/C317)</f>
        <v>-3.9242831989973865E-4</v>
      </c>
      <c r="AI317" s="93">
        <f t="shared" ref="AI317" si="2396">LN(E317/C317)</f>
        <v>-1.3509180688176076E-3</v>
      </c>
      <c r="AJ317" s="93">
        <f t="shared" ref="AJ317" si="2397">LN(F317/C317)</f>
        <v>-1.4857357711987856E-3</v>
      </c>
      <c r="AK317" s="93">
        <f t="shared" ref="AK317" si="2398">+LN(G317/C317)</f>
        <v>1.2435025093610358E-3</v>
      </c>
      <c r="AL317" s="93">
        <f t="shared" ref="AL317" si="2399">LN(H317/I317)</f>
        <v>5.6279629831892386E-3</v>
      </c>
      <c r="AM317" s="93">
        <f t="shared" ref="AM317" si="2400">LN(O317/P317)</f>
        <v>3.8429233543009244E-3</v>
      </c>
      <c r="AN317" s="93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3">
        <f t="shared" ref="AQ317" si="2404">LN(M317/L317)</f>
        <v>-8.1641471215178286E-4</v>
      </c>
      <c r="AR317" s="93">
        <f t="shared" ref="AR317" si="2405">LN(N317/L317)</f>
        <v>-2.0660118819340606E-4</v>
      </c>
      <c r="AS317" s="93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3">
        <f t="shared" si="937"/>
        <v>1.0369013211677493E-3</v>
      </c>
      <c r="AX317" s="28">
        <f t="shared" si="938"/>
        <v>-3.6789569075111647E-2</v>
      </c>
      <c r="AY317" s="93">
        <f t="shared" si="939"/>
        <v>5.0902101301947798E-3</v>
      </c>
      <c r="AZ317" s="93">
        <f t="shared" si="940"/>
        <v>3.1055224773726656E-3</v>
      </c>
      <c r="BA317" s="93">
        <f t="shared" ref="BA317" si="2406">AV316</f>
        <v>0.99876685934490705</v>
      </c>
      <c r="BB317" s="93">
        <f t="shared" si="1001"/>
        <v>3.2985707879190007E-3</v>
      </c>
      <c r="BC317" s="93">
        <f t="shared" ref="BC317" si="2407">AS316</f>
        <v>3.8834822715934857E-3</v>
      </c>
      <c r="BD317" s="39">
        <f t="shared" si="971"/>
        <v>0</v>
      </c>
      <c r="BE317" s="92">
        <f t="shared" si="1596"/>
        <v>0</v>
      </c>
      <c r="BF317" s="92">
        <f t="shared" si="972"/>
        <v>0</v>
      </c>
      <c r="BG317" s="92" t="str">
        <f t="shared" si="973"/>
        <v/>
      </c>
      <c r="BH317" s="92" t="str">
        <f t="shared" si="1003"/>
        <v/>
      </c>
      <c r="BI317" s="92" t="str">
        <f t="shared" si="974"/>
        <v/>
      </c>
      <c r="BJ317" s="93" t="str">
        <f t="shared" si="943"/>
        <v/>
      </c>
    </row>
    <row r="318" spans="1:63" x14ac:dyDescent="0.15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2">
        <f t="shared" si="176"/>
        <v>3264.9980349999996</v>
      </c>
      <c r="T318" s="92" t="str">
        <f t="shared" ref="T318" si="2408">IF(AVERAGE(N317)&lt;S317,"熊",IF(AVERAGE(N317)&gt;S317,"牛",""))</f>
        <v>牛</v>
      </c>
      <c r="U318" s="92">
        <f t="shared" ref="U318" si="2409">MAX(H318,O318)</f>
        <v>3299.1131999999998</v>
      </c>
      <c r="V318" s="92">
        <f t="shared" ref="V318" si="2410">MIN(I318,P318)</f>
        <v>3274.5729000000001</v>
      </c>
      <c r="W318" s="40">
        <f t="shared" ref="W318" si="2411">LN(U318/V318)</f>
        <v>7.4662567170009761E-3</v>
      </c>
      <c r="X318" s="92">
        <f t="shared" ref="X318" si="2412">IF(U318=H318,J318,Q318)</f>
        <v>1412</v>
      </c>
      <c r="Y318" s="92">
        <f t="shared" ref="Y318" si="2413">IF(V318=I318,K318,R318)</f>
        <v>1108</v>
      </c>
      <c r="Z318" s="93">
        <f t="shared" ref="Z318" si="2414">(U318-V318)/(C318)</f>
        <v>7.4731486109705031E-3</v>
      </c>
      <c r="AA318" s="93">
        <f t="shared" ref="AA318" si="2415">LN(C318/N317)</f>
        <v>-2.1989349408374171E-3</v>
      </c>
      <c r="AB318" s="93">
        <f t="shared" ref="AB318" si="2416">LN(N318/U318)</f>
        <v>-3.4716778957020744E-3</v>
      </c>
      <c r="AC318" s="93">
        <f t="shared" ref="AC318" si="2417">LN(N318/V318)</f>
        <v>3.9945788212989953E-3</v>
      </c>
      <c r="AD318" s="93">
        <f t="shared" ref="AD318" si="2418">LN(U318/C318)</f>
        <v>4.6534520766426677E-3</v>
      </c>
      <c r="AE318" s="93">
        <f t="shared" ref="AE318" si="2419">LN(V318/C318)</f>
        <v>-2.8128046403583318E-3</v>
      </c>
      <c r="AF318" s="93">
        <f t="shared" ref="AF318" si="2420">LN(N318/C318)</f>
        <v>1.181774180940721E-3</v>
      </c>
      <c r="AG318" s="93">
        <f t="shared" ref="AG318" si="2421">LN(N318/N317)</f>
        <v>-1.0171607598967146E-3</v>
      </c>
      <c r="AH318" s="93">
        <f t="shared" ref="AH318" si="2422">LN(D318/C318)</f>
        <v>6.1513974011036915E-6</v>
      </c>
      <c r="AI318" s="93">
        <f t="shared" ref="AI318" si="2423">LN(E318/C318)</f>
        <v>2.7881616974621408E-4</v>
      </c>
      <c r="AJ318" s="93">
        <f t="shared" ref="AJ318" si="2424">LN(F318/C318)</f>
        <v>-3.0112975662583856E-4</v>
      </c>
      <c r="AK318" s="93">
        <f t="shared" ref="AK318" si="2425">+LN(G318/C318)</f>
        <v>-1.1782788076798662E-4</v>
      </c>
      <c r="AL318" s="93">
        <f t="shared" ref="AL318" si="2426">LN(H318/I318)</f>
        <v>6.0175157337377218E-3</v>
      </c>
      <c r="AM318" s="93">
        <f t="shared" ref="AM318" si="2427">LN(O318/P318)</f>
        <v>4.891924022645015E-3</v>
      </c>
      <c r="AN318" s="93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3">
        <f t="shared" ref="AQ318" si="2431">LN(M318/L318)</f>
        <v>9.1688814323278146E-4</v>
      </c>
      <c r="AR318" s="93">
        <f t="shared" ref="AR318" si="2432">LN(N318/L318)</f>
        <v>1.2996020617086191E-3</v>
      </c>
      <c r="AS318" s="93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3">
        <f t="shared" si="937"/>
        <v>1.181774180940721E-3</v>
      </c>
      <c r="AX318" s="28">
        <f t="shared" si="938"/>
        <v>0.17399542792874734</v>
      </c>
      <c r="AY318" s="93">
        <f t="shared" si="939"/>
        <v>2.6949767595903858E-3</v>
      </c>
      <c r="AZ318" s="93">
        <f t="shared" si="940"/>
        <v>1.4202461269429804E-3</v>
      </c>
      <c r="BA318" s="93">
        <f t="shared" ref="BA318" si="2433">AV317</f>
        <v>0.86741688533015471</v>
      </c>
      <c r="BB318" s="93">
        <f t="shared" si="1001"/>
        <v>-2.0660118819340606E-4</v>
      </c>
      <c r="BC318" s="93">
        <f t="shared" ref="BC318" si="2434">AS317</f>
        <v>1.0369013211677493E-3</v>
      </c>
      <c r="BD318" s="39">
        <f t="shared" si="971"/>
        <v>1</v>
      </c>
      <c r="BE318" s="92" t="str">
        <f t="shared" si="1596"/>
        <v/>
      </c>
      <c r="BF318" s="92" t="str">
        <f t="shared" si="972"/>
        <v/>
      </c>
      <c r="BG318" s="92">
        <f t="shared" si="973"/>
        <v>0</v>
      </c>
      <c r="BH318" s="92" t="str">
        <f t="shared" si="1003"/>
        <v/>
      </c>
      <c r="BI318" s="92" t="str">
        <f t="shared" si="974"/>
        <v/>
      </c>
      <c r="BJ318" s="93" t="str">
        <f t="shared" si="943"/>
        <v/>
      </c>
    </row>
    <row r="319" spans="1:63" x14ac:dyDescent="0.15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2">
        <f t="shared" si="176"/>
        <v>3267.002845</v>
      </c>
      <c r="T319" s="92" t="str">
        <f t="shared" ref="T319" si="2435">IF(AVERAGE(N318)&lt;S318,"熊",IF(AVERAGE(N318)&gt;S318,"牛",""))</f>
        <v>牛</v>
      </c>
      <c r="U319" s="92">
        <f t="shared" ref="U319" si="2436">MAX(H319,O319)</f>
        <v>3297.9007999999999</v>
      </c>
      <c r="V319" s="92">
        <f t="shared" ref="V319" si="2437">MIN(I319,P319)</f>
        <v>3266.4767999999999</v>
      </c>
      <c r="W319" s="40">
        <f t="shared" ref="W319" si="2438">LN(U319/V319)</f>
        <v>9.5741719791100337E-3</v>
      </c>
      <c r="X319" s="92">
        <f t="shared" ref="X319" si="2439">IF(U319=H319,J319,Q319)</f>
        <v>946</v>
      </c>
      <c r="Y319" s="92">
        <f t="shared" ref="Y319" si="2440">IF(V319=I319,K319,R319)</f>
        <v>1439</v>
      </c>
      <c r="Z319" s="93">
        <f t="shared" ref="Z319" si="2441">(U319-V319)/(C319)</f>
        <v>9.5572956284070837E-3</v>
      </c>
      <c r="AA319" s="93">
        <f t="shared" ref="AA319" si="2442">LN(C319/N318)</f>
        <v>8.5101995462148012E-5</v>
      </c>
      <c r="AB319" s="93">
        <f t="shared" ref="AB319" si="2443">LN(N319/U319)</f>
        <v>-7.887018287537512E-3</v>
      </c>
      <c r="AC319" s="93">
        <f t="shared" ref="AC319" si="2444">LN(N319/V319)</f>
        <v>1.6871536915724263E-3</v>
      </c>
      <c r="AD319" s="93">
        <f t="shared" ref="AD319" si="2445">LN(U319/C319)</f>
        <v>3.0190156635480966E-3</v>
      </c>
      <c r="AE319" s="93">
        <f t="shared" ref="AE319" si="2446">LN(V319/C319)</f>
        <v>-6.5551563155618036E-3</v>
      </c>
      <c r="AF319" s="93">
        <f t="shared" ref="AF319" si="2447">LN(N319/C319)</f>
        <v>-4.8680026239892827E-3</v>
      </c>
      <c r="AG319" s="93">
        <f t="shared" ref="AG319" si="2448">LN(N319/N318)</f>
        <v>-4.7829006285272889E-3</v>
      </c>
      <c r="AH319" s="93">
        <f t="shared" ref="AH319" si="2449">LN(D319/C319)</f>
        <v>1.4694965449776816E-4</v>
      </c>
      <c r="AI319" s="93">
        <f t="shared" ref="AI319" si="2450">LN(E319/C319)</f>
        <v>1.1783332416817254E-3</v>
      </c>
      <c r="AJ319" s="93">
        <f t="shared" ref="AJ319" si="2451">LN(F319/C319)</f>
        <v>1.2122968811678729E-3</v>
      </c>
      <c r="AK319" s="93">
        <f t="shared" ref="AK319" si="2452">+LN(G319/C319)</f>
        <v>-4.6799848334879817E-4</v>
      </c>
      <c r="AL319" s="93">
        <f t="shared" ref="AL319" si="2453">LN(H319/I319)</f>
        <v>7.1137214533721462E-3</v>
      </c>
      <c r="AM319" s="93">
        <f t="shared" ref="AM319" si="2454">LN(O319/P319)</f>
        <v>6.3314058950203166E-3</v>
      </c>
      <c r="AN319" s="93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3">
        <f t="shared" ref="AQ319" si="2458">LN(M319/L319)</f>
        <v>-6.8922405091839992E-4</v>
      </c>
      <c r="AR319" s="93">
        <f t="shared" ref="AR319" si="2459">LN(N319/L319)</f>
        <v>-4.4000041406404697E-3</v>
      </c>
      <c r="AS319" s="93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3">
        <f t="shared" si="937"/>
        <v>-4.8680026239892827E-3</v>
      </c>
      <c r="AX319" s="28">
        <f t="shared" si="938"/>
        <v>-0.45915542260692449</v>
      </c>
      <c r="AY319" s="93">
        <f t="shared" si="939"/>
        <v>3.626707306475096E-3</v>
      </c>
      <c r="AZ319" s="93">
        <f t="shared" si="940"/>
        <v>1.6871536915724263E-3</v>
      </c>
      <c r="BA319" s="93">
        <f t="shared" ref="BA319" si="2460">AV318</f>
        <v>0.53408882531998381</v>
      </c>
      <c r="BB319" s="93">
        <f t="shared" si="1001"/>
        <v>1.2996020617086191E-3</v>
      </c>
      <c r="BC319" s="93">
        <f t="shared" ref="BC319" si="2461">AS318</f>
        <v>1.181774180940721E-3</v>
      </c>
      <c r="BD319" s="39">
        <f t="shared" si="971"/>
        <v>0</v>
      </c>
      <c r="BE319" s="92" t="str">
        <f t="shared" si="1596"/>
        <v/>
      </c>
      <c r="BF319" s="92" t="str">
        <f t="shared" si="972"/>
        <v/>
      </c>
      <c r="BG319" s="92" t="str">
        <f t="shared" si="973"/>
        <v/>
      </c>
      <c r="BH319" s="92">
        <f t="shared" si="1003"/>
        <v>0</v>
      </c>
      <c r="BI319" s="92" t="str">
        <f t="shared" si="974"/>
        <v/>
      </c>
      <c r="BJ319" s="93" t="str">
        <f t="shared" si="943"/>
        <v/>
      </c>
    </row>
    <row r="320" spans="1:63" ht="40.5" x14ac:dyDescent="0.1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2">
        <f t="shared" si="176"/>
        <v>3268.1378349999995</v>
      </c>
      <c r="T320" s="92" t="str">
        <f t="shared" ref="T320" si="2462">IF(AVERAGE(N319)&lt;S319,"熊",IF(AVERAGE(N319)&gt;S319,"牛",""))</f>
        <v>牛</v>
      </c>
      <c r="U320" s="92">
        <f t="shared" ref="U320" si="2463">MAX(H320,O320)</f>
        <v>3331.6641</v>
      </c>
      <c r="V320" s="92">
        <f t="shared" ref="V320" si="2464">MIN(I320,P320)</f>
        <v>3271.4607999999998</v>
      </c>
      <c r="W320" s="40">
        <f t="shared" ref="W320" si="2465">LN(U320/V320)</f>
        <v>1.8235295914025396E-2</v>
      </c>
      <c r="X320" s="92">
        <f t="shared" ref="X320" si="2466">IF(U320=H320,J320,Q320)</f>
        <v>1500</v>
      </c>
      <c r="Y320" s="92">
        <f t="shared" ref="Y320" si="2467">IF(V320=I320,K320,R320)</f>
        <v>930</v>
      </c>
      <c r="Z320" s="93">
        <f t="shared" ref="Z320" si="2468">(U320-V320)/(C320)</f>
        <v>1.8402574165033592E-2</v>
      </c>
      <c r="AA320" s="93">
        <f t="shared" ref="AA320" si="2469">LN(C320/N319)</f>
        <v>-1.6251357709549675E-4</v>
      </c>
      <c r="AB320" s="93">
        <f t="shared" ref="AB320" si="2470">LN(N320/U320)</f>
        <v>0</v>
      </c>
      <c r="AC320" s="93">
        <f t="shared" ref="AC320" si="2471">LN(N320/V320)</f>
        <v>1.8235295914025396E-2</v>
      </c>
      <c r="AD320" s="93">
        <f t="shared" ref="AD320" si="2472">LN(U320/C320)</f>
        <v>1.8235295914025396E-2</v>
      </c>
      <c r="AE320" s="93">
        <f t="shared" ref="AE320" si="2473">LN(V320/C320)</f>
        <v>0</v>
      </c>
      <c r="AF320" s="93">
        <f t="shared" ref="AF320" si="2474">LN(N320/C320)</f>
        <v>1.8235295914025396E-2</v>
      </c>
      <c r="AG320" s="93">
        <f t="shared" ref="AG320" si="2475">LN(N320/N319)</f>
        <v>1.8072782336929907E-2</v>
      </c>
      <c r="AH320" s="93">
        <f t="shared" ref="AH320" si="2476">LN(D320/C320)</f>
        <v>1.6959984074102624E-3</v>
      </c>
      <c r="AI320" s="93">
        <f t="shared" ref="AI320" si="2477">LN(E320/C320)</f>
        <v>2.2028879352214903E-3</v>
      </c>
      <c r="AJ320" s="93">
        <f t="shared" ref="AJ320" si="2478">LN(F320/C320)</f>
        <v>4.0699458220780403E-3</v>
      </c>
      <c r="AK320" s="93">
        <f t="shared" ref="AK320" si="2479">+LN(G320/C320)</f>
        <v>1.1503095459089046E-2</v>
      </c>
      <c r="AL320" s="93">
        <f t="shared" ref="AL320" si="2480">LN(H320/I320)</f>
        <v>1.1503095459089046E-2</v>
      </c>
      <c r="AM320" s="93">
        <f t="shared" ref="AM320" si="2481">LN(O320/P320)</f>
        <v>6.7322004549363627E-3</v>
      </c>
      <c r="AN320" s="93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3">
        <f t="shared" ref="AQ320" si="2485">LN(M320/L320)</f>
        <v>2.0772473082298171E-3</v>
      </c>
      <c r="AR320" s="93">
        <f t="shared" ref="AR320" si="2486">LN(N320/L320)</f>
        <v>6.7322004549363627E-3</v>
      </c>
      <c r="AS320" s="93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3">
        <f t="shared" si="937"/>
        <v>1.8235295914025396E-2</v>
      </c>
      <c r="AX320" s="28">
        <f t="shared" si="938"/>
        <v>0.37131021056985197</v>
      </c>
      <c r="AY320" s="93">
        <f t="shared" si="939"/>
        <v>1.1503095459089046E-2</v>
      </c>
      <c r="AZ320" s="93">
        <f t="shared" si="940"/>
        <v>6.7322004549363627E-3</v>
      </c>
      <c r="BA320" s="93">
        <f t="shared" ref="BA320" si="2487">AV319</f>
        <v>0.17552507637474313</v>
      </c>
      <c r="BB320" s="93">
        <f t="shared" si="1001"/>
        <v>-4.4000041406404697E-3</v>
      </c>
      <c r="BC320" s="93">
        <f t="shared" ref="BC320" si="2488">AS319</f>
        <v>-4.8680026239892827E-3</v>
      </c>
      <c r="BD320" s="39">
        <f t="shared" si="971"/>
        <v>1</v>
      </c>
      <c r="BE320" s="92" t="str">
        <f t="shared" si="1596"/>
        <v/>
      </c>
      <c r="BF320" s="92" t="str">
        <f t="shared" si="972"/>
        <v/>
      </c>
      <c r="BG320" s="92" t="str">
        <f t="shared" si="973"/>
        <v/>
      </c>
      <c r="BH320" s="92" t="str">
        <f t="shared" si="1003"/>
        <v/>
      </c>
      <c r="BI320" s="92">
        <f t="shared" si="974"/>
        <v>1</v>
      </c>
      <c r="BJ320" s="93">
        <f t="shared" si="943"/>
        <v>6.7322004549363627E-3</v>
      </c>
      <c r="BK320" s="50" t="s">
        <v>422</v>
      </c>
    </row>
    <row r="321" spans="1:62" x14ac:dyDescent="0.15">
      <c r="A321" s="90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2">
        <f t="shared" si="176"/>
        <v>3272.01478</v>
      </c>
      <c r="T321" s="92" t="str">
        <f t="shared" ref="T321" si="2489">IF(AVERAGE(N320)&lt;S320,"熊",IF(AVERAGE(N320)&gt;S320,"牛",""))</f>
        <v>牛</v>
      </c>
      <c r="U321" s="92">
        <f t="shared" ref="U321" si="2490">MAX(H321,O321)</f>
        <v>3374.6493999999998</v>
      </c>
      <c r="V321" s="92">
        <f t="shared" ref="V321" si="2491">MIN(I321,P321)</f>
        <v>3336.1264000000001</v>
      </c>
      <c r="W321" s="40">
        <f t="shared" ref="W321" si="2492">LN(U321/V321)</f>
        <v>1.1481063980003141E-2</v>
      </c>
      <c r="X321" s="92">
        <f t="shared" ref="X321" si="2493">IF(U321=H321,J321,Q321)</f>
        <v>1036</v>
      </c>
      <c r="Y321" s="92">
        <f t="shared" ref="Y321" si="2494">IF(V321=I321,K321,R321)</f>
        <v>930</v>
      </c>
      <c r="Z321" s="93">
        <f t="shared" ref="Z321" si="2495">(U321-V321)/(C321)</f>
        <v>1.1547224349772744E-2</v>
      </c>
      <c r="AA321" s="93">
        <f t="shared" ref="AA321" si="2496">LN(C321/N320)</f>
        <v>1.3384645681893158E-3</v>
      </c>
      <c r="AB321" s="93">
        <f t="shared" ref="AB321" si="2497">LN(N321/U321)</f>
        <v>-3.512986872335869E-3</v>
      </c>
      <c r="AC321" s="93">
        <f t="shared" ref="AC321" si="2498">LN(N321/V321)</f>
        <v>7.9680771076672749E-3</v>
      </c>
      <c r="AD321" s="93">
        <f t="shared" ref="AD321" si="2499">LN(U321/C321)</f>
        <v>1.1481063980003141E-2</v>
      </c>
      <c r="AE321" s="93">
        <f t="shared" ref="AE321" si="2500">LN(V321/C321)</f>
        <v>0</v>
      </c>
      <c r="AF321" s="93">
        <f t="shared" ref="AF321" si="2501">LN(N321/C321)</f>
        <v>7.9680771076672749E-3</v>
      </c>
      <c r="AG321" s="93">
        <f t="shared" ref="AG321" si="2502">LN(N321/N320)</f>
        <v>9.3065416758566256E-3</v>
      </c>
      <c r="AH321" s="93">
        <f t="shared" ref="AH321" si="2503">LN(D321/C321)</f>
        <v>1.3083267765256134E-3</v>
      </c>
      <c r="AI321" s="93">
        <f t="shared" ref="AI321" si="2504">LN(E321/C321)</f>
        <v>2.0769607375294946E-3</v>
      </c>
      <c r="AJ321" s="93">
        <f t="shared" ref="AJ321" si="2505">LN(F321/C321)</f>
        <v>4.9416290763970886E-3</v>
      </c>
      <c r="AK321" s="93">
        <f t="shared" ref="AK321" si="2506">+LN(G321/C321)</f>
        <v>7.1804504561061985E-3</v>
      </c>
      <c r="AL321" s="93">
        <f t="shared" ref="AL321" si="2507">LN(H321/I321)</f>
        <v>1.1481063980003141E-2</v>
      </c>
      <c r="AM321" s="93">
        <f t="shared" ref="AM321" si="2508">LN(O321/P321)</f>
        <v>7.0673994961819907E-3</v>
      </c>
      <c r="AN321" s="93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3">
        <f t="shared" ref="AQ321" si="2512">LN(M321/L321)</f>
        <v>8.8090723935422405E-4</v>
      </c>
      <c r="AR321" s="93">
        <f t="shared" ref="AR321" si="2513">LN(N321/L321)</f>
        <v>7.8762665156124293E-4</v>
      </c>
      <c r="AS321" s="93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3">
        <f t="shared" si="937"/>
        <v>7.9680771076672749E-3</v>
      </c>
      <c r="AX321" s="28">
        <f t="shared" si="938"/>
        <v>6.8727773018711052E-2</v>
      </c>
      <c r="AY321" s="93">
        <f t="shared" si="939"/>
        <v>7.1804504561061985E-3</v>
      </c>
      <c r="AZ321" s="93">
        <f t="shared" si="940"/>
        <v>3.7486146148268847E-3</v>
      </c>
      <c r="BA321" s="93">
        <f t="shared" ref="BA321" si="2514">AV320</f>
        <v>1</v>
      </c>
      <c r="BB321" s="93">
        <f t="shared" si="1001"/>
        <v>6.7322004549363627E-3</v>
      </c>
      <c r="BC321" s="93">
        <f t="shared" ref="BC321" si="2515">AS320</f>
        <v>1.8235295914025396E-2</v>
      </c>
      <c r="BD321" s="39">
        <f t="shared" si="971"/>
        <v>0</v>
      </c>
      <c r="BE321" s="92" t="str">
        <f t="shared" si="1596"/>
        <v/>
      </c>
      <c r="BF321" s="92" t="str">
        <f t="shared" si="972"/>
        <v/>
      </c>
      <c r="BG321" s="92" t="str">
        <f t="shared" si="973"/>
        <v/>
      </c>
      <c r="BH321" s="92" t="str">
        <f t="shared" si="1003"/>
        <v/>
      </c>
      <c r="BI321" s="92" t="str">
        <f t="shared" si="974"/>
        <v/>
      </c>
      <c r="BJ321" s="93" t="str">
        <f t="shared" si="943"/>
        <v/>
      </c>
    </row>
    <row r="322" spans="1:62" x14ac:dyDescent="0.15">
      <c r="A322" s="90">
        <v>42976</v>
      </c>
      <c r="B322" s="41">
        <f t="shared" si="1975"/>
        <v>2</v>
      </c>
      <c r="C322" s="92">
        <v>3362.0603999999998</v>
      </c>
      <c r="D322" s="92">
        <v>3355.6909000000001</v>
      </c>
      <c r="E322" s="39">
        <v>3359.2662</v>
      </c>
      <c r="F322" s="41">
        <v>3365.3013000000001</v>
      </c>
      <c r="G322" s="92">
        <v>3364.7192</v>
      </c>
      <c r="H322" s="92">
        <v>3374.5947000000001</v>
      </c>
      <c r="I322" s="92">
        <v>3354.4627</v>
      </c>
      <c r="J322" s="92">
        <v>1022</v>
      </c>
      <c r="K322" s="92">
        <v>932</v>
      </c>
      <c r="L322" s="92">
        <v>3364.7192</v>
      </c>
      <c r="M322" s="92">
        <v>3366.2692000000002</v>
      </c>
      <c r="N322" s="92">
        <v>3365.6279</v>
      </c>
      <c r="O322" s="92">
        <v>3369.4065999999998</v>
      </c>
      <c r="P322" s="92">
        <v>3357.4234999999999</v>
      </c>
      <c r="Q322" s="92">
        <v>1432</v>
      </c>
      <c r="R322" s="92">
        <v>1343</v>
      </c>
      <c r="S322" s="92">
        <f t="shared" si="176"/>
        <v>3276.4488949999995</v>
      </c>
      <c r="T322" s="92" t="str">
        <f t="shared" ref="T322" si="2516">IF(AVERAGE(N321)&lt;S321,"熊",IF(AVERAGE(N321)&gt;S321,"牛",""))</f>
        <v>牛</v>
      </c>
      <c r="U322" s="92">
        <f t="shared" ref="U322" si="2517">MAX(H322,O322)</f>
        <v>3374.5947000000001</v>
      </c>
      <c r="V322" s="92">
        <f t="shared" ref="V322" si="2518">MIN(I322,P322)</f>
        <v>3354.4627</v>
      </c>
      <c r="W322" s="40">
        <f t="shared" ref="W322" si="2519">LN(U322/V322)</f>
        <v>5.9836196572333137E-3</v>
      </c>
      <c r="X322" s="92">
        <f t="shared" ref="X322" si="2520">IF(U322=H322,J322,Q322)</f>
        <v>1022</v>
      </c>
      <c r="Y322" s="92">
        <f t="shared" ref="Y322" si="2521">IF(V322=I322,K322,R322)</f>
        <v>932</v>
      </c>
      <c r="Z322" s="93">
        <f t="shared" ref="Z322" si="2522">(U322-V322)/(C322)</f>
        <v>5.9879947427476507E-3</v>
      </c>
      <c r="AA322" s="93">
        <f t="shared" ref="AA322" si="2523">LN(C322/N321)</f>
        <v>-2.2445025284657742E-4</v>
      </c>
      <c r="AB322" s="93">
        <f t="shared" ref="AB322" si="2524">LN(N322/U322)</f>
        <v>-2.6606852093721514E-3</v>
      </c>
      <c r="AC322" s="93">
        <f t="shared" ref="AC322" si="2525">LN(N322/V322)</f>
        <v>3.3229344478611167E-3</v>
      </c>
      <c r="AD322" s="93">
        <f t="shared" ref="AD322" si="2526">LN(U322/C322)</f>
        <v>3.7212279025820669E-3</v>
      </c>
      <c r="AE322" s="93">
        <f t="shared" ref="AE322" si="2527">LN(V322/C322)</f>
        <v>-2.2623917546511865E-3</v>
      </c>
      <c r="AF322" s="93">
        <f t="shared" ref="AF322" si="2528">LN(N322/C322)</f>
        <v>1.0605426932097828E-3</v>
      </c>
      <c r="AG322" s="93">
        <f t="shared" ref="AG322" si="2529">LN(N322/N321)</f>
        <v>8.3609244036338137E-4</v>
      </c>
      <c r="AH322" s="93">
        <f t="shared" ref="AH322" si="2530">LN(D322/C322)</f>
        <v>-1.8963196534951576E-3</v>
      </c>
      <c r="AI322" s="93">
        <f t="shared" ref="AI322" si="2531">LN(E322/C322)</f>
        <v>-8.3144305499706069E-4</v>
      </c>
      <c r="AJ322" s="93">
        <f t="shared" ref="AJ322" si="2532">LN(F322/C322)</f>
        <v>9.6349814243473027E-4</v>
      </c>
      <c r="AK322" s="93">
        <f t="shared" ref="AK322" si="2533">+LN(G322/C322)</f>
        <v>7.9051204188684495E-4</v>
      </c>
      <c r="AL322" s="93">
        <f t="shared" ref="AL322" si="2534">LN(H322/I322)</f>
        <v>5.9836196572333137E-3</v>
      </c>
      <c r="AM322" s="93">
        <f t="shared" ref="AM322" si="2535">LN(O322/P322)</f>
        <v>3.5627814282189999E-3</v>
      </c>
      <c r="AN322" s="93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3">
        <f t="shared" ref="AQ322" si="2539">LN(M322/L322)</f>
        <v>4.6055643994222071E-4</v>
      </c>
      <c r="AR322" s="93">
        <f t="shared" ref="AR322" si="2540">LN(N322/L322)</f>
        <v>2.7003065132307895E-4</v>
      </c>
      <c r="AS322" s="93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3">
        <f t="shared" si="937"/>
        <v>1.0605426932097828E-3</v>
      </c>
      <c r="AX322" s="28">
        <f t="shared" si="938"/>
        <v>4.5137095171863234E-2</v>
      </c>
      <c r="AY322" s="93">
        <f t="shared" si="939"/>
        <v>3.0529037965379363E-3</v>
      </c>
      <c r="AZ322" s="93">
        <f t="shared" si="940"/>
        <v>2.4406786694330411E-3</v>
      </c>
      <c r="BA322" s="93">
        <f t="shared" ref="BA322" si="2541">AV321</f>
        <v>0.69279910702696879</v>
      </c>
      <c r="BB322" s="93">
        <f t="shared" si="1001"/>
        <v>7.8762665156124293E-4</v>
      </c>
      <c r="BC322" s="93">
        <f t="shared" ref="BC322" si="2542">AS321</f>
        <v>7.9680771076672749E-3</v>
      </c>
      <c r="BD322" s="39">
        <f t="shared" si="971"/>
        <v>0</v>
      </c>
    </row>
    <row r="323" spans="1:62" x14ac:dyDescent="0.15">
      <c r="A323" s="90">
        <v>42977</v>
      </c>
      <c r="B323" s="41">
        <f t="shared" ref="B323" si="2543">WEEKDAY(A323,2)</f>
        <v>3</v>
      </c>
      <c r="C323" s="92">
        <v>3361.8207000000002</v>
      </c>
      <c r="D323" s="92">
        <v>3364.1970000000001</v>
      </c>
      <c r="E323" s="39">
        <v>3372.5379050925926</v>
      </c>
      <c r="F323" s="92">
        <v>3374.7276000000002</v>
      </c>
      <c r="G323" s="92">
        <v>3364.3209999999999</v>
      </c>
      <c r="H323" s="92">
        <v>3376.6471999999999</v>
      </c>
      <c r="I323" s="92">
        <v>3361.8207000000002</v>
      </c>
      <c r="J323" s="92">
        <v>938</v>
      </c>
      <c r="K323" s="92">
        <v>930</v>
      </c>
      <c r="L323" s="92">
        <v>3364.3209999999999</v>
      </c>
      <c r="M323" s="92">
        <v>3367.5691999999999</v>
      </c>
      <c r="N323" s="92">
        <v>3362.9947000000002</v>
      </c>
      <c r="O323" s="92">
        <v>3374.5082000000002</v>
      </c>
      <c r="P323" s="92">
        <v>3357.2460000000001</v>
      </c>
      <c r="Q323" s="92">
        <v>1430</v>
      </c>
      <c r="R323" s="92">
        <v>1455</v>
      </c>
      <c r="S323" s="92">
        <f t="shared" si="176"/>
        <v>3280.116055</v>
      </c>
      <c r="T323" s="92" t="str">
        <f t="shared" ref="T323" si="2544">IF(AVERAGE(N322)&lt;S322,"熊",IF(AVERAGE(N322)&gt;S322,"牛",""))</f>
        <v>牛</v>
      </c>
      <c r="U323" s="92">
        <f t="shared" ref="U323" si="2545">MAX(H323,O323)</f>
        <v>3376.6471999999999</v>
      </c>
      <c r="V323" s="92">
        <f t="shared" ref="V323" si="2546">MIN(I323,P323)</f>
        <v>3357.2460000000001</v>
      </c>
      <c r="W323" s="40">
        <f t="shared" ref="W323" si="2547">LN(U323/V323)</f>
        <v>5.7622694944689072E-3</v>
      </c>
      <c r="X323" s="92">
        <f t="shared" ref="X323" si="2548">IF(U323=H323,J323,Q323)</f>
        <v>938</v>
      </c>
      <c r="Y323" s="92">
        <f t="shared" ref="Y323" si="2549">IF(V323=I323,K323,R323)</f>
        <v>1455</v>
      </c>
      <c r="Z323" s="93">
        <f t="shared" ref="Z323" si="2550">(U323-V323)/(C323)</f>
        <v>5.7710394846458611E-3</v>
      </c>
      <c r="AA323" s="93">
        <f t="shared" ref="AA323" si="2551">LN(C323/N322)</f>
        <v>-1.1318408011139836E-3</v>
      </c>
      <c r="AB323" s="93">
        <f t="shared" ref="AB323" si="2552">LN(N323/U323)</f>
        <v>-4.0514077385122547E-3</v>
      </c>
      <c r="AC323" s="93">
        <f t="shared" ref="AC323" si="2553">LN(N323/V323)</f>
        <v>1.7108617559566158E-3</v>
      </c>
      <c r="AD323" s="93">
        <f t="shared" ref="AD323" si="2554">LN(U323/C323)</f>
        <v>4.4005623076998415E-3</v>
      </c>
      <c r="AE323" s="93">
        <f t="shared" ref="AE323" si="2555">LN(V323/C323)</f>
        <v>-1.3617071867690746E-3</v>
      </c>
      <c r="AF323" s="93">
        <f t="shared" ref="AF323" si="2556">LN(N323/C323)</f>
        <v>3.4915456918757935E-4</v>
      </c>
      <c r="AG323" s="93">
        <f t="shared" ref="AG323" si="2557">LN(N323/N322)</f>
        <v>-7.8268623192632005E-4</v>
      </c>
      <c r="AH323" s="93">
        <f t="shared" ref="AH323" si="2558">LN(D323/C323)</f>
        <v>7.0659941881223438E-4</v>
      </c>
      <c r="AI323" s="93">
        <f t="shared" ref="AI323" si="2559">LN(E323/C323)</f>
        <v>3.1828462868162821E-3</v>
      </c>
      <c r="AJ323" s="93">
        <f t="shared" ref="AJ323" si="2560">LN(F323/C323)</f>
        <v>3.831907742194782E-3</v>
      </c>
      <c r="AK323" s="93">
        <f t="shared" ref="AK323" si="2561">+LN(G323/C323)</f>
        <v>7.4345746095871228E-4</v>
      </c>
      <c r="AL323" s="93">
        <f t="shared" ref="AL323" si="2562">LN(H323/I323)</f>
        <v>4.4005623076998415E-3</v>
      </c>
      <c r="AM323" s="93">
        <f t="shared" ref="AM323" si="2563">LN(O323/P323)</f>
        <v>5.1286001608986786E-3</v>
      </c>
      <c r="AN323" s="93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3">
        <f t="shared" ref="AQ323" si="2567">LN(M323/L323)</f>
        <v>9.6501878538569289E-4</v>
      </c>
      <c r="AR323" s="93">
        <f t="shared" ref="AR323" si="2568">LN(N323/L323)</f>
        <v>-3.9430289177106906E-4</v>
      </c>
      <c r="AS323" s="93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3">
        <f t="shared" si="937"/>
        <v>3.4915456918757935E-4</v>
      </c>
      <c r="AX323" s="28">
        <f t="shared" si="938"/>
        <v>-6.8361750819523198E-2</v>
      </c>
      <c r="AY323" s="93">
        <f t="shared" si="939"/>
        <v>7.4345746095871228E-4</v>
      </c>
      <c r="AZ323" s="93">
        <f t="shared" si="940"/>
        <v>1.7108617559566158E-3</v>
      </c>
      <c r="BA323" s="93">
        <f t="shared" ref="BA323" si="2569">AV322</f>
        <v>0.55459964236041526</v>
      </c>
      <c r="BB323" s="93">
        <f t="shared" si="1001"/>
        <v>2.7003065132307895E-4</v>
      </c>
      <c r="BC323" s="93">
        <f t="shared" ref="BC323" si="2570">AS322</f>
        <v>1.0605426932097828E-3</v>
      </c>
      <c r="BD323" s="39">
        <f t="shared" si="971"/>
        <v>0</v>
      </c>
    </row>
    <row r="324" spans="1:62" x14ac:dyDescent="0.15">
      <c r="A324" s="90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2">
        <f t="shared" si="176"/>
        <v>3283.9650199999996</v>
      </c>
      <c r="T324" s="92" t="str">
        <f t="shared" ref="T324" si="2571">IF(AVERAGE(N323)&lt;S323,"熊",IF(AVERAGE(N323)&gt;S323,"牛",""))</f>
        <v>牛</v>
      </c>
      <c r="U324" s="92">
        <f t="shared" ref="U324" si="2572">MAX(H324,O324)</f>
        <v>3367.3580999999999</v>
      </c>
      <c r="V324" s="92">
        <f t="shared" ref="V324" si="2573">MIN(I324,P324)</f>
        <v>3340.8438999999998</v>
      </c>
      <c r="W324" s="40">
        <f t="shared" ref="W324" si="2574">LN(U324/V324)</f>
        <v>7.9050505849900324E-3</v>
      </c>
      <c r="X324" s="92">
        <f t="shared" ref="X324" si="2575">IF(U324=H324,J324,Q324)</f>
        <v>940</v>
      </c>
      <c r="Y324" s="92">
        <f t="shared" ref="Y324" si="2576">IF(V324=I324,K324,R324)</f>
        <v>1128</v>
      </c>
      <c r="Z324" s="93">
        <f t="shared" ref="Z324" si="2577">(U324-V324)/(C324)</f>
        <v>7.8876986297123711E-3</v>
      </c>
      <c r="AA324" s="93">
        <f t="shared" ref="AA324" si="2578">LN(C324/N323)</f>
        <v>-4.5582864820755455E-4</v>
      </c>
      <c r="AB324" s="93">
        <f t="shared" ref="AB324" si="2579">LN(N324/U324)</f>
        <v>-1.8911614627280635E-3</v>
      </c>
      <c r="AC324" s="93">
        <f t="shared" ref="AC324" si="2580">LN(N324/V324)</f>
        <v>6.0138891222619459E-3</v>
      </c>
      <c r="AD324" s="93">
        <f t="shared" ref="AD324" si="2581">LN(U324/C324)</f>
        <v>1.7524621950651589E-3</v>
      </c>
      <c r="AE324" s="93">
        <f t="shared" ref="AE324" si="2582">LN(V324/C324)</f>
        <v>-6.1525883899249765E-3</v>
      </c>
      <c r="AF324" s="93">
        <f t="shared" ref="AF324" si="2583">LN(N324/C324)</f>
        <v>-1.3869926766299053E-4</v>
      </c>
      <c r="AG324" s="93">
        <f t="shared" ref="AG324" si="2584">LN(N324/N323)</f>
        <v>-5.9452791587055363E-4</v>
      </c>
      <c r="AH324" s="93">
        <f t="shared" ref="AH324" si="2585">LN(D324/C324)</f>
        <v>8.2519306170212236E-4</v>
      </c>
      <c r="AI324" s="93">
        <f t="shared" ref="AI324" si="2586">LN(E324/C324)</f>
        <v>3.3705867427558908E-4</v>
      </c>
      <c r="AJ324" s="93">
        <f t="shared" ref="AJ324" si="2587">LN(F324/C324)</f>
        <v>1.6345289654204924E-3</v>
      </c>
      <c r="AK324" s="93">
        <f t="shared" ref="AK324" si="2588">+LN(G324/C324)</f>
        <v>-5.85722760955509E-3</v>
      </c>
      <c r="AL324" s="93">
        <f t="shared" ref="AL324" si="2589">LN(H324/I324)</f>
        <v>7.9050505849900324E-3</v>
      </c>
      <c r="AM324" s="93">
        <f t="shared" ref="AM324" si="2590">LN(O324/P324)</f>
        <v>6.104521407665842E-3</v>
      </c>
      <c r="AN324" s="93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3">
        <f t="shared" ref="AQ324" si="2594">LN(M324/L324)</f>
        <v>1.4598695958562286E-3</v>
      </c>
      <c r="AR324" s="93">
        <f t="shared" ref="AR324" si="2595">LN(N324/L324)</f>
        <v>5.7185283418920768E-3</v>
      </c>
      <c r="AS324" s="93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3">
        <f t="shared" si="937"/>
        <v>-1.3869926766299053E-4</v>
      </c>
      <c r="AX324" s="28">
        <f t="shared" si="938"/>
        <v>0.72282399619825066</v>
      </c>
      <c r="AY324" s="93">
        <f t="shared" si="939"/>
        <v>2.9536078036977264E-4</v>
      </c>
      <c r="AZ324" s="93">
        <f t="shared" si="940"/>
        <v>5.7562329364527773E-3</v>
      </c>
      <c r="BA324" s="93">
        <f t="shared" ref="BA324" si="2596">AV323</f>
        <v>0.29630641403625352</v>
      </c>
      <c r="BB324" s="93">
        <f t="shared" si="1001"/>
        <v>-3.9430289177106906E-4</v>
      </c>
      <c r="BC324" s="93">
        <f t="shared" ref="BC324" si="2597">AS323</f>
        <v>3.4915456918757935E-4</v>
      </c>
      <c r="BD324" s="39">
        <f t="shared" si="971"/>
        <v>1</v>
      </c>
    </row>
    <row r="325" spans="1:62" x14ac:dyDescent="0.15">
      <c r="A325" s="90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2">
        <f t="shared" si="176"/>
        <v>3288.3443750000006</v>
      </c>
      <c r="T325" s="92" t="str">
        <f t="shared" ref="T325" si="2598">IF(AVERAGE(N324)&lt;S324,"熊",IF(AVERAGE(N324)&gt;S324,"牛",""))</f>
        <v>牛</v>
      </c>
      <c r="U325" s="92">
        <f t="shared" ref="U325" si="2599">MAX(H325,O325)</f>
        <v>3381.9252000000001</v>
      </c>
      <c r="V325" s="92">
        <f t="shared" ref="V325" si="2600">MIN(I325,P325)</f>
        <v>3358.6810999999998</v>
      </c>
      <c r="W325" s="40">
        <f t="shared" ref="W325" si="2601">LN(U325/V325)</f>
        <v>6.8967659880882692E-3</v>
      </c>
      <c r="X325" s="92">
        <f t="shared" ref="X325" si="2602">IF(U325=H325,J325,Q325)</f>
        <v>1301</v>
      </c>
      <c r="Y325" s="92">
        <f t="shared" ref="Y325" si="2603">IF(V325=I325,K325,R325)</f>
        <v>1427</v>
      </c>
      <c r="Z325" s="93">
        <f t="shared" ref="Z325" si="2604">(U325-V325)/(C325)</f>
        <v>6.9055734041856684E-3</v>
      </c>
      <c r="AA325" s="93">
        <f t="shared" ref="AA325" si="2605">LN(C325/N324)</f>
        <v>1.4851822278550077E-3</v>
      </c>
      <c r="AB325" s="93">
        <f t="shared" ref="AB325" si="2606">LN(N325/U325)</f>
        <v>-4.3337780529351675E-3</v>
      </c>
      <c r="AC325" s="93">
        <f t="shared" ref="AC325" si="2607">LN(N325/V325)</f>
        <v>2.5629879351530441E-3</v>
      </c>
      <c r="AD325" s="93">
        <f t="shared" ref="AD325" si="2608">LN(U325/C325)</f>
        <v>4.7226220462808638E-3</v>
      </c>
      <c r="AE325" s="93">
        <f t="shared" ref="AE325" si="2609">LN(V325/C325)</f>
        <v>-2.1741439418075073E-3</v>
      </c>
      <c r="AF325" s="93">
        <f t="shared" ref="AF325" si="2610">LN(N325/C325)</f>
        <v>3.8884399334555939E-4</v>
      </c>
      <c r="AG325" s="93">
        <f t="shared" ref="AG325" si="2611">LN(N325/N324)</f>
        <v>1.8740262212006843E-3</v>
      </c>
      <c r="AH325" s="93">
        <f t="shared" ref="AH325" si="2612">LN(D325/C325)</f>
        <v>5.1009104570673598E-4</v>
      </c>
      <c r="AI325" s="93">
        <f t="shared" ref="AI325" si="2613">LN(E325/C325)</f>
        <v>1.87017981995774E-3</v>
      </c>
      <c r="AJ325" s="93">
        <f t="shared" ref="AJ325" si="2614">LN(F325/C325)</f>
        <v>2.744158832441038E-3</v>
      </c>
      <c r="AK325" s="93">
        <f t="shared" ref="AK325" si="2615">+LN(G325/C325)</f>
        <v>4.1357426262321169E-3</v>
      </c>
      <c r="AL325" s="93">
        <f t="shared" ref="AL325" si="2616">LN(H325/I325)</f>
        <v>4.137902424914199E-3</v>
      </c>
      <c r="AM325" s="93">
        <f t="shared" ref="AM325" si="2617">LN(O325/P325)</f>
        <v>6.8967659880882692E-3</v>
      </c>
      <c r="AN325" s="93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3">
        <f t="shared" ref="AQ325" si="2621">LN(M325/L325)</f>
        <v>-1.7769342467000438E-3</v>
      </c>
      <c r="AR325" s="93">
        <f t="shared" ref="AR325" si="2622">LN(N325/L325)</f>
        <v>-3.7468986328865251E-3</v>
      </c>
      <c r="AS325" s="93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3">
        <f t="shared" si="937"/>
        <v>3.8884399334555939E-4</v>
      </c>
      <c r="AX325" s="28">
        <f t="shared" si="938"/>
        <v>-0.54381972199394835</v>
      </c>
      <c r="AY325" s="93">
        <f t="shared" si="939"/>
        <v>4.1357426262321169E-3</v>
      </c>
      <c r="AZ325" s="93">
        <f t="shared" si="940"/>
        <v>2.5629879351530441E-3</v>
      </c>
      <c r="BA325" s="93">
        <f t="shared" ref="BA325" si="2623">AV324</f>
        <v>0.76004556049211325</v>
      </c>
      <c r="BB325" s="93">
        <f t="shared" si="1001"/>
        <v>5.7185283418920768E-3</v>
      </c>
      <c r="BC325" s="93">
        <f t="shared" ref="BC325" si="2624">AS324</f>
        <v>-1.3869926766299053E-4</v>
      </c>
      <c r="BD325" s="39">
        <f t="shared" si="971"/>
        <v>0</v>
      </c>
    </row>
    <row r="326" spans="1:62" x14ac:dyDescent="0.15">
      <c r="A326" s="90">
        <v>42982</v>
      </c>
      <c r="B326" s="41">
        <f t="shared" si="1975"/>
        <v>1</v>
      </c>
      <c r="C326" s="92">
        <v>3369.72</v>
      </c>
      <c r="D326" s="92">
        <v>3369.43</v>
      </c>
      <c r="E326" s="39">
        <v>3364.26</v>
      </c>
      <c r="F326" s="41">
        <v>3363.55</v>
      </c>
      <c r="G326" s="92">
        <v>3371.21</v>
      </c>
      <c r="H326" s="92">
        <v>3377.25</v>
      </c>
      <c r="I326" s="92">
        <v>3359.13</v>
      </c>
      <c r="J326" s="92">
        <v>1005</v>
      </c>
      <c r="K326" s="92">
        <v>938</v>
      </c>
      <c r="L326" s="92">
        <v>3372.42</v>
      </c>
      <c r="M326" s="92">
        <v>3374.97</v>
      </c>
      <c r="N326" s="92">
        <v>3379.58</v>
      </c>
      <c r="O326" s="92">
        <v>3381.15</v>
      </c>
      <c r="P326" s="92">
        <v>3366.61</v>
      </c>
      <c r="Q326" s="92">
        <v>1343</v>
      </c>
      <c r="R326" s="92">
        <v>1425</v>
      </c>
      <c r="S326" s="92">
        <f t="shared" si="176"/>
        <v>3293.6435450000004</v>
      </c>
      <c r="T326" s="92" t="str">
        <f t="shared" ref="T326" si="2625">IF(AVERAGE(N325)&lt;S325,"熊",IF(AVERAGE(N325)&gt;S325,"牛",""))</f>
        <v>牛</v>
      </c>
      <c r="U326" s="92">
        <f t="shared" ref="U326" si="2626">MAX(H326,O326)</f>
        <v>3381.15</v>
      </c>
      <c r="V326" s="92">
        <f t="shared" ref="V326" si="2627">MIN(I326,P326)</f>
        <v>3359.13</v>
      </c>
      <c r="W326" s="40">
        <f t="shared" ref="W326" si="2628">LN(U326/V326)</f>
        <v>6.5338764380477934E-3</v>
      </c>
      <c r="X326" s="92">
        <f t="shared" ref="X326" si="2629">IF(U326=H326,J326,Q326)</f>
        <v>1343</v>
      </c>
      <c r="Y326" s="92">
        <f t="shared" ref="Y326" si="2630">IF(V326=I326,K326,R326)</f>
        <v>938</v>
      </c>
      <c r="Z326" s="93">
        <f t="shared" ref="Z326" si="2631">(U326-V326)/(C326)</f>
        <v>6.5346675688187691E-3</v>
      </c>
      <c r="AA326" s="93">
        <f t="shared" ref="AA326" si="2632">LN(C326/N325)</f>
        <v>7.1829977063253136E-4</v>
      </c>
      <c r="AB326" s="93">
        <f t="shared" ref="AB326" si="2633">LN(N326/U326)</f>
        <v>-4.6444689500169356E-4</v>
      </c>
      <c r="AC326" s="93">
        <f t="shared" ref="AC326" si="2634">LN(N326/V326)</f>
        <v>6.0694295430461388E-3</v>
      </c>
      <c r="AD326" s="93">
        <f t="shared" ref="AD326" si="2635">LN(U326/C326)</f>
        <v>3.3862334549213751E-3</v>
      </c>
      <c r="AE326" s="93">
        <f t="shared" ref="AE326" si="2636">LN(V326/C326)</f>
        <v>-3.1476429831264023E-3</v>
      </c>
      <c r="AF326" s="93">
        <f t="shared" ref="AF326" si="2637">LN(N326/C326)</f>
        <v>2.9217865599197972E-3</v>
      </c>
      <c r="AG326" s="93">
        <f t="shared" ref="AG326" si="2638">LN(N326/N325)</f>
        <v>3.640086330552321E-3</v>
      </c>
      <c r="AH326" s="93">
        <f t="shared" ref="AH326" si="2639">LN(D326/C326)</f>
        <v>-8.6064266318119434E-5</v>
      </c>
      <c r="AI326" s="93">
        <f t="shared" ref="AI326" si="2640">LN(E326/C326)</f>
        <v>-1.6216267932190967E-3</v>
      </c>
      <c r="AJ326" s="93">
        <f t="shared" ref="AJ326" si="2641">LN(F326/C326)</f>
        <v>-1.8326910184680667E-3</v>
      </c>
      <c r="AK326" s="93">
        <f t="shared" ref="AK326" si="2642">+LN(G326/C326)</f>
        <v>4.4207550716770697E-4</v>
      </c>
      <c r="AL326" s="93">
        <f t="shared" ref="AL326" si="2643">LN(H326/I326)</f>
        <v>5.379756991759614E-3</v>
      </c>
      <c r="AM326" s="93">
        <f t="shared" ref="AM326" si="2644">LN(O326/P326)</f>
        <v>4.3095849596604492E-3</v>
      </c>
      <c r="AN326" s="93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3">
        <f t="shared" ref="AQ326" si="2648">LN(M326/L326)</f>
        <v>7.5584785269635832E-4</v>
      </c>
      <c r="AR326" s="93">
        <f t="shared" ref="AR326" si="2649">LN(N326/L326)</f>
        <v>2.1208538755388968E-3</v>
      </c>
      <c r="AS326" s="93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3">
        <f t="shared" si="937"/>
        <v>2.9217865599197972E-3</v>
      </c>
      <c r="AX326" s="28">
        <f t="shared" si="938"/>
        <v>0.32515894641234605</v>
      </c>
      <c r="AY326" s="93">
        <f t="shared" si="939"/>
        <v>3.589718490294195E-3</v>
      </c>
      <c r="AZ326" s="93">
        <f t="shared" si="940"/>
        <v>3.8451380646588136E-3</v>
      </c>
      <c r="BA326" s="93">
        <f t="shared" ref="BA326" si="2650">AV325</f>
        <v>0.37081668036190546</v>
      </c>
      <c r="BB326" s="93">
        <f t="shared" si="1001"/>
        <v>-3.7468986328865251E-3</v>
      </c>
      <c r="BC326" s="93">
        <f t="shared" ref="BC326" si="2651">AS325</f>
        <v>3.8884399334555939E-4</v>
      </c>
      <c r="BD326" s="39">
        <f t="shared" si="971"/>
        <v>1</v>
      </c>
      <c r="BE326" s="92"/>
      <c r="BF326" s="92"/>
      <c r="BG326" s="92"/>
      <c r="BH326" s="92"/>
      <c r="BI326" s="92"/>
      <c r="BJ326" s="92"/>
    </row>
    <row r="327" spans="1:62" x14ac:dyDescent="0.15">
      <c r="A327" s="90">
        <v>42983</v>
      </c>
      <c r="B327" s="41">
        <f t="shared" ref="B327" si="2652">WEEKDAY(A327,2)</f>
        <v>2</v>
      </c>
      <c r="C327" s="92">
        <v>3377.1968000000002</v>
      </c>
      <c r="D327" s="92">
        <v>3376.2019</v>
      </c>
      <c r="E327" s="39">
        <v>3377.8274999999999</v>
      </c>
      <c r="F327" s="92">
        <v>3375.4079000000002</v>
      </c>
      <c r="G327" s="92">
        <v>3386.1938</v>
      </c>
      <c r="H327" s="92">
        <v>3387.5891999999999</v>
      </c>
      <c r="I327" s="92">
        <v>3371.8227000000002</v>
      </c>
      <c r="J327" s="92">
        <v>1019</v>
      </c>
      <c r="K327" s="92">
        <v>945</v>
      </c>
      <c r="L327" s="92">
        <v>3386.1938</v>
      </c>
      <c r="M327" s="92">
        <v>3386.9911999999999</v>
      </c>
      <c r="N327" s="92">
        <v>3385.1293000000001</v>
      </c>
      <c r="O327" s="92">
        <v>3390.7864</v>
      </c>
      <c r="P327" s="92">
        <v>3380.9231</v>
      </c>
      <c r="Q327" s="92">
        <v>1318</v>
      </c>
      <c r="R327" s="92">
        <v>1449</v>
      </c>
      <c r="S327" s="92">
        <f t="shared" si="176"/>
        <v>3298.6453400000005</v>
      </c>
      <c r="T327" s="92" t="str">
        <f t="shared" ref="T327" si="2653">IF(AVERAGE(N326)&lt;S326,"熊",IF(AVERAGE(N326)&gt;S326,"牛",""))</f>
        <v>牛</v>
      </c>
      <c r="U327" s="92">
        <f t="shared" ref="U327" si="2654">MAX(H327,O327)</f>
        <v>3390.7864</v>
      </c>
      <c r="V327" s="92">
        <f t="shared" ref="V327" si="2655">MIN(I327,P327)</f>
        <v>3371.8227000000002</v>
      </c>
      <c r="W327" s="40">
        <f t="shared" ref="W327" si="2656">LN(U327/V327)</f>
        <v>5.6084122051195734E-3</v>
      </c>
      <c r="X327" s="92">
        <f t="shared" ref="X327" si="2657">IF(U327=H327,J327,Q327)</f>
        <v>1318</v>
      </c>
      <c r="Y327" s="92">
        <f t="shared" ref="Y327" si="2658">IF(V327=I327,K327,R327)</f>
        <v>945</v>
      </c>
      <c r="Z327" s="93">
        <f t="shared" ref="Z327" si="2659">(U327-V327)/(C327)</f>
        <v>5.6152191071600528E-3</v>
      </c>
      <c r="AA327" s="93">
        <f t="shared" ref="AA327" si="2660">LN(C327/N326)</f>
        <v>-7.0542513667994121E-4</v>
      </c>
      <c r="AB327" s="93">
        <f t="shared" ref="AB327" si="2661">LN(N327/U327)</f>
        <v>-1.6697673244047808E-3</v>
      </c>
      <c r="AC327" s="93">
        <f t="shared" ref="AC327" si="2662">LN(N327/V327)</f>
        <v>3.9386448807147683E-3</v>
      </c>
      <c r="AD327" s="93">
        <f t="shared" ref="AD327" si="2663">LN(U327/C327)</f>
        <v>4.0158546089136523E-3</v>
      </c>
      <c r="AE327" s="93">
        <f t="shared" ref="AE327" si="2664">LN(V327/C327)</f>
        <v>-1.5925575962059805E-3</v>
      </c>
      <c r="AF327" s="93">
        <f t="shared" ref="AF327" si="2665">LN(N327/C327)</f>
        <v>2.3460872845086703E-3</v>
      </c>
      <c r="AG327" s="93">
        <f t="shared" ref="AG327" si="2666">LN(N327/N326)</f>
        <v>1.6406621478288041E-3</v>
      </c>
      <c r="AH327" s="93">
        <f t="shared" ref="AH327" si="2667">LN(D327/C327)</f>
        <v>-2.9463683439792242E-4</v>
      </c>
      <c r="AI327" s="93">
        <f t="shared" ref="AI327" si="2668">LN(E327/C327)</f>
        <v>1.8673508008925892E-4</v>
      </c>
      <c r="AJ327" s="93">
        <f t="shared" ref="AJ327" si="2669">LN(F327/C327)</f>
        <v>-5.298400013997274E-4</v>
      </c>
      <c r="AK327" s="93">
        <f t="shared" ref="AK327" si="2670">+LN(G327/C327)</f>
        <v>2.6605014670985968E-3</v>
      </c>
      <c r="AL327" s="93">
        <f t="shared" ref="AL327" si="2671">LN(H327/I327)</f>
        <v>4.6650592764022067E-3</v>
      </c>
      <c r="AM327" s="93">
        <f t="shared" ref="AM327" si="2672">LN(O327/P327)</f>
        <v>2.9130921741647078E-3</v>
      </c>
      <c r="AN327" s="93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3">
        <f t="shared" ref="AQ327" si="2676">LN(M327/L327)</f>
        <v>2.3545791342882515E-4</v>
      </c>
      <c r="AR327" s="93">
        <f t="shared" ref="AR327" si="2677">LN(N327/L327)</f>
        <v>-3.1441418258985892E-4</v>
      </c>
      <c r="AS327" s="93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3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3">
        <f t="shared" ref="AY327:AY384" si="2684">LN(G327/I327)</f>
        <v>4.2530590633047208E-3</v>
      </c>
      <c r="AZ327" s="93">
        <f t="shared" ref="AZ327:AZ384" si="2685">LN(N327/P327)</f>
        <v>1.2433248497599268E-3</v>
      </c>
      <c r="BA327" s="93">
        <f t="shared" ref="BA327" si="2686">AV326</f>
        <v>0.92870118074476993</v>
      </c>
      <c r="BB327" s="93">
        <f t="shared" si="1001"/>
        <v>2.1208538755388968E-3</v>
      </c>
      <c r="BC327" s="93">
        <f t="shared" ref="BC327" si="2687">AS326</f>
        <v>2.9217865599197972E-3</v>
      </c>
      <c r="BD327" s="39">
        <f t="shared" si="971"/>
        <v>0</v>
      </c>
      <c r="BE327" s="92"/>
      <c r="BF327" s="92"/>
      <c r="BG327" s="92"/>
      <c r="BH327" s="92"/>
      <c r="BI327" s="92"/>
      <c r="BJ327" s="92"/>
    </row>
    <row r="328" spans="1:62" x14ac:dyDescent="0.15">
      <c r="A328" s="90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2">
        <f t="shared" si="176"/>
        <v>3303.7544750000002</v>
      </c>
      <c r="T328" s="92" t="str">
        <f t="shared" ref="T328" si="2688">IF(AVERAGE(N327)&lt;S327,"熊",IF(AVERAGE(N327)&gt;S327,"牛",""))</f>
        <v>牛</v>
      </c>
      <c r="U328" s="92">
        <f t="shared" ref="U328" si="2689">MAX(H328,O328)</f>
        <v>3390.91</v>
      </c>
      <c r="V328" s="92">
        <f t="shared" ref="V328" si="2690">MIN(I328,P328)</f>
        <v>3364.86</v>
      </c>
      <c r="W328" s="40">
        <f t="shared" ref="W328" si="2691">LN(U328/V328)</f>
        <v>7.7119644715178959E-3</v>
      </c>
      <c r="X328" s="92">
        <f t="shared" ref="X328" si="2692">IF(U328=H328,J328,Q328)</f>
        <v>1349</v>
      </c>
      <c r="Y328" s="92">
        <f t="shared" ref="Y328" si="2693">IF(V328=I328,K328,R328)</f>
        <v>1044</v>
      </c>
      <c r="Z328" s="93">
        <f t="shared" ref="Z328" si="2694">(U328-V328)/(C328)</f>
        <v>7.7244234110815753E-3</v>
      </c>
      <c r="AA328" s="93">
        <f t="shared" ref="AA328" si="2695">LN(C328/N327)</f>
        <v>-3.7615160233675899E-3</v>
      </c>
      <c r="AB328" s="93">
        <f t="shared" ref="AB328" si="2696">LN(N328/U328)</f>
        <v>-1.6321619138608223E-3</v>
      </c>
      <c r="AC328" s="93">
        <f t="shared" ref="AC328" si="2697">LN(N328/V328)</f>
        <v>6.0798025576570148E-3</v>
      </c>
      <c r="AD328" s="93">
        <f t="shared" ref="AD328" si="2698">LN(U328/C328)</f>
        <v>5.4677344044765618E-3</v>
      </c>
      <c r="AE328" s="93">
        <f t="shared" ref="AE328" si="2699">LN(V328/C328)</f>
        <v>-2.2442300670413111E-3</v>
      </c>
      <c r="AF328" s="93">
        <f t="shared" ref="AF328" si="2700">LN(N328/C328)</f>
        <v>3.835572490615757E-3</v>
      </c>
      <c r="AG328" s="93">
        <f t="shared" ref="AG328" si="2701">LN(N328/N327)</f>
        <v>7.4056467248238389E-5</v>
      </c>
      <c r="AH328" s="93">
        <f t="shared" ref="AH328" si="2702">LN(D328/C328)</f>
        <v>-7.1190847864058293E-4</v>
      </c>
      <c r="AI328" s="93">
        <f t="shared" ref="AI328" si="2703">LN(E328/C328)</f>
        <v>3.350148342102243E-4</v>
      </c>
      <c r="AJ328" s="93">
        <f t="shared" ref="AJ328" si="2704">LN(F328/C328)</f>
        <v>7.7955148616822045E-4</v>
      </c>
      <c r="AK328" s="93">
        <f t="shared" ref="AK328" si="2705">+LN(G328/C328)</f>
        <v>5.8101620179572592E-4</v>
      </c>
      <c r="AL328" s="93">
        <f t="shared" ref="AL328" si="2706">LN(H328/I328)</f>
        <v>3.5362352251353574E-3</v>
      </c>
      <c r="AM328" s="93">
        <f t="shared" ref="AM328" si="2707">LN(O328/P328)</f>
        <v>4.6289262926596016E-3</v>
      </c>
      <c r="AN328" s="93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3">
        <f t="shared" ref="AQ328" si="2711">LN(M328/L328)</f>
        <v>1.4329110079927027E-3</v>
      </c>
      <c r="AR328" s="93">
        <f t="shared" ref="AR328" si="2712">LN(N328/L328)</f>
        <v>2.9760253893497618E-3</v>
      </c>
      <c r="AS328" s="93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3">
        <f t="shared" si="2682"/>
        <v>3.835572490615757E-3</v>
      </c>
      <c r="AX328" s="28">
        <f t="shared" si="2683"/>
        <v>0.3861804222648772</v>
      </c>
      <c r="AY328" s="93">
        <f t="shared" si="2684"/>
        <v>2.8252462688371834E-3</v>
      </c>
      <c r="AZ328" s="93">
        <f t="shared" si="2685"/>
        <v>2.9967643787989127E-3</v>
      </c>
      <c r="BA328" s="93">
        <f t="shared" ref="BA328" si="2713">AV327</f>
        <v>0.70168796173742665</v>
      </c>
      <c r="BB328" s="93">
        <f t="shared" si="1001"/>
        <v>-3.1441418258985892E-4</v>
      </c>
      <c r="BC328" s="93">
        <f t="shared" ref="BC328" si="2714">AS327</f>
        <v>2.3460872845086703E-3</v>
      </c>
      <c r="BD328" s="39">
        <f t="shared" ref="BD328:BD383" si="2715">IF(AR327&lt;0,1,0)</f>
        <v>1</v>
      </c>
      <c r="BE328" s="92"/>
      <c r="BF328" s="92"/>
      <c r="BG328" s="92"/>
      <c r="BH328" s="92"/>
      <c r="BI328" s="92"/>
      <c r="BJ328" s="92"/>
    </row>
    <row r="329" spans="1:62" x14ac:dyDescent="0.15">
      <c r="A329" s="90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2">
        <f t="shared" si="176"/>
        <v>3309.1893850000001</v>
      </c>
      <c r="T329" s="92" t="str">
        <f t="shared" ref="T329" si="2716">IF(AVERAGE(N328)&lt;S328,"熊",IF(AVERAGE(N328)&gt;S328,"牛",""))</f>
        <v>牛</v>
      </c>
      <c r="U329" s="92">
        <f t="shared" ref="U329" si="2717">MAX(H329,O329)</f>
        <v>3387.76</v>
      </c>
      <c r="V329" s="92">
        <f t="shared" ref="V329" si="2718">MIN(I329,P329)</f>
        <v>3363.19</v>
      </c>
      <c r="W329" s="40">
        <f t="shared" ref="W329" si="2719">LN(U329/V329)</f>
        <v>7.2790076906354764E-3</v>
      </c>
      <c r="X329" s="92">
        <f t="shared" ref="X329" si="2720">IF(U329=H329,J329,Q329)</f>
        <v>1000</v>
      </c>
      <c r="Y329" s="92">
        <f t="shared" ref="Y329" si="2721">IF(V329=I329,K329,R329)</f>
        <v>1453</v>
      </c>
      <c r="Z329" s="93">
        <f t="shared" ref="Z329" si="2722">(U329-V329)/(C329)</f>
        <v>7.2614537093409317E-3</v>
      </c>
      <c r="AA329" s="93">
        <f t="shared" ref="AA329" si="2723">LN(C329/N328)</f>
        <v>-5.2001773959570196E-4</v>
      </c>
      <c r="AB329" s="93">
        <f t="shared" ref="AB329" si="2724">LN(N329/U329)</f>
        <v>-6.595366890485151E-3</v>
      </c>
      <c r="AC329" s="93">
        <f t="shared" ref="AC329" si="2725">LN(N329/V329)</f>
        <v>6.836408001503724E-4</v>
      </c>
      <c r="AD329" s="93">
        <f t="shared" ref="AD329" si="2726">LN(U329/C329)</f>
        <v>1.2227937335824841E-3</v>
      </c>
      <c r="AE329" s="93">
        <f t="shared" ref="AE329" si="2727">LN(V329/C329)</f>
        <v>-6.0562139570530865E-3</v>
      </c>
      <c r="AF329" s="93">
        <f t="shared" ref="AF329" si="2728">LN(N329/C329)</f>
        <v>-5.3725731569027402E-3</v>
      </c>
      <c r="AG329" s="93">
        <f t="shared" ref="AG329" si="2729">LN(N329/N328)</f>
        <v>-5.8925908964983847E-3</v>
      </c>
      <c r="AH329" s="93">
        <f t="shared" ref="AH329" si="2730">LN(D329/C329)</f>
        <v>-2.9558514249598198E-4</v>
      </c>
      <c r="AI329" s="93">
        <f t="shared" ref="AI329" si="2731">LN(E329/C329)</f>
        <v>-1.064005864857059E-4</v>
      </c>
      <c r="AJ329" s="93">
        <f t="shared" ref="AJ329" si="2732">LN(F329/C329)</f>
        <v>-1.845881310984824E-3</v>
      </c>
      <c r="AK329" s="93">
        <f t="shared" ref="AK329" si="2733">+LN(G329/C329)</f>
        <v>-6.7406166077197121E-4</v>
      </c>
      <c r="AL329" s="93">
        <f t="shared" ref="AL329" si="2734">LN(H329/I329)</f>
        <v>5.1998134310575605E-3</v>
      </c>
      <c r="AM329" s="93">
        <f t="shared" ref="AM329" si="2735">LN(O329/P329)</f>
        <v>6.2955738920024689E-3</v>
      </c>
      <c r="AN329" s="93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3">
        <f t="shared" ref="AQ329" si="2739">LN(M329/L329)</f>
        <v>-1.4198410985026783E-4</v>
      </c>
      <c r="AR329" s="93">
        <f t="shared" ref="AR329" si="2740">LN(N329/L329)</f>
        <v>-4.5683771026099572E-3</v>
      </c>
      <c r="AS329" s="93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3">
        <f t="shared" si="2682"/>
        <v>-5.3725731569027402E-3</v>
      </c>
      <c r="AX329" s="28">
        <f t="shared" si="2683"/>
        <v>-0.62718762718763554</v>
      </c>
      <c r="AY329" s="93">
        <f t="shared" si="2684"/>
        <v>3.3029580367032484E-3</v>
      </c>
      <c r="AZ329" s="93">
        <f t="shared" si="2685"/>
        <v>6.836408001503724E-4</v>
      </c>
      <c r="BA329" s="93">
        <f t="shared" ref="BA329" si="2741">AV328</f>
        <v>0.78771593090211889</v>
      </c>
      <c r="BB329" s="93">
        <f t="shared" ref="BB329:BB384" si="2742">AR328</f>
        <v>2.9760253893497618E-3</v>
      </c>
      <c r="BC329" s="93">
        <f t="shared" ref="BC329" si="2743">AS328</f>
        <v>3.835572490615757E-3</v>
      </c>
      <c r="BD329" s="39">
        <f t="shared" si="2715"/>
        <v>0</v>
      </c>
    </row>
    <row r="330" spans="1:62" x14ac:dyDescent="0.15">
      <c r="A330" s="90">
        <v>42986</v>
      </c>
      <c r="B330" s="41">
        <f t="shared" ref="B330:B406" si="2744">WEEKDAY(A330,2)</f>
        <v>5</v>
      </c>
      <c r="C330" s="92">
        <v>3364.42</v>
      </c>
      <c r="D330" s="92">
        <v>3369.37</v>
      </c>
      <c r="E330" s="39">
        <v>3368.91</v>
      </c>
      <c r="F330" s="92">
        <v>3368.72</v>
      </c>
      <c r="G330" s="92">
        <v>3373.79</v>
      </c>
      <c r="H330" s="92">
        <v>3380.66</v>
      </c>
      <c r="I330" s="92">
        <v>3362.66</v>
      </c>
      <c r="J330" s="92">
        <v>1101</v>
      </c>
      <c r="K330" s="92">
        <v>1026</v>
      </c>
      <c r="L330" s="92">
        <v>3374.85</v>
      </c>
      <c r="M330" s="92">
        <v>3373.8</v>
      </c>
      <c r="N330" s="92">
        <v>3365.24</v>
      </c>
      <c r="O330" s="92">
        <v>3375.72</v>
      </c>
      <c r="P330" s="92">
        <v>3353.68</v>
      </c>
      <c r="Q330" s="92">
        <v>1303</v>
      </c>
      <c r="R330" s="92">
        <v>1414</v>
      </c>
      <c r="S330" s="92">
        <f t="shared" si="176"/>
        <v>3314.3737900000001</v>
      </c>
      <c r="T330" s="92" t="str">
        <f t="shared" ref="T330" si="2745">IF(AVERAGE(N329)&lt;S329,"熊",IF(AVERAGE(N329)&gt;S329,"牛",""))</f>
        <v>牛</v>
      </c>
      <c r="U330" s="92">
        <f t="shared" ref="U330" si="2746">MAX(H330,O330)</f>
        <v>3380.66</v>
      </c>
      <c r="V330" s="92">
        <f t="shared" ref="V330" si="2747">MIN(I330,P330)</f>
        <v>3353.68</v>
      </c>
      <c r="W330" s="40">
        <f t="shared" ref="W330" si="2748">LN(U330/V330)</f>
        <v>8.0127063233012691E-3</v>
      </c>
      <c r="X330" s="92">
        <f t="shared" ref="X330" si="2749">IF(U330=H330,J330,Q330)</f>
        <v>1101</v>
      </c>
      <c r="Y330" s="92">
        <f t="shared" ref="Y330" si="2750">IF(V330=I330,K330,R330)</f>
        <v>1414</v>
      </c>
      <c r="Z330" s="93">
        <f t="shared" ref="Z330" si="2751">(U330-V330)/(C330)</f>
        <v>8.0192128212292213E-3</v>
      </c>
      <c r="AA330" s="93">
        <f t="shared" ref="AA330" si="2752">LN(C330/N329)</f>
        <v>-3.179834526808901E-4</v>
      </c>
      <c r="AB330" s="93">
        <f t="shared" ref="AB330" si="2753">LN(N330/U330)</f>
        <v>-4.5716737149227027E-3</v>
      </c>
      <c r="AC330" s="93">
        <f t="shared" ref="AC330" si="2754">LN(N330/V330)</f>
        <v>3.4410326083787698E-3</v>
      </c>
      <c r="AD330" s="93">
        <f t="shared" ref="AD330" si="2755">LN(U330/C330)</f>
        <v>4.8153710203015961E-3</v>
      </c>
      <c r="AE330" s="93">
        <f t="shared" ref="AE330" si="2756">LN(V330/C330)</f>
        <v>-3.1973353029998604E-3</v>
      </c>
      <c r="AF330" s="93">
        <f t="shared" ref="AF330" si="2757">LN(N330/C330)</f>
        <v>2.4369730537889637E-4</v>
      </c>
      <c r="AG330" s="93">
        <f t="shared" ref="AG330" si="2758">LN(N330/N329)</f>
        <v>-7.4286147302034773E-5</v>
      </c>
      <c r="AH330" s="93">
        <f t="shared" ref="AH330" si="2759">LN(D330/C330)</f>
        <v>1.4701975831175936E-3</v>
      </c>
      <c r="AI330" s="93">
        <f t="shared" ref="AI330" si="2760">LN(E330/C330)</f>
        <v>1.3336642242441875E-3</v>
      </c>
      <c r="AJ330" s="93">
        <f t="shared" ref="AJ330" si="2761">LN(F330/C330)</f>
        <v>1.2772645703449496E-3</v>
      </c>
      <c r="AK330" s="93">
        <f t="shared" ref="AK330" si="2762">+LN(G330/C330)</f>
        <v>2.7811558380075262E-3</v>
      </c>
      <c r="AL330" s="93">
        <f t="shared" ref="AL330" si="2763">LN(H330/I330)</f>
        <v>5.3386292661250466E-3</v>
      </c>
      <c r="AM330" s="93">
        <f t="shared" ref="AM330" si="2764">LN(O330/P330)</f>
        <v>6.5503845236685159E-3</v>
      </c>
      <c r="AN330" s="93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3">
        <f t="shared" ref="AQ330" si="2768">LN(M330/L330)</f>
        <v>-3.1117334829105023E-4</v>
      </c>
      <c r="AR330" s="93">
        <f t="shared" ref="AR330" si="2769">LN(N330/L330)</f>
        <v>-2.8515959021482079E-3</v>
      </c>
      <c r="AS330" s="93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3">
        <f t="shared" si="2682"/>
        <v>2.4369730537889637E-4</v>
      </c>
      <c r="AX330" s="28">
        <f t="shared" si="2683"/>
        <v>-0.35618977020015274</v>
      </c>
      <c r="AY330" s="93">
        <f t="shared" si="2684"/>
        <v>3.304414083831083E-3</v>
      </c>
      <c r="AZ330" s="93">
        <f t="shared" si="2685"/>
        <v>3.4410326083787698E-3</v>
      </c>
      <c r="BA330" s="93">
        <f t="shared" ref="BA330" si="2770">AV329</f>
        <v>9.3610093610081879E-2</v>
      </c>
      <c r="BB330" s="93">
        <f t="shared" si="2742"/>
        <v>-4.5683771026099572E-3</v>
      </c>
      <c r="BC330" s="93">
        <f t="shared" ref="BC330" si="2771">AS329</f>
        <v>-5.3725731569027402E-3</v>
      </c>
      <c r="BD330" s="39">
        <f t="shared" si="2715"/>
        <v>1</v>
      </c>
    </row>
    <row r="331" spans="1:62" x14ac:dyDescent="0.15">
      <c r="A331" s="90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2">
        <f t="shared" si="176"/>
        <v>3322.1455550000001</v>
      </c>
      <c r="T331" s="92" t="str">
        <f t="shared" ref="T331" si="2772">IF(AVERAGE(N330)&lt;S330,"熊",IF(AVERAGE(N330)&gt;S330,"牛",""))</f>
        <v>牛</v>
      </c>
      <c r="U331" s="92">
        <f t="shared" ref="U331" si="2773">MAX(H331,O331)</f>
        <v>3384.63</v>
      </c>
      <c r="V331" s="92">
        <f t="shared" ref="V331" si="2774">MIN(I331,P331)</f>
        <v>3360.0848000000001</v>
      </c>
      <c r="W331" s="40">
        <f t="shared" ref="W331" si="2775">LN(U331/V331)</f>
        <v>7.2783828773437679E-3</v>
      </c>
      <c r="X331" s="92">
        <f t="shared" ref="X331" si="2776">IF(U331=H331,J331,Q331)</f>
        <v>1026</v>
      </c>
      <c r="Y331" s="92">
        <f t="shared" ref="Y331" si="2777">IF(V331=I331,K331,R331)</f>
        <v>938</v>
      </c>
      <c r="Z331" s="93">
        <f t="shared" ref="Z331" si="2778">(U331-V331)/(C331)</f>
        <v>7.2935045757193976E-3</v>
      </c>
      <c r="AA331" s="93">
        <f t="shared" ref="AA331" si="2779">LN(C331/N330)</f>
        <v>3.2864872218045513E-5</v>
      </c>
      <c r="AB331" s="93">
        <f t="shared" ref="AB331" si="2780">LN(N331/U331)</f>
        <v>-2.0584719570671791E-3</v>
      </c>
      <c r="AC331" s="93">
        <f t="shared" ref="AC331" si="2781">LN(N331/V331)</f>
        <v>5.2199109202764916E-3</v>
      </c>
      <c r="AD331" s="93">
        <f t="shared" ref="AD331" si="2782">LN(U331/C331)</f>
        <v>5.7124467667844566E-3</v>
      </c>
      <c r="AE331" s="93">
        <f t="shared" ref="AE331" si="2783">LN(V331/C331)</f>
        <v>-1.5659361105592685E-3</v>
      </c>
      <c r="AF331" s="93">
        <f t="shared" ref="AF331" si="2784">LN(N331/C331)</f>
        <v>3.65397480971715E-3</v>
      </c>
      <c r="AG331" s="93">
        <f t="shared" ref="AG331" si="2785">LN(N331/N330)</f>
        <v>3.6868396819351892E-3</v>
      </c>
      <c r="AH331" s="93">
        <f t="shared" ref="AH331" si="2786">LN(D331/C331)</f>
        <v>1.2568480033599454E-4</v>
      </c>
      <c r="AI331" s="93">
        <f t="shared" ref="AI331" si="2787">LN(E331/C331)</f>
        <v>-6.9389688703577637E-4</v>
      </c>
      <c r="AJ331" s="93">
        <f t="shared" ref="AJ331" si="2788">LN(F331/C331)</f>
        <v>-7.0796284257260231E-4</v>
      </c>
      <c r="AK331" s="93">
        <f t="shared" ref="AK331" si="2789">+LN(G331/C331)</f>
        <v>1.4885135272483176E-3</v>
      </c>
      <c r="AL331" s="93">
        <f t="shared" ref="AL331" si="2790">LN(H331/I331)</f>
        <v>7.2783828773437679E-3</v>
      </c>
      <c r="AM331" s="93">
        <f t="shared" ref="AM331" si="2791">LN(O331/P331)</f>
        <v>3.8978445719147262E-3</v>
      </c>
      <c r="AN331" s="93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3">
        <f t="shared" ref="AQ331" si="2795">LN(M331/L331)</f>
        <v>2.5264213539287299E-4</v>
      </c>
      <c r="AR331" s="93">
        <f t="shared" ref="AR331" si="2796">LN(N331/L331)</f>
        <v>2.4043957923746587E-3</v>
      </c>
      <c r="AS331" s="93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3">
        <f t="shared" si="2682"/>
        <v>3.65397480971715E-3</v>
      </c>
      <c r="AX331" s="28">
        <f t="shared" si="2683"/>
        <v>0.3304719456349906</v>
      </c>
      <c r="AY331" s="93">
        <f t="shared" si="2684"/>
        <v>3.0544496378077596E-3</v>
      </c>
      <c r="AZ331" s="93">
        <f t="shared" si="2685"/>
        <v>3.8299006331872993E-3</v>
      </c>
      <c r="BA331" s="93">
        <f t="shared" ref="BA331" si="2797">AV330</f>
        <v>0.42846553002223636</v>
      </c>
      <c r="BB331" s="93">
        <f t="shared" si="2742"/>
        <v>-2.8515959021482079E-3</v>
      </c>
      <c r="BC331" s="93">
        <f t="shared" ref="BC331" si="2798">AS330</f>
        <v>2.4369730537889637E-4</v>
      </c>
      <c r="BD331" s="39">
        <f t="shared" si="2715"/>
        <v>1</v>
      </c>
    </row>
    <row r="332" spans="1:62" x14ac:dyDescent="0.15">
      <c r="A332" s="90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2">
        <f t="shared" si="176"/>
        <v>3329.1825550000003</v>
      </c>
      <c r="T332" s="92" t="str">
        <f t="shared" ref="T332" si="2799">IF(AVERAGE(N331)&lt;S331,"熊",IF(AVERAGE(N331)&gt;S331,"牛",""))</f>
        <v>牛</v>
      </c>
      <c r="U332" s="92">
        <f t="shared" ref="U332" si="2800">MAX(H332,O332)</f>
        <v>3391.06</v>
      </c>
      <c r="V332" s="92">
        <f t="shared" ref="V332" si="2801">MIN(I332,P332)</f>
        <v>3371.08</v>
      </c>
      <c r="W332" s="40">
        <f t="shared" ref="W332" si="2802">LN(U332/V332)</f>
        <v>5.9093890819268413E-3</v>
      </c>
      <c r="X332" s="92">
        <f t="shared" ref="X332" si="2803">IF(U332=H332,J332,Q332)</f>
        <v>1333</v>
      </c>
      <c r="Y332" s="92">
        <f t="shared" ref="Y332" si="2804">IF(V332=I332,K332,R332)</f>
        <v>1439</v>
      </c>
      <c r="Z332" s="93">
        <f t="shared" ref="Z332" si="2805">(U332-V332)/(C332)</f>
        <v>5.9086553816672044E-3</v>
      </c>
      <c r="AA332" s="93">
        <f t="shared" ref="AA332" si="2806">LN(C332/N331)</f>
        <v>1.1273608082448944E-3</v>
      </c>
      <c r="AB332" s="93">
        <f t="shared" ref="AB332" si="2807">LN(N332/U332)</f>
        <v>-3.4207053770246515E-3</v>
      </c>
      <c r="AC332" s="93">
        <f t="shared" ref="AC332" si="2808">LN(N332/V332)</f>
        <v>2.4886837049021291E-3</v>
      </c>
      <c r="AD332" s="93">
        <f t="shared" ref="AD332" si="2809">LN(U332/C332)</f>
        <v>2.8290734021754588E-3</v>
      </c>
      <c r="AE332" s="93">
        <f t="shared" ref="AE332" si="2810">LN(V332/C332)</f>
        <v>-3.0803156797513205E-3</v>
      </c>
      <c r="AF332" s="93">
        <f t="shared" ref="AF332" si="2811">LN(N332/C332)</f>
        <v>-5.9163197484910337E-4</v>
      </c>
      <c r="AG332" s="93">
        <f t="shared" ref="AG332" si="2812">LN(N332/N331)</f>
        <v>5.3572883339574116E-4</v>
      </c>
      <c r="AH332" s="93">
        <f t="shared" ref="AH332" si="2813">LN(D332/C332)</f>
        <v>1.5081016134215389E-4</v>
      </c>
      <c r="AI332" s="93">
        <f t="shared" ref="AI332" si="2814">LN(E332/C332)</f>
        <v>1.0640562825614929E-3</v>
      </c>
      <c r="AJ332" s="93">
        <f t="shared" ref="AJ332" si="2815">LN(F332/C332)</f>
        <v>-1.597061410405626E-4</v>
      </c>
      <c r="AK332" s="93">
        <f t="shared" ref="AK332" si="2816">+LN(G332/C332)</f>
        <v>-1.0533480276840959E-3</v>
      </c>
      <c r="AL332" s="93">
        <f t="shared" ref="AL332" si="2817">LN(H332/I332)</f>
        <v>3.4261604931901668E-3</v>
      </c>
      <c r="AM332" s="93">
        <f t="shared" ref="AM332" si="2818">LN(O332/P332)</f>
        <v>5.9093890819268413E-3</v>
      </c>
      <c r="AN332" s="93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3">
        <f t="shared" ref="AQ332" si="2822">LN(M332/L332)</f>
        <v>4.0822122607291886E-4</v>
      </c>
      <c r="AR332" s="93">
        <f t="shared" ref="AR332" si="2823">LN(N332/L332)</f>
        <v>-1.0356086651230889E-4</v>
      </c>
      <c r="AS332" s="93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3">
        <f t="shared" si="2682"/>
        <v>-5.9163197484910337E-4</v>
      </c>
      <c r="AX332" s="28">
        <f t="shared" si="2683"/>
        <v>-1.7517517517512949E-2</v>
      </c>
      <c r="AY332" s="93">
        <f t="shared" si="2684"/>
        <v>1.134477114453257E-3</v>
      </c>
      <c r="AZ332" s="93">
        <f t="shared" si="2685"/>
        <v>2.4886837049021291E-3</v>
      </c>
      <c r="BA332" s="93">
        <f t="shared" ref="BA332" si="2824">AV331</f>
        <v>0.71644150383781635</v>
      </c>
      <c r="BB332" s="93">
        <f t="shared" si="2742"/>
        <v>2.4043957923746587E-3</v>
      </c>
      <c r="BC332" s="93">
        <f t="shared" ref="BC332" si="2825">AS331</f>
        <v>3.65397480971715E-3</v>
      </c>
      <c r="BD332" s="39">
        <f t="shared" si="2715"/>
        <v>0</v>
      </c>
    </row>
    <row r="333" spans="1:62" x14ac:dyDescent="0.15">
      <c r="A333" s="90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2">
        <f t="shared" si="176"/>
        <v>3335.5935550000004</v>
      </c>
      <c r="T333" s="92" t="str">
        <f t="shared" ref="T333" si="2826">IF(AVERAGE(N332)&lt;S332,"熊",IF(AVERAGE(N332)&gt;S332,"牛",""))</f>
        <v>牛</v>
      </c>
      <c r="U333" s="92">
        <f t="shared" ref="U333" si="2827">MAX(H333,O333)</f>
        <v>3387.0641999999998</v>
      </c>
      <c r="V333" s="92">
        <f t="shared" ref="V333" si="2828">MIN(I333,P333)</f>
        <v>3366.7757999999999</v>
      </c>
      <c r="W333" s="40">
        <f t="shared" ref="W333" si="2829">LN(U333/V333)</f>
        <v>6.0079779879686837E-3</v>
      </c>
      <c r="X333" s="92">
        <f t="shared" ref="X333" si="2830">IF(U333=H333,J333,Q333)</f>
        <v>1412</v>
      </c>
      <c r="Y333" s="92">
        <f t="shared" ref="Y333" si="2831">IF(V333=I333,K333,R333)</f>
        <v>1020</v>
      </c>
      <c r="Z333" s="93">
        <f t="shared" ref="Z333" si="2832">(U333-V333)/(C333)</f>
        <v>6.0118792130365575E-3</v>
      </c>
      <c r="AA333" s="93">
        <f t="shared" ref="AA333" si="2833">LN(C333/N332)</f>
        <v>-1.409938067053348E-3</v>
      </c>
      <c r="AB333" s="93">
        <f t="shared" ref="AB333" si="2834">LN(N333/U333)</f>
        <v>-4.5084595063658742E-4</v>
      </c>
      <c r="AC333" s="93">
        <f t="shared" ref="AC333" si="2835">LN(N333/V333)</f>
        <v>5.5571320373320934E-3</v>
      </c>
      <c r="AD333" s="93">
        <f t="shared" ref="AD333" si="2836">LN(U333/C333)</f>
        <v>3.6516150447803574E-3</v>
      </c>
      <c r="AE333" s="93">
        <f t="shared" ref="AE333" si="2837">LN(V333/C333)</f>
        <v>-2.3563629431883068E-3</v>
      </c>
      <c r="AF333" s="93">
        <f t="shared" ref="AF333" si="2838">LN(N333/C333)</f>
        <v>3.2007690941437952E-3</v>
      </c>
      <c r="AG333" s="93">
        <f t="shared" ref="AG333" si="2839">LN(N333/N332)</f>
        <v>1.7908310270903446E-3</v>
      </c>
      <c r="AH333" s="93">
        <f t="shared" ref="AH333" si="2840">LN(D333/C333)</f>
        <v>-3.0152245059205019E-4</v>
      </c>
      <c r="AI333" s="93">
        <f t="shared" ref="AI333" si="2841">LN(E333/C333)</f>
        <v>4.575932715860817E-4</v>
      </c>
      <c r="AJ333" s="93">
        <f t="shared" ref="AJ333" si="2842">LN(F333/C333)</f>
        <v>-4.9216213178298869E-4</v>
      </c>
      <c r="AK333" s="93">
        <f t="shared" ref="AK333" si="2843">+LN(G333/C333)</f>
        <v>4.957999160266289E-4</v>
      </c>
      <c r="AL333" s="93">
        <f t="shared" ref="AL333" si="2844">LN(H333/I333)</f>
        <v>4.2050296627243917E-3</v>
      </c>
      <c r="AM333" s="93">
        <f t="shared" ref="AM333" si="2845">LN(O333/P333)</f>
        <v>3.1558151287537912E-3</v>
      </c>
      <c r="AN333" s="93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3">
        <f t="shared" ref="AQ333" si="2849">LN(M333/L333)</f>
        <v>6.8200449545170239E-4</v>
      </c>
      <c r="AR333" s="93">
        <f t="shared" ref="AR333" si="2850">LN(N333/L333)</f>
        <v>2.7049691781171619E-3</v>
      </c>
      <c r="AS333" s="93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3">
        <f t="shared" si="2682"/>
        <v>3.2007690941437952E-3</v>
      </c>
      <c r="AX333" s="28">
        <f t="shared" si="2683"/>
        <v>0.45076989806982914</v>
      </c>
      <c r="AY333" s="93">
        <f t="shared" si="2684"/>
        <v>2.8521628592149645E-3</v>
      </c>
      <c r="AZ333" s="93">
        <f t="shared" si="2685"/>
        <v>2.7049691781171619E-3</v>
      </c>
      <c r="BA333" s="93">
        <f t="shared" ref="BA333" si="2851">AV332</f>
        <v>0.4204204204204246</v>
      </c>
      <c r="BB333" s="93">
        <f t="shared" si="2742"/>
        <v>-1.0356086651230889E-4</v>
      </c>
      <c r="BC333" s="93">
        <f t="shared" ref="BC333" si="2852">AS332</f>
        <v>-5.9163197484910337E-4</v>
      </c>
      <c r="BD333" s="39">
        <f t="shared" si="2715"/>
        <v>1</v>
      </c>
    </row>
    <row r="334" spans="1:62" x14ac:dyDescent="0.15">
      <c r="A334" s="90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2">
        <f t="shared" si="176"/>
        <v>3342.539205</v>
      </c>
      <c r="T334" s="92" t="str">
        <f t="shared" ref="T334" si="2853">IF(AVERAGE(N333)&lt;S333,"熊",IF(AVERAGE(N333)&gt;S333,"牛",""))</f>
        <v>牛</v>
      </c>
      <c r="U334" s="92">
        <f t="shared" ref="U334" si="2854">MAX(H334,O334)</f>
        <v>3391.64</v>
      </c>
      <c r="V334" s="92">
        <f t="shared" ref="V334" si="2855">MIN(I334,P334)</f>
        <v>3361.33</v>
      </c>
      <c r="W334" s="40">
        <f t="shared" ref="W334" si="2856">LN(U334/V334)</f>
        <v>8.9768512346779811E-3</v>
      </c>
      <c r="X334" s="92">
        <f t="shared" ref="X334" si="2857">IF(U334=H334,J334,Q334)</f>
        <v>956</v>
      </c>
      <c r="Y334" s="92">
        <f t="shared" ref="Y334" si="2858">IF(V334=I334,K334,R334)</f>
        <v>1402</v>
      </c>
      <c r="Z334" s="93">
        <f t="shared" ref="Z334" si="2859">(U334-V334)/(C334)</f>
        <v>8.9582588289536923E-3</v>
      </c>
      <c r="AA334" s="93">
        <f t="shared" ref="AA334" si="2860">LN(C334/N333)</f>
        <v>-6.1087244010094792E-4</v>
      </c>
      <c r="AB334" s="93">
        <f t="shared" ref="AB334" si="2861">LN(N334/U334)</f>
        <v>-5.9765935168028866E-3</v>
      </c>
      <c r="AC334" s="93">
        <f t="shared" ref="AC334" si="2862">LN(N334/V334)</f>
        <v>3.0002577178749679E-3</v>
      </c>
      <c r="AD334" s="93">
        <f t="shared" ref="AD334" si="2863">LN(U334/C334)</f>
        <v>2.4117701292404431E-3</v>
      </c>
      <c r="AE334" s="93">
        <f t="shared" ref="AE334" si="2864">LN(V334/C334)</f>
        <v>-6.5650811054375185E-3</v>
      </c>
      <c r="AF334" s="93">
        <f t="shared" ref="AF334" si="2865">LN(N334/C334)</f>
        <v>-3.5648233875624612E-3</v>
      </c>
      <c r="AG334" s="93">
        <f t="shared" ref="AG334" si="2866">LN(N334/N333)</f>
        <v>-4.1756958276635038E-3</v>
      </c>
      <c r="AH334" s="93">
        <f t="shared" ref="AH334" si="2867">LN(D334/C334)</f>
        <v>4.6982137310370417E-4</v>
      </c>
      <c r="AI334" s="93">
        <f t="shared" ref="AI334" si="2868">LN(E334/C334)</f>
        <v>-2.8377264090103066E-4</v>
      </c>
      <c r="AJ334" s="93">
        <f t="shared" ref="AJ334" si="2869">LN(F334/C334)</f>
        <v>-5.6156943894658942E-5</v>
      </c>
      <c r="AK334" s="93">
        <f t="shared" ref="AK334" si="2870">+LN(G334/C334)</f>
        <v>-1.4581465787569835E-3</v>
      </c>
      <c r="AL334" s="93">
        <f t="shared" ref="AL334" si="2871">LN(H334/I334)</f>
        <v>4.8412218274474905E-3</v>
      </c>
      <c r="AM334" s="93">
        <f t="shared" ref="AM334" si="2872">LN(O334/P334)</f>
        <v>5.5478562080835793E-3</v>
      </c>
      <c r="AN334" s="93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3">
        <f t="shared" ref="AQ334" si="2876">LN(M334/L334)</f>
        <v>-6.5116692094940702E-5</v>
      </c>
      <c r="AR334" s="93">
        <f t="shared" ref="AR334" si="2877">LN(N334/L334)</f>
        <v>-2.1421944788501458E-3</v>
      </c>
      <c r="AS334" s="93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3">
        <f t="shared" si="2682"/>
        <v>-3.5648233875624612E-3</v>
      </c>
      <c r="AX334" s="28">
        <f t="shared" si="2683"/>
        <v>-0.23853513691850978</v>
      </c>
      <c r="AY334" s="93">
        <f t="shared" si="2684"/>
        <v>9.713051194502212E-4</v>
      </c>
      <c r="AZ334" s="93">
        <f t="shared" si="2685"/>
        <v>3.0002577178749679E-3</v>
      </c>
      <c r="BA334" s="93">
        <f t="shared" ref="BA334" si="2878">AV333</f>
        <v>0.92475010350742792</v>
      </c>
      <c r="BB334" s="93">
        <f t="shared" si="2742"/>
        <v>2.7049691781171619E-3</v>
      </c>
      <c r="BC334" s="93">
        <f t="shared" ref="BC334" si="2879">AS333</f>
        <v>3.2007690941437952E-3</v>
      </c>
      <c r="BD334" s="39">
        <f t="shared" si="2715"/>
        <v>0</v>
      </c>
    </row>
    <row r="335" spans="1:62" x14ac:dyDescent="0.15">
      <c r="A335" s="90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2">
        <f t="shared" si="176"/>
        <v>3347.6797949999991</v>
      </c>
      <c r="T335" s="92" t="str">
        <f t="shared" ref="T335" si="2880">IF(AVERAGE(N334)&lt;S334,"熊",IF(AVERAGE(N334)&gt;S334,"牛",""))</f>
        <v>牛</v>
      </c>
      <c r="U335" s="92">
        <f t="shared" ref="U335" si="2881">MAX(H335,O335)</f>
        <v>3365.4398000000001</v>
      </c>
      <c r="V335" s="92">
        <f t="shared" ref="V335" si="2882">MIN(I335,P335)</f>
        <v>3345.3283000000001</v>
      </c>
      <c r="W335" s="40">
        <f t="shared" ref="W335" si="2883">LN(U335/V335)</f>
        <v>5.9938176704963774E-3</v>
      </c>
      <c r="X335" s="92">
        <f t="shared" ref="X335" si="2884">IF(U335=H335,J335,Q335)</f>
        <v>930</v>
      </c>
      <c r="Y335" s="92">
        <f t="shared" ref="Y335" si="2885">IF(V335=I335,K335,R335)</f>
        <v>1028</v>
      </c>
      <c r="Z335" s="93">
        <f t="shared" ref="Z335" si="2886">(U335-V335)/(C335)</f>
        <v>5.9764133817219248E-3</v>
      </c>
      <c r="AA335" s="93">
        <f t="shared" ref="AA335" si="2887">LN(C335/N334)</f>
        <v>-1.8658150321294617E-3</v>
      </c>
      <c r="AB335" s="93">
        <f t="shared" ref="AB335" si="2888">LN(N335/U335)</f>
        <v>-3.5038017968426591E-3</v>
      </c>
      <c r="AC335" s="93">
        <f t="shared" ref="AC335" si="2889">LN(N335/V335)</f>
        <v>2.4900158736539165E-3</v>
      </c>
      <c r="AD335" s="93">
        <f t="shared" ref="AD335" si="2890">LN(U335/C335)</f>
        <v>8.7481249085959322E-5</v>
      </c>
      <c r="AE335" s="93">
        <f t="shared" ref="AE335" si="2891">LN(V335/C335)</f>
        <v>-5.9063364214104359E-3</v>
      </c>
      <c r="AF335" s="93">
        <f t="shared" ref="AF335" si="2892">LN(N335/C335)</f>
        <v>-3.4163205477566599E-3</v>
      </c>
      <c r="AG335" s="93">
        <f t="shared" ref="AG335" si="2893">LN(N335/N334)</f>
        <v>-5.2821355798860648E-3</v>
      </c>
      <c r="AH335" s="93">
        <f t="shared" ref="AH335" si="2894">LN(D335/C335)</f>
        <v>-6.1814350753668101E-4</v>
      </c>
      <c r="AI335" s="93">
        <f t="shared" ref="AI335" si="2895">LN(E335/C335)</f>
        <v>-1.4048473092708024E-3</v>
      </c>
      <c r="AJ335" s="93">
        <f t="shared" ref="AJ335" si="2896">LN(F335/C335)</f>
        <v>-2.0651026386376246E-3</v>
      </c>
      <c r="AK335" s="93">
        <f t="shared" ref="AK335" si="2897">+LN(G335/C335)</f>
        <v>-1.3416440465180673E-3</v>
      </c>
      <c r="AL335" s="93">
        <f t="shared" ref="AL335" si="2898">LN(H335/I335)</f>
        <v>5.9938176704963774E-3</v>
      </c>
      <c r="AM335" s="93">
        <f t="shared" ref="AM335" si="2899">LN(O335/P335)</f>
        <v>4.8014282049350081E-3</v>
      </c>
      <c r="AN335" s="93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3">
        <f t="shared" ref="AQ335" si="2903">LN(M335/L335)</f>
        <v>7.4774770051335725E-5</v>
      </c>
      <c r="AR335" s="93">
        <f t="shared" ref="AR335" si="2904">LN(N335/L335)</f>
        <v>-2.074676501238651E-3</v>
      </c>
      <c r="AS335" s="93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3">
        <f t="shared" si="2682"/>
        <v>-3.4163205477566599E-3</v>
      </c>
      <c r="AX335" s="28">
        <f t="shared" si="2683"/>
        <v>-0.34631927006937091</v>
      </c>
      <c r="AY335" s="93">
        <f t="shared" si="2684"/>
        <v>4.5646923748924803E-3</v>
      </c>
      <c r="AZ335" s="93">
        <f t="shared" si="2685"/>
        <v>2.1159820417814565E-3</v>
      </c>
      <c r="BA335" s="93">
        <f t="shared" ref="BA335" si="2905">AV334</f>
        <v>0.33322335862751329</v>
      </c>
      <c r="BB335" s="93">
        <f t="shared" si="2742"/>
        <v>-2.1421944788501458E-3</v>
      </c>
      <c r="BC335" s="93">
        <f t="shared" ref="BC335" si="2906">AS334</f>
        <v>-3.5648233875624612E-3</v>
      </c>
      <c r="BD335" s="39">
        <f t="shared" si="2715"/>
        <v>1</v>
      </c>
    </row>
    <row r="336" spans="1:62" x14ac:dyDescent="0.15">
      <c r="A336" s="90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2">
        <f t="shared" si="176"/>
        <v>3351.9011500000001</v>
      </c>
      <c r="T336" s="92" t="str">
        <f t="shared" ref="T336" si="2907">IF(AVERAGE(N335)&lt;S335,"熊",IF(AVERAGE(N335)&gt;S335,"牛",""))</f>
        <v>牛</v>
      </c>
      <c r="U336" s="92">
        <f t="shared" ref="U336" si="2908">MAX(H336,O336)</f>
        <v>3371.7485999999999</v>
      </c>
      <c r="V336" s="92">
        <f t="shared" ref="V336" si="2909">MIN(I336,P336)</f>
        <v>3352.5133999999998</v>
      </c>
      <c r="W336" s="40">
        <f t="shared" ref="W336" si="2910">LN(U336/V336)</f>
        <v>5.721149017232724E-3</v>
      </c>
      <c r="X336" s="92">
        <f t="shared" ref="X336" si="2911">IF(U336=H336,J336,Q336)</f>
        <v>1022</v>
      </c>
      <c r="Y336" s="92">
        <f t="shared" ref="Y336" si="2912">IF(V336=I336,K336,R336)</f>
        <v>930</v>
      </c>
      <c r="Z336" s="93">
        <f t="shared" ref="Z336" si="2913">(U336-V336)/(C336)</f>
        <v>5.7375460453044213E-3</v>
      </c>
      <c r="AA336" s="93">
        <f t="shared" ref="AA336" si="2914">LN(C336/N335)</f>
        <v>-3.4451794222890863E-4</v>
      </c>
      <c r="AB336" s="93">
        <f t="shared" ref="AB336" si="2915">LN(N336/U336)</f>
        <v>-2.532871667177466E-3</v>
      </c>
      <c r="AC336" s="93">
        <f t="shared" ref="AC336" si="2916">LN(N336/V336)</f>
        <v>3.1882773500552216E-3</v>
      </c>
      <c r="AD336" s="93">
        <f t="shared" ref="AD336" si="2917">LN(U336/C336)</f>
        <v>5.721149017232724E-3</v>
      </c>
      <c r="AE336" s="93">
        <f t="shared" ref="AE336" si="2918">LN(V336/C336)</f>
        <v>0</v>
      </c>
      <c r="AF336" s="93">
        <f t="shared" ref="AF336" si="2919">LN(N336/C336)</f>
        <v>3.1882773500552216E-3</v>
      </c>
      <c r="AG336" s="93">
        <f t="shared" ref="AG336" si="2920">LN(N336/N335)</f>
        <v>2.8437594078262844E-3</v>
      </c>
      <c r="AH336" s="93">
        <f t="shared" ref="AH336" si="2921">LN(D336/C336)</f>
        <v>9.4442706914675436E-4</v>
      </c>
      <c r="AI336" s="93">
        <f t="shared" ref="AI336" si="2922">LN(E336/C336)</f>
        <v>2.8425980188102277E-3</v>
      </c>
      <c r="AJ336" s="93">
        <f t="shared" ref="AJ336" si="2923">LN(F336/C336)</f>
        <v>3.4967139832432926E-3</v>
      </c>
      <c r="AK336" s="93">
        <f t="shared" ref="AK336" si="2924">+LN(G336/C336)</f>
        <v>2.8115434641918183E-3</v>
      </c>
      <c r="AL336" s="93">
        <f t="shared" ref="AL336" si="2925">LN(H336/I336)</f>
        <v>5.721149017232724E-3</v>
      </c>
      <c r="AM336" s="93">
        <f t="shared" ref="AM336" si="2926">LN(O336/P336)</f>
        <v>3.8104804347227849E-3</v>
      </c>
      <c r="AN336" s="93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3">
        <f t="shared" ref="AQ336" si="2930">LN(M336/L336)</f>
        <v>6.7120002497233588E-4</v>
      </c>
      <c r="AR336" s="93">
        <f t="shared" ref="AR336" si="2931">LN(N336/L336)</f>
        <v>3.7673388586329816E-4</v>
      </c>
      <c r="AS336" s="93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3">
        <f t="shared" si="2682"/>
        <v>3.1882773500552216E-3</v>
      </c>
      <c r="AX336" s="28">
        <f t="shared" si="2683"/>
        <v>6.5858426218592503E-2</v>
      </c>
      <c r="AY336" s="93">
        <f t="shared" si="2684"/>
        <v>2.8115434641918183E-3</v>
      </c>
      <c r="AZ336" s="93">
        <f t="shared" si="2685"/>
        <v>2.1228687486512343E-3</v>
      </c>
      <c r="BA336" s="93">
        <f t="shared" ref="BA336" si="2932">AV335</f>
        <v>0.41470303060437319</v>
      </c>
      <c r="BB336" s="93">
        <f t="shared" si="2742"/>
        <v>-2.074676501238651E-3</v>
      </c>
      <c r="BC336" s="93">
        <f t="shared" ref="BC336" si="2933">AS335</f>
        <v>-3.4163205477566599E-3</v>
      </c>
      <c r="BD336" s="39">
        <f t="shared" si="2715"/>
        <v>1</v>
      </c>
    </row>
    <row r="337" spans="1:62" x14ac:dyDescent="0.15">
      <c r="A337" s="90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2">
        <f t="shared" si="176"/>
        <v>3355.6960099999997</v>
      </c>
      <c r="T337" s="92" t="str">
        <f t="shared" ref="T337" si="2934">IF(AVERAGE(N336)&lt;S336,"熊",IF(AVERAGE(N336)&gt;S336,"牛",""))</f>
        <v>牛</v>
      </c>
      <c r="U337" s="92">
        <f t="shared" ref="U337" si="2935">MAX(H337,O337)</f>
        <v>3370.4009000000001</v>
      </c>
      <c r="V337" s="92">
        <f t="shared" ref="V337" si="2936">MIN(I337,P337)</f>
        <v>3344.7433999999998</v>
      </c>
      <c r="W337" s="40">
        <f t="shared" ref="W337" si="2937">LN(U337/V337)</f>
        <v>7.6417195852561751E-3</v>
      </c>
      <c r="X337" s="92">
        <f t="shared" ref="X337" si="2938">IF(U337=H337,J337,Q337)</f>
        <v>948</v>
      </c>
      <c r="Y337" s="92">
        <f t="shared" ref="Y337" si="2939">IF(V337=I337,K337,R337)</f>
        <v>1436</v>
      </c>
      <c r="Z337" s="93">
        <f t="shared" ref="Z337" si="2940">(U337-V337)/(C337)</f>
        <v>7.6236101192338427E-3</v>
      </c>
      <c r="AA337" s="93">
        <f t="shared" ref="AA337" si="2941">LN(C337/N336)</f>
        <v>6.8728957101099294E-4</v>
      </c>
      <c r="AB337" s="93">
        <f t="shared" ref="AB337" si="2942">LN(N337/U337)</f>
        <v>-4.0868754935007839E-3</v>
      </c>
      <c r="AC337" s="93">
        <f t="shared" ref="AC337" si="2943">LN(N337/V337)</f>
        <v>3.5548440917554658E-3</v>
      </c>
      <c r="AD337" s="93">
        <f t="shared" ref="AD337" si="2944">LN(U337/C337)</f>
        <v>1.4457986093275668E-3</v>
      </c>
      <c r="AE337" s="93">
        <f t="shared" ref="AE337" si="2945">LN(V337/C337)</f>
        <v>-6.195920975928553E-3</v>
      </c>
      <c r="AF337" s="93">
        <f t="shared" ref="AF337" si="2946">LN(N337/C337)</f>
        <v>-2.6410768841732099E-3</v>
      </c>
      <c r="AG337" s="93">
        <f t="shared" ref="AG337" si="2947">LN(N337/N336)</f>
        <v>-1.9537873131622633E-3</v>
      </c>
      <c r="AH337" s="93">
        <f t="shared" ref="AH337" si="2948">LN(D337/C337)</f>
        <v>1.3768051202527545E-4</v>
      </c>
      <c r="AI337" s="93">
        <f t="shared" ref="AI337" si="2949">LN(E337/C337)</f>
        <v>1.1982298243498049E-3</v>
      </c>
      <c r="AJ337" s="93">
        <f t="shared" ref="AJ337" si="2950">LN(F337/C337)</f>
        <v>8.2950992763201079E-4</v>
      </c>
      <c r="AK337" s="93">
        <f t="shared" ref="AK337" si="2951">+LN(G337/C337)</f>
        <v>-3.7174294237321878E-3</v>
      </c>
      <c r="AL337" s="93">
        <f t="shared" ref="AL337" si="2952">LN(H337/I337)</f>
        <v>5.1774241914006106E-3</v>
      </c>
      <c r="AM337" s="93">
        <f t="shared" ref="AM337" si="2953">LN(O337/P337)</f>
        <v>6.5261560266064575E-3</v>
      </c>
      <c r="AN337" s="93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3">
        <f t="shared" ref="AQ337" si="2957">LN(M337/L337)</f>
        <v>4.7545471206176311E-4</v>
      </c>
      <c r="AR337" s="93">
        <f t="shared" ref="AR337" si="2958">LN(N337/L337)</f>
        <v>5.7442719484273295E-4</v>
      </c>
      <c r="AS337" s="93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3">
        <f t="shared" si="2682"/>
        <v>-2.6410768841732099E-3</v>
      </c>
      <c r="AX337" s="28">
        <f t="shared" si="2683"/>
        <v>7.5128130176360317E-2</v>
      </c>
      <c r="AY337" s="93">
        <f t="shared" si="2684"/>
        <v>1.4196158340769766E-5</v>
      </c>
      <c r="AZ337" s="93">
        <f t="shared" si="2685"/>
        <v>3.5548440917554658E-3</v>
      </c>
      <c r="BA337" s="93">
        <f t="shared" ref="BA337" si="2959">AV336</f>
        <v>0.55657336549659675</v>
      </c>
      <c r="BB337" s="93">
        <f t="shared" si="2742"/>
        <v>3.7673388586329816E-4</v>
      </c>
      <c r="BC337" s="93">
        <f t="shared" ref="BC337" si="2960">AS336</f>
        <v>3.1882773500552216E-3</v>
      </c>
      <c r="BD337" s="39">
        <f t="shared" si="2715"/>
        <v>0</v>
      </c>
    </row>
    <row r="338" spans="1:62" x14ac:dyDescent="0.15">
      <c r="A338" s="90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2">
        <f t="shared" si="176"/>
        <v>3358.9774699999994</v>
      </c>
      <c r="T338" s="92" t="str">
        <f t="shared" ref="T338" si="2961">IF(AVERAGE(N337)&lt;S337,"熊",IF(AVERAGE(N337)&gt;S337,"牛",""))</f>
        <v>牛</v>
      </c>
      <c r="U338" s="92">
        <f t="shared" ref="U338" si="2962">MAX(H338,O338)</f>
        <v>3370.0562</v>
      </c>
      <c r="V338" s="92">
        <f t="shared" ref="V338" si="2963">MIN(I338,P338)</f>
        <v>3346.5432000000001</v>
      </c>
      <c r="W338" s="40">
        <f t="shared" ref="W338" si="2964">LN(U338/V338)</f>
        <v>7.0014882984295018E-3</v>
      </c>
      <c r="X338" s="92">
        <f t="shared" ref="X338" si="2965">IF(U338=H338,J338,Q338)</f>
        <v>1401</v>
      </c>
      <c r="Y338" s="92">
        <f t="shared" ref="Y338" si="2966">IF(V338=I338,K338,R338)</f>
        <v>1038</v>
      </c>
      <c r="Z338" s="93">
        <f t="shared" ref="Z338" si="2967">(U338-V338)/(C338)</f>
        <v>7.0142314349733699E-3</v>
      </c>
      <c r="AA338" s="93">
        <f t="shared" ref="AA338" si="2968">LN(C338/N337)</f>
        <v>-1.3325108546720543E-3</v>
      </c>
      <c r="AB338" s="93">
        <f t="shared" ref="AB338" si="2969">LN(N338/U338)</f>
        <v>-1.0955371115273767E-3</v>
      </c>
      <c r="AC338" s="93">
        <f t="shared" ref="AC338" si="2970">LN(N338/V338)</f>
        <v>5.9059511869021947E-3</v>
      </c>
      <c r="AD338" s="93">
        <f t="shared" ref="AD338" si="2971">LN(U338/C338)</f>
        <v>5.3171084180008042E-3</v>
      </c>
      <c r="AE338" s="93">
        <f t="shared" ref="AE338" si="2972">LN(V338/C338)</f>
        <v>-1.684379880428559E-3</v>
      </c>
      <c r="AF338" s="93">
        <f t="shared" ref="AF338" si="2973">LN(N338/C338)</f>
        <v>4.2215713064734425E-3</v>
      </c>
      <c r="AG338" s="93">
        <f t="shared" ref="AG338" si="2974">LN(N338/N337)</f>
        <v>2.8890604518014723E-3</v>
      </c>
      <c r="AH338" s="93">
        <f t="shared" ref="AH338" si="2975">LN(D338/C338)</f>
        <v>-4.3789988976470002E-4</v>
      </c>
      <c r="AI338" s="93">
        <f t="shared" ref="AI338" si="2976">LN(E338/C338)</f>
        <v>5.5125187020435974E-5</v>
      </c>
      <c r="AJ338" s="93">
        <f t="shared" ref="AJ338" si="2977">LN(F338/C338)</f>
        <v>1.3790054922412895E-4</v>
      </c>
      <c r="AK338" s="93">
        <f t="shared" ref="AK338" si="2978">+LN(G338/C338)</f>
        <v>3.6184247459542401E-3</v>
      </c>
      <c r="AL338" s="93">
        <f t="shared" ref="AL338" si="2979">LN(H338/I338)</f>
        <v>5.3028046263827863E-3</v>
      </c>
      <c r="AM338" s="93">
        <f t="shared" ref="AM338" si="2980">LN(O338/P338)</f>
        <v>2.4539765673989894E-3</v>
      </c>
      <c r="AN338" s="93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3">
        <f t="shared" ref="AQ338" si="2984">LN(M338/L338)</f>
        <v>1.4394076216070852E-4</v>
      </c>
      <c r="AR338" s="93">
        <f t="shared" ref="AR338" si="2985">LN(N338/L338)</f>
        <v>6.0314656051929899E-4</v>
      </c>
      <c r="AS338" s="93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3">
        <f t="shared" si="2682"/>
        <v>4.2215713064734425E-3</v>
      </c>
      <c r="AX338" s="28">
        <f t="shared" si="2683"/>
        <v>8.6326712882226958E-2</v>
      </c>
      <c r="AY338" s="93">
        <f t="shared" si="2684"/>
        <v>5.3028046263827863E-3</v>
      </c>
      <c r="AZ338" s="93">
        <f t="shared" si="2685"/>
        <v>1.3584394558717292E-3</v>
      </c>
      <c r="BA338" s="93">
        <f t="shared" ref="BA338" si="2986">AV337</f>
        <v>0.46423852674656102</v>
      </c>
      <c r="BB338" s="93">
        <f t="shared" si="2742"/>
        <v>5.7442719484273295E-4</v>
      </c>
      <c r="BC338" s="93">
        <f t="shared" ref="BC338" si="2987">AS337</f>
        <v>-2.6410768841732099E-3</v>
      </c>
      <c r="BD338" s="39">
        <f t="shared" si="2715"/>
        <v>0</v>
      </c>
    </row>
    <row r="339" spans="1:62" x14ac:dyDescent="0.15">
      <c r="A339" s="90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2">
        <f t="shared" si="176"/>
        <v>3362.9117999999994</v>
      </c>
      <c r="T339" s="92" t="str">
        <f t="shared" ref="T339" si="2988">IF(AVERAGE(N338)&lt;S338,"熊",IF(AVERAGE(N338)&gt;S338,"牛",""))</f>
        <v>牛</v>
      </c>
      <c r="U339" s="92">
        <f t="shared" ref="U339" si="2989">MAX(H339,O339)</f>
        <v>3377.7089000000001</v>
      </c>
      <c r="V339" s="92">
        <f t="shared" ref="V339" si="2990">MIN(I339,P339)</f>
        <v>3357.0583999999999</v>
      </c>
      <c r="W339" s="40">
        <f t="shared" ref="W339" si="2991">LN(U339/V339)</f>
        <v>6.1325250891422689E-3</v>
      </c>
      <c r="X339" s="92">
        <f t="shared" ref="X339" si="2992">IF(U339=H339,J339,Q339)</f>
        <v>1120</v>
      </c>
      <c r="Y339" s="92">
        <f t="shared" ref="Y339" si="2993">IF(V339=I339,K339,R339)</f>
        <v>1458</v>
      </c>
      <c r="Z339" s="93">
        <f t="shared" ref="Z339" si="2994">(U339-V339)/(C339)</f>
        <v>6.1374012886804639E-3</v>
      </c>
      <c r="AA339" s="93">
        <f t="shared" ref="AA339" si="2995">LN(C339/N338)</f>
        <v>-4.957611631567668E-4</v>
      </c>
      <c r="AB339" s="93">
        <f t="shared" ref="AB339" si="2996">LN(N339/U339)</f>
        <v>-5.7949352867889764E-3</v>
      </c>
      <c r="AC339" s="93">
        <f t="shared" ref="AC339" si="2997">LN(N339/V339)</f>
        <v>3.3758980235339511E-4</v>
      </c>
      <c r="AD339" s="93">
        <f t="shared" ref="AD339" si="2998">LN(U339/C339)</f>
        <v>3.859516912282437E-3</v>
      </c>
      <c r="AE339" s="93">
        <f t="shared" ref="AE339" si="2999">LN(V339/C339)</f>
        <v>-2.2730081768599542E-3</v>
      </c>
      <c r="AF339" s="93">
        <f t="shared" ref="AF339" si="3000">LN(N339/C339)</f>
        <v>-1.9354183745065726E-3</v>
      </c>
      <c r="AG339" s="93">
        <f t="shared" ref="AG339" si="3001">LN(N339/N338)</f>
        <v>-2.4311795376633443E-3</v>
      </c>
      <c r="AH339" s="93">
        <f t="shared" ref="AH339" si="3002">LN(D339/C339)</f>
        <v>-6.4734042394247492E-4</v>
      </c>
      <c r="AI339" s="93">
        <f t="shared" ref="AI339" si="3003">LN(E339/C339)</f>
        <v>-4.4602265148617655E-4</v>
      </c>
      <c r="AJ339" s="93">
        <f t="shared" ref="AJ339" si="3004">LN(F339/C339)</f>
        <v>-7.4271986130556721E-4</v>
      </c>
      <c r="AK339" s="93">
        <f t="shared" ref="AK339" si="3005">+LN(G339/C339)</f>
        <v>2.4464079120639368E-3</v>
      </c>
      <c r="AL339" s="93">
        <f t="shared" ref="AL339" si="3006">LN(H339/I339)</f>
        <v>5.522802047246993E-3</v>
      </c>
      <c r="AM339" s="93">
        <f t="shared" ref="AM339" si="3007">LN(O339/P339)</f>
        <v>5.2453175008010944E-3</v>
      </c>
      <c r="AN339" s="93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3">
        <f t="shared" ref="AQ339" si="3011">LN(M339/L339)</f>
        <v>1.3385055500295148E-4</v>
      </c>
      <c r="AR339" s="93">
        <f t="shared" ref="AR339" si="3012">LN(N339/L339)</f>
        <v>-4.3818262865704966E-3</v>
      </c>
      <c r="AS339" s="93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3">
        <f t="shared" si="2682"/>
        <v>-1.9354183745065726E-3</v>
      </c>
      <c r="AX339" s="28">
        <f t="shared" si="2683"/>
        <v>-0.71413767221131974</v>
      </c>
      <c r="AY339" s="93">
        <f t="shared" si="2684"/>
        <v>4.1096930470285462E-3</v>
      </c>
      <c r="AZ339" s="93">
        <f t="shared" si="2685"/>
        <v>3.3758980235339511E-4</v>
      </c>
      <c r="BA339" s="93">
        <f t="shared" ref="BA339" si="3013">AV338</f>
        <v>0.84306553821290064</v>
      </c>
      <c r="BB339" s="93">
        <f t="shared" si="2742"/>
        <v>6.0314656051929899E-4</v>
      </c>
      <c r="BC339" s="93">
        <f t="shared" ref="BC339" si="3014">AS338</f>
        <v>4.2215713064734425E-3</v>
      </c>
      <c r="BD339" s="39">
        <f t="shared" si="2715"/>
        <v>0</v>
      </c>
    </row>
    <row r="340" spans="1:62" x14ac:dyDescent="0.15">
      <c r="A340" s="90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2">
        <f t="shared" si="176"/>
        <v>3367.2217700000001</v>
      </c>
      <c r="T340" s="92" t="str">
        <f t="shared" ref="T340" si="3015">IF(AVERAGE(N339)&lt;S339,"熊",IF(AVERAGE(N339)&gt;S339,"牛",""))</f>
        <v>熊</v>
      </c>
      <c r="U340" s="92">
        <f t="shared" ref="U340" si="3016">MAX(H340,O340)</f>
        <v>3356.1190999999999</v>
      </c>
      <c r="V340" s="92">
        <f t="shared" ref="V340" si="3017">MIN(I340,P340)</f>
        <v>3335.2334000000001</v>
      </c>
      <c r="W340" s="40">
        <f t="shared" ref="W340" si="3018">LN(U340/V340)</f>
        <v>6.2426147260009101E-3</v>
      </c>
      <c r="X340" s="92">
        <f t="shared" ref="X340" si="3019">IF(U340=H340,J340,Q340)</f>
        <v>943</v>
      </c>
      <c r="Y340" s="92">
        <f t="shared" ref="Y340" si="3020">IF(V340=I340,K340,R340)</f>
        <v>1010</v>
      </c>
      <c r="Z340" s="93">
        <f t="shared" ref="Z340" si="3021">(U340-V340)/(C340)</f>
        <v>6.2398329758607419E-3</v>
      </c>
      <c r="AA340" s="93">
        <f t="shared" ref="AA340" si="3022">LN(C340/N339)</f>
        <v>-3.2914052024153101E-3</v>
      </c>
      <c r="AB340" s="93">
        <f t="shared" ref="AB340" si="3023">LN(N340/U340)</f>
        <v>-9.6807414122940694E-4</v>
      </c>
      <c r="AC340" s="93">
        <f t="shared" ref="AC340" si="3024">LN(N340/V340)</f>
        <v>5.2745405847716836E-3</v>
      </c>
      <c r="AD340" s="93">
        <f t="shared" ref="AD340" si="3025">LN(U340/C340)</f>
        <v>2.6739777207723733E-3</v>
      </c>
      <c r="AE340" s="93">
        <f t="shared" ref="AE340" si="3026">LN(V340/C340)</f>
        <v>-3.5686370052286157E-3</v>
      </c>
      <c r="AF340" s="93">
        <f t="shared" ref="AF340" si="3027">LN(N340/C340)</f>
        <v>1.7059035795430307E-3</v>
      </c>
      <c r="AG340" s="93">
        <f t="shared" ref="AG340" si="3028">LN(N340/N339)</f>
        <v>-1.5855016228723297E-3</v>
      </c>
      <c r="AH340" s="93">
        <f t="shared" ref="AH340" si="3029">LN(D340/C340)</f>
        <v>-1.1843588044971895E-4</v>
      </c>
      <c r="AI340" s="93">
        <f t="shared" ref="AI340" si="3030">LN(E340/C340)</f>
        <v>9.0271807435290887E-4</v>
      </c>
      <c r="AJ340" s="93">
        <f t="shared" ref="AJ340" si="3031">LN(F340/C340)</f>
        <v>2.1462648558478151E-3</v>
      </c>
      <c r="AK340" s="93">
        <f t="shared" ref="AK340" si="3032">+LN(G340/C340)</f>
        <v>-1.6256245098538583E-3</v>
      </c>
      <c r="AL340" s="93">
        <f t="shared" ref="AL340" si="3033">LN(H340/I340)</f>
        <v>6.2426147260009101E-3</v>
      </c>
      <c r="AM340" s="93">
        <f t="shared" ref="AM340" si="3034">LN(O340/P340)</f>
        <v>4.207165854928926E-3</v>
      </c>
      <c r="AN340" s="93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3">
        <f t="shared" ref="AQ340" si="3038">LN(M340/L340)</f>
        <v>-8.4992355804764047E-4</v>
      </c>
      <c r="AR340" s="93">
        <f t="shared" ref="AR340" si="3039">LN(N340/L340)</f>
        <v>3.3315280893967637E-3</v>
      </c>
      <c r="AS340" s="93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3">
        <f t="shared" si="2682"/>
        <v>1.7059035795430307E-3</v>
      </c>
      <c r="AX340" s="28">
        <f t="shared" si="2683"/>
        <v>0.5339347017337337</v>
      </c>
      <c r="AY340" s="93">
        <f t="shared" si="2684"/>
        <v>1.9430124953747584E-3</v>
      </c>
      <c r="AZ340" s="93">
        <f t="shared" si="2685"/>
        <v>4.1969060458428827E-3</v>
      </c>
      <c r="BA340" s="93">
        <f t="shared" ref="BA340" si="3040">AV339</f>
        <v>5.4889712113503408E-2</v>
      </c>
      <c r="BB340" s="93">
        <f t="shared" si="2742"/>
        <v>-4.3818262865704966E-3</v>
      </c>
      <c r="BC340" s="93">
        <f t="shared" ref="BC340" si="3041">AS339</f>
        <v>-1.9354183745065726E-3</v>
      </c>
      <c r="BD340" s="39">
        <f t="shared" si="2715"/>
        <v>1</v>
      </c>
    </row>
    <row r="341" spans="1:62" x14ac:dyDescent="0.15">
      <c r="A341" s="90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2">
        <f t="shared" si="176"/>
        <v>3368.28215</v>
      </c>
      <c r="T341" s="92" t="str">
        <f t="shared" ref="T341" si="3042">IF(AVERAGE(N340)&lt;S340,"熊",IF(AVERAGE(N340)&gt;S340,"牛",""))</f>
        <v>熊</v>
      </c>
      <c r="U341" s="92">
        <f t="shared" ref="U341" si="3043">MAX(H341,O341)</f>
        <v>3350.6316000000002</v>
      </c>
      <c r="V341" s="92">
        <f t="shared" ref="V341" si="3044">MIN(I341,P341)</f>
        <v>3334.9596999999999</v>
      </c>
      <c r="W341" s="40">
        <f t="shared" ref="W341" si="3045">LN(U341/V341)</f>
        <v>4.6882700429278952E-3</v>
      </c>
      <c r="X341" s="92">
        <f t="shared" ref="X341" si="3046">IF(U341=H341,J341,Q341)</f>
        <v>1008</v>
      </c>
      <c r="Y341" s="92">
        <f t="shared" ref="Y341" si="3047">IF(V341=I341,K341,R341)</f>
        <v>1123</v>
      </c>
      <c r="Z341" s="93">
        <f t="shared" ref="Z341" si="3048">(U341-V341)/(C341)</f>
        <v>4.6857481963552342E-3</v>
      </c>
      <c r="AA341" s="93">
        <f t="shared" ref="AA341" si="3049">LN(C341/N340)</f>
        <v>-2.4735060312818845E-3</v>
      </c>
      <c r="AB341" s="93">
        <f t="shared" ref="AB341" si="3050">LN(N341/U341)</f>
        <v>-2.93584221859683E-3</v>
      </c>
      <c r="AC341" s="93">
        <f t="shared" ref="AC341" si="3051">LN(N341/V341)</f>
        <v>1.7524278243309756E-3</v>
      </c>
      <c r="AD341" s="93">
        <f t="shared" ref="AD341" si="3052">LN(U341/C341)</f>
        <v>1.8051688997456298E-3</v>
      </c>
      <c r="AE341" s="93">
        <f t="shared" ref="AE341" si="3053">LN(V341/C341)</f>
        <v>-2.8831011431822758E-3</v>
      </c>
      <c r="AF341" s="93">
        <f t="shared" ref="AF341" si="3054">LN(N341/C341)</f>
        <v>-1.1306733188512297E-3</v>
      </c>
      <c r="AG341" s="93">
        <f t="shared" ref="AG341" si="3055">LN(N341/N340)</f>
        <v>-3.6041793501331324E-3</v>
      </c>
      <c r="AH341" s="93">
        <f t="shared" ref="AH341" si="3056">LN(D341/C341)</f>
        <v>3.5728718689446315E-5</v>
      </c>
      <c r="AI341" s="93">
        <f t="shared" ref="AI341" si="3057">LN(E341/C341)</f>
        <v>6.1713466884778464E-4</v>
      </c>
      <c r="AJ341" s="93">
        <f t="shared" ref="AJ341" si="3058">LN(F341/C341)</f>
        <v>-1.3825601965713923E-3</v>
      </c>
      <c r="AK341" s="93">
        <f t="shared" ref="AK341" si="3059">+LN(G341/C341)</f>
        <v>-1.1726101471768952E-3</v>
      </c>
      <c r="AL341" s="93">
        <f t="shared" ref="AL341" si="3060">LN(H341/I341)</f>
        <v>4.6882700429278952E-3</v>
      </c>
      <c r="AM341" s="93">
        <f t="shared" ref="AM341" si="3061">LN(O341/P341)</f>
        <v>2.7260972052719915E-3</v>
      </c>
      <c r="AN341" s="93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3">
        <f t="shared" ref="AQ341" si="3065">LN(M341/L341)</f>
        <v>-1.6689666762556915E-4</v>
      </c>
      <c r="AR341" s="93">
        <f t="shared" ref="AR341" si="3066">LN(N341/L341)</f>
        <v>4.1936828325712444E-5</v>
      </c>
      <c r="AS341" s="93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3">
        <f t="shared" si="2682"/>
        <v>-1.1306733188512297E-3</v>
      </c>
      <c r="AX341" s="28">
        <f t="shared" si="2683"/>
        <v>8.939566995710314E-3</v>
      </c>
      <c r="AY341" s="93">
        <f t="shared" si="2684"/>
        <v>1.7104909960054216E-3</v>
      </c>
      <c r="AZ341" s="93">
        <f t="shared" si="2685"/>
        <v>1.6456256405236933E-3</v>
      </c>
      <c r="BA341" s="93">
        <f t="shared" ref="BA341" si="3067">AV340</f>
        <v>0.84451562552369464</v>
      </c>
      <c r="BB341" s="93">
        <f t="shared" si="2742"/>
        <v>3.3315280893967637E-3</v>
      </c>
      <c r="BC341" s="93">
        <f t="shared" ref="BC341" si="3068">AS340</f>
        <v>1.7059035795430307E-3</v>
      </c>
      <c r="BD341" s="39">
        <f t="shared" si="2715"/>
        <v>0</v>
      </c>
    </row>
    <row r="342" spans="1:62" x14ac:dyDescent="0.15">
      <c r="A342" s="90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2">
        <f t="shared" si="176"/>
        <v>3367.1818499999999</v>
      </c>
      <c r="T342" s="92" t="str">
        <f t="shared" ref="T342" si="3069">IF(AVERAGE(N341)&lt;S341,"熊",IF(AVERAGE(N341)&gt;S341,"牛",""))</f>
        <v>熊</v>
      </c>
      <c r="U342" s="92">
        <f t="shared" ref="U342" si="3070">MAX(H342,O342)</f>
        <v>3347.0832</v>
      </c>
      <c r="V342" s="92">
        <f t="shared" ref="V342" si="3071">MIN(I342,P342)</f>
        <v>3332.6149</v>
      </c>
      <c r="W342" s="40">
        <f t="shared" ref="W342" si="3072">LN(U342/V342)</f>
        <v>4.3320289060892808E-3</v>
      </c>
      <c r="X342" s="92">
        <f t="shared" ref="X342" si="3073">IF(U342=H342,J342,Q342)</f>
        <v>942</v>
      </c>
      <c r="Y342" s="92">
        <f t="shared" ref="Y342" si="3074">IF(V342=I342,K342,R342)</f>
        <v>1434</v>
      </c>
      <c r="Z342" s="93">
        <f t="shared" ref="Z342" si="3075">(U342-V342)/(C342)</f>
        <v>4.3365657982435109E-3</v>
      </c>
      <c r="AA342" s="93">
        <f t="shared" ref="AA342" si="3076">LN(C342/N341)</f>
        <v>-1.3357180191721685E-3</v>
      </c>
      <c r="AB342" s="93">
        <f t="shared" ref="AB342" si="3077">LN(N342/U342)</f>
        <v>-9.7320094426893845E-4</v>
      </c>
      <c r="AC342" s="93">
        <f t="shared" ref="AC342" si="3078">LN(N342/V342)</f>
        <v>3.3588279618203903E-3</v>
      </c>
      <c r="AD342" s="93">
        <f t="shared" ref="AD342" si="3079">LN(U342/C342)</f>
        <v>3.211974860383578E-3</v>
      </c>
      <c r="AE342" s="93">
        <f t="shared" ref="AE342" si="3080">LN(V342/C342)</f>
        <v>-1.1200540457056618E-3</v>
      </c>
      <c r="AF342" s="93">
        <f t="shared" ref="AF342" si="3081">LN(N342/C342)</f>
        <v>2.2387739161146814E-3</v>
      </c>
      <c r="AG342" s="93">
        <f t="shared" ref="AG342" si="3082">LN(N342/N341)</f>
        <v>9.0305589694268835E-4</v>
      </c>
      <c r="AH342" s="93">
        <f t="shared" ref="AH342" si="3083">LN(D342/C342)</f>
        <v>1.4982402885228246E-3</v>
      </c>
      <c r="AI342" s="93">
        <f t="shared" ref="AI342" si="3084">LN(E342/C342)</f>
        <v>2.3903568409428815E-3</v>
      </c>
      <c r="AJ342" s="93">
        <f t="shared" ref="AJ342" si="3085">LN(F342/C342)</f>
        <v>2.9512362670938747E-3</v>
      </c>
      <c r="AK342" s="93">
        <f t="shared" ref="AK342" si="3086">+LN(G342/C342)</f>
        <v>2.2616217243528768E-3</v>
      </c>
      <c r="AL342" s="93">
        <f t="shared" ref="AL342" si="3087">LN(H342/I342)</f>
        <v>3.5270094455214862E-3</v>
      </c>
      <c r="AM342" s="93">
        <f t="shared" ref="AM342" si="3088">LN(O342/P342)</f>
        <v>3.7851047936177354E-3</v>
      </c>
      <c r="AN342" s="93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3">
        <f t="shared" ref="AQ342" si="3092">LN(M342/L342)</f>
        <v>1.4757110767508395E-4</v>
      </c>
      <c r="AR342" s="93">
        <f t="shared" ref="AR342" si="3093">LN(N342/L342)</f>
        <v>-2.2847808238215186E-5</v>
      </c>
      <c r="AS342" s="93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3">
        <f t="shared" si="2682"/>
        <v>2.2387739161146814E-3</v>
      </c>
      <c r="AX342" s="28">
        <f t="shared" si="2683"/>
        <v>-5.2805098041871831E-3</v>
      </c>
      <c r="AY342" s="93">
        <f t="shared" si="2684"/>
        <v>2.5766563094908636E-3</v>
      </c>
      <c r="AZ342" s="93">
        <f t="shared" si="2685"/>
        <v>3.3588279618203903E-3</v>
      </c>
      <c r="BA342" s="93">
        <f t="shared" ref="BA342" si="3094">AV341</f>
        <v>0.37324127897701975</v>
      </c>
      <c r="BB342" s="93">
        <f t="shared" si="2742"/>
        <v>4.1936828325712444E-5</v>
      </c>
      <c r="BC342" s="93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x14ac:dyDescent="0.15">
      <c r="A343" s="90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2">
        <f t="shared" si="176"/>
        <v>3366.0918249999995</v>
      </c>
      <c r="T343" s="92" t="str">
        <f t="shared" ref="T343" si="3096">IF(AVERAGE(N342)&lt;S342,"熊",IF(AVERAGE(N342)&gt;S342,"牛",""))</f>
        <v>熊</v>
      </c>
      <c r="U343" s="92">
        <f t="shared" ref="U343" si="3097">MAX(H343,O343)</f>
        <v>3349.6473000000001</v>
      </c>
      <c r="V343" s="92">
        <f t="shared" ref="V343" si="3098">MIN(I343,P343)</f>
        <v>3340.4283999999998</v>
      </c>
      <c r="W343" s="40">
        <f t="shared" ref="W343" si="3099">LN(U343/V343)</f>
        <v>2.7559944755733128E-3</v>
      </c>
      <c r="X343" s="92">
        <f t="shared" ref="X343" si="3100">IF(U343=H343,J343,Q343)</f>
        <v>1354</v>
      </c>
      <c r="Y343" s="92">
        <f t="shared" ref="Y343" si="3101">IF(V343=I343,K343,R343)</f>
        <v>941</v>
      </c>
      <c r="Z343" s="93">
        <f t="shared" ref="Z343" si="3102">(U343-V343)/(C343)</f>
        <v>2.759470656008422E-3</v>
      </c>
      <c r="AA343" s="93">
        <f t="shared" ref="AA343" si="3103">LN(C343/N342)</f>
        <v>-8.9922449709429163E-4</v>
      </c>
      <c r="AB343" s="93">
        <f t="shared" ref="AB343" si="3104">LN(N343/U343)</f>
        <v>-1.2498674912633327E-3</v>
      </c>
      <c r="AC343" s="93">
        <f t="shared" ref="AC343" si="3105">LN(N343/V343)</f>
        <v>1.5061269843099825E-3</v>
      </c>
      <c r="AD343" s="93">
        <f t="shared" ref="AD343" si="3106">LN(U343/C343)</f>
        <v>2.6382021514462931E-3</v>
      </c>
      <c r="AE343" s="93">
        <f t="shared" ref="AE343" si="3107">LN(V343/C343)</f>
        <v>-1.1779232412687534E-4</v>
      </c>
      <c r="AF343" s="93">
        <f t="shared" ref="AF343" si="3108">LN(N343/C343)</f>
        <v>1.3883346601830464E-3</v>
      </c>
      <c r="AG343" s="93">
        <f t="shared" ref="AG343" si="3109">LN(N343/N342)</f>
        <v>4.8911016308878777E-4</v>
      </c>
      <c r="AH343" s="93">
        <f t="shared" ref="AH343" si="3110">LN(D343/C343)</f>
        <v>2.3772760536030691E-4</v>
      </c>
      <c r="AI343" s="93">
        <f t="shared" ref="AI343" si="3111">LN(E343/C343)</f>
        <v>5.215629014570847E-4</v>
      </c>
      <c r="AJ343" s="93">
        <f t="shared" ref="AJ343" si="3112">LN(F343/C343)</f>
        <v>-7.4233505383099936E-6</v>
      </c>
      <c r="AK343" s="93">
        <f t="shared" ref="AK343" si="3113">+LN(G343/C343)</f>
        <v>1.1539898819804097E-3</v>
      </c>
      <c r="AL343" s="93">
        <f t="shared" ref="AL343" si="3114">LN(H343/I343)</f>
        <v>1.8407929275859711E-3</v>
      </c>
      <c r="AM343" s="93">
        <f t="shared" ref="AM343" si="3115">LN(O343/P343)</f>
        <v>2.1378517011856031E-3</v>
      </c>
      <c r="AN343" s="93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3">
        <f t="shared" ref="AQ343" si="3119">LN(M343/L343)</f>
        <v>1.6167656721721433E-4</v>
      </c>
      <c r="AR343" s="93">
        <f t="shared" ref="AR343" si="3120">LN(N343/L343)</f>
        <v>2.3434477820258046E-4</v>
      </c>
      <c r="AS343" s="93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3">
        <f t="shared" si="2682"/>
        <v>1.3883346601830464E-3</v>
      </c>
      <c r="AX343" s="28">
        <f t="shared" si="2683"/>
        <v>8.5031836770100275E-2</v>
      </c>
      <c r="AY343" s="93">
        <f t="shared" si="2684"/>
        <v>1.2717822061074158E-3</v>
      </c>
      <c r="AZ343" s="93">
        <f t="shared" si="2685"/>
        <v>8.8798420992224926E-4</v>
      </c>
      <c r="BA343" s="93">
        <f t="shared" ref="BA343" si="3121">AV342</f>
        <v>0.77497010706165148</v>
      </c>
      <c r="BB343" s="93">
        <f t="shared" si="2742"/>
        <v>-2.2847808238215186E-5</v>
      </c>
      <c r="BC343" s="93">
        <f t="shared" ref="BC343" si="3122">AS342</f>
        <v>2.2387739161146814E-3</v>
      </c>
      <c r="BD343" s="39">
        <f t="shared" si="2715"/>
        <v>1</v>
      </c>
    </row>
    <row r="344" spans="1:62" x14ac:dyDescent="0.15">
      <c r="A344" s="90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2">
        <f t="shared" si="176"/>
        <v>3365.2152550000001</v>
      </c>
      <c r="T344" s="92" t="str">
        <f t="shared" ref="T344" si="3123">IF(AVERAGE(N343)&lt;S343,"熊",IF(AVERAGE(N343)&gt;S343,"牛",""))</f>
        <v>熊</v>
      </c>
      <c r="U344" s="92">
        <f t="shared" ref="U344" si="3124">MAX(H344,O344)</f>
        <v>3344.5376000000001</v>
      </c>
      <c r="V344" s="92">
        <f t="shared" ref="V344" si="3125">MIN(I344,P344)</f>
        <v>3336.4654</v>
      </c>
      <c r="W344" s="40">
        <f t="shared" ref="W344" si="3126">LN(U344/V344)</f>
        <v>2.4164646919034457E-3</v>
      </c>
      <c r="X344" s="92">
        <f t="shared" ref="X344" si="3127">IF(U344=H344,J344,Q344)</f>
        <v>934</v>
      </c>
      <c r="Y344" s="92">
        <f t="shared" ref="Y344" si="3128">IF(V344=I344,K344,R344)</f>
        <v>1106</v>
      </c>
      <c r="Z344" s="93">
        <f t="shared" ref="Z344" si="3129">(U344-V344)/(C344)</f>
        <v>2.4140475906087463E-3</v>
      </c>
      <c r="AA344" s="93">
        <f t="shared" ref="AA344" si="3130">LN(C344/N343)</f>
        <v>-4.8396637015166372E-4</v>
      </c>
      <c r="AB344" s="93">
        <f t="shared" ref="AB344" si="3131">LN(N344/U344)</f>
        <v>-1.3230606222692626E-3</v>
      </c>
      <c r="AC344" s="93">
        <f t="shared" ref="AC344" si="3132">LN(N344/V344)</f>
        <v>1.0934040696341878E-3</v>
      </c>
      <c r="AD344" s="93">
        <f t="shared" ref="AD344" si="3133">LN(U344/C344)</f>
        <v>2.0722500053303516E-4</v>
      </c>
      <c r="AE344" s="93">
        <f t="shared" ref="AE344" si="3134">LN(V344/C344)</f>
        <v>-2.2092396913703841E-3</v>
      </c>
      <c r="AF344" s="93">
        <f t="shared" ref="AF344" si="3135">LN(N344/C344)</f>
        <v>-1.1158356217361939E-3</v>
      </c>
      <c r="AG344" s="93">
        <f t="shared" ref="AG344" si="3136">LN(N344/N343)</f>
        <v>-1.5998019918878588E-3</v>
      </c>
      <c r="AH344" s="93">
        <f t="shared" ref="AH344" si="3137">LN(D344/C344)</f>
        <v>-4.290892544101472E-4</v>
      </c>
      <c r="AI344" s="93">
        <f t="shared" ref="AI344" si="3138">LN(E344/C344)</f>
        <v>-2.5312435367162207E-4</v>
      </c>
      <c r="AJ344" s="93">
        <f t="shared" ref="AJ344" si="3139">LN(F344/C344)</f>
        <v>-7.4008089938650207E-4</v>
      </c>
      <c r="AK344" s="93">
        <f t="shared" ref="AK344" si="3140">+LN(G344/C344)</f>
        <v>-4.9610900949544859E-4</v>
      </c>
      <c r="AL344" s="93">
        <f t="shared" ref="AL344" si="3141">LN(H344/I344)</f>
        <v>2.4164646919034457E-3</v>
      </c>
      <c r="AM344" s="93">
        <f t="shared" ref="AM344" si="3142">LN(O344/P344)</f>
        <v>1.9851629811592792E-3</v>
      </c>
      <c r="AN344" s="93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3">
        <f t="shared" ref="AQ344" si="3146">LN(M344/L344)</f>
        <v>1.5201468932174626E-4</v>
      </c>
      <c r="AR344" s="93">
        <f t="shared" ref="AR344" si="3147">LN(N344/L344)</f>
        <v>-6.1972661224084008E-4</v>
      </c>
      <c r="AS344" s="93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3">
        <f t="shared" si="2682"/>
        <v>-1.1158356217361939E-3</v>
      </c>
      <c r="AX344" s="28">
        <f t="shared" si="2683"/>
        <v>-0.25650999727459628</v>
      </c>
      <c r="AY344" s="93">
        <f t="shared" si="2684"/>
        <v>1.7131306818750512E-3</v>
      </c>
      <c r="AZ344" s="93">
        <f t="shared" si="2685"/>
        <v>1.0038522279892422E-3</v>
      </c>
      <c r="BA344" s="93">
        <f t="shared" ref="BA344" si="3148">AV343</f>
        <v>0.54614975756326034</v>
      </c>
      <c r="BB344" s="93">
        <f t="shared" si="2742"/>
        <v>2.3434477820258046E-4</v>
      </c>
      <c r="BC344" s="93">
        <f t="shared" ref="BC344" si="3149">AS343</f>
        <v>1.3883346601830464E-3</v>
      </c>
      <c r="BD344" s="39">
        <f t="shared" si="2715"/>
        <v>0</v>
      </c>
    </row>
    <row r="345" spans="1:62" x14ac:dyDescent="0.15">
      <c r="A345" s="90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2">
        <f t="shared" si="176"/>
        <v>3364.1712349999993</v>
      </c>
      <c r="T345" s="92" t="str">
        <f t="shared" ref="T345" si="3150">IF(AVERAGE(N344)&lt;S344,"熊",IF(AVERAGE(N344)&gt;S344,"牛",""))</f>
        <v>熊</v>
      </c>
      <c r="U345" s="92">
        <f t="shared" ref="U345" si="3151">MAX(H345,O345)</f>
        <v>3356.91</v>
      </c>
      <c r="V345" s="92">
        <f t="shared" ref="V345" si="3152">MIN(I345,P345)</f>
        <v>3340.31</v>
      </c>
      <c r="W345" s="40">
        <f t="shared" ref="W345" si="3153">LN(U345/V345)</f>
        <v>4.9572909341589625E-3</v>
      </c>
      <c r="X345" s="92">
        <f t="shared" ref="X345" si="3154">IF(U345=H345,J345,Q345)</f>
        <v>1009</v>
      </c>
      <c r="Y345" s="92">
        <f t="shared" ref="Y345" si="3155">IF(V345=I345,K345,R345)</f>
        <v>930</v>
      </c>
      <c r="Z345" s="93">
        <f t="shared" ref="Z345" si="3156">(U345-V345)/(C345)</f>
        <v>4.9695986300672419E-3</v>
      </c>
      <c r="AA345" s="93">
        <f t="shared" ref="AA345" si="3157">LN(C345/N344)</f>
        <v>5.822982385034885E-5</v>
      </c>
      <c r="AB345" s="93">
        <f t="shared" ref="AB345" si="3158">LN(N345/U345)</f>
        <v>-2.3770301312203081E-3</v>
      </c>
      <c r="AC345" s="93">
        <f t="shared" ref="AC345" si="3159">LN(N345/V345)</f>
        <v>2.5802608029386609E-3</v>
      </c>
      <c r="AD345" s="93">
        <f t="shared" ref="AD345" si="3160">LN(U345/C345)</f>
        <v>4.9572909341589625E-3</v>
      </c>
      <c r="AE345" s="93">
        <f t="shared" ref="AE345" si="3161">LN(V345/C345)</f>
        <v>0</v>
      </c>
      <c r="AF345" s="93">
        <f t="shared" ref="AF345" si="3162">LN(N345/C345)</f>
        <v>2.5802608029386609E-3</v>
      </c>
      <c r="AG345" s="93">
        <f t="shared" ref="AG345" si="3163">LN(N345/N344)</f>
        <v>2.6384906267888394E-3</v>
      </c>
      <c r="AH345" s="93">
        <f t="shared" ref="AH345" si="3164">LN(D345/C345)</f>
        <v>7.4516209226481933E-4</v>
      </c>
      <c r="AI345" s="93">
        <f t="shared" ref="AI345" si="3165">LN(E345/C345)</f>
        <v>1.3253455541712643E-3</v>
      </c>
      <c r="AJ345" s="93">
        <f t="shared" ref="AJ345" si="3166">LN(F345/C345)</f>
        <v>2.1083584003220024E-3</v>
      </c>
      <c r="AK345" s="93">
        <f t="shared" ref="AK345" si="3167">+LN(G345/C345)</f>
        <v>2.4428944735989172E-3</v>
      </c>
      <c r="AL345" s="93">
        <f t="shared" ref="AL345" si="3168">LN(H345/I345)</f>
        <v>4.9572909341589625E-3</v>
      </c>
      <c r="AM345" s="93">
        <f t="shared" ref="AM345" si="3169">LN(O345/P345)</f>
        <v>2.6344494694179113E-3</v>
      </c>
      <c r="AN345" s="93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3">
        <f t="shared" ref="AQ345" si="3173">LN(M345/L345)</f>
        <v>6.4488586859810435E-4</v>
      </c>
      <c r="AR345" s="93">
        <f t="shared" ref="AR345" si="3174">LN(N345/L345)</f>
        <v>1.7619066862154916E-4</v>
      </c>
      <c r="AS345" s="93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3">
        <f t="shared" si="2682"/>
        <v>2.5802608029386609E-3</v>
      </c>
      <c r="AX345" s="28">
        <f t="shared" si="2683"/>
        <v>3.5542168674707754E-2</v>
      </c>
      <c r="AY345" s="93">
        <f t="shared" si="2684"/>
        <v>2.4428944735989172E-3</v>
      </c>
      <c r="AZ345" s="93">
        <f t="shared" si="2685"/>
        <v>1.6137519041932548E-3</v>
      </c>
      <c r="BA345" s="93">
        <f t="shared" ref="BA345" si="3175">AV344</f>
        <v>0.45218156140826649</v>
      </c>
      <c r="BB345" s="93">
        <f t="shared" si="2742"/>
        <v>-6.1972661224084008E-4</v>
      </c>
      <c r="BC345" s="93">
        <f t="shared" ref="BC345" si="3176">AS344</f>
        <v>-1.1158356217361939E-3</v>
      </c>
      <c r="BD345" s="39">
        <f t="shared" si="2715"/>
        <v>1</v>
      </c>
    </row>
    <row r="346" spans="1:62" x14ac:dyDescent="0.15">
      <c r="A346" s="90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2">
        <f t="shared" si="176"/>
        <v>3363.2532149999997</v>
      </c>
      <c r="T346" s="92" t="str">
        <f t="shared" ref="T346" si="3177">IF(AVERAGE(N345)&lt;S345,"熊",IF(AVERAGE(N345)&gt;S345,"牛",""))</f>
        <v>熊</v>
      </c>
      <c r="U346" s="92">
        <f t="shared" ref="U346" si="3178">MAX(H346,O346)</f>
        <v>3410.1704</v>
      </c>
      <c r="V346" s="92">
        <f t="shared" ref="V346" si="3179">MIN(I346,P346)</f>
        <v>3367.4742999999999</v>
      </c>
      <c r="W346" s="40">
        <f t="shared" ref="W346" si="3180">LN(U346/V346)</f>
        <v>1.2599263222473124E-2</v>
      </c>
      <c r="X346" s="92">
        <f t="shared" ref="X346" si="3181">IF(U346=H346,J346,Q346)</f>
        <v>930</v>
      </c>
      <c r="Y346" s="92">
        <f t="shared" ref="Y346" si="3182">IF(V346=I346,K346,R346)</f>
        <v>1424</v>
      </c>
      <c r="Z346" s="93">
        <f t="shared" ref="Z346" si="3183">(U346-V346)/(C346)</f>
        <v>1.2545699755216069E-2</v>
      </c>
      <c r="AA346" s="93">
        <f t="shared" ref="AA346" si="3184">LN(C346/N345)</f>
        <v>1.608574543941664E-2</v>
      </c>
      <c r="AB346" s="93">
        <f t="shared" ref="AB346" si="3185">LN(N346/U346)</f>
        <v>-1.0404240796430646E-2</v>
      </c>
      <c r="AC346" s="93">
        <f t="shared" ref="AC346" si="3186">LN(N346/V346)</f>
        <v>2.1950224260423893E-3</v>
      </c>
      <c r="AD346" s="93">
        <f t="shared" ref="AD346" si="3187">LN(U346/C346)</f>
        <v>2.0326374261850993E-3</v>
      </c>
      <c r="AE346" s="93">
        <f t="shared" ref="AE346" si="3188">LN(V346/C346)</f>
        <v>-1.056662579628798E-2</v>
      </c>
      <c r="AF346" s="93">
        <f t="shared" ref="AF346" si="3189">LN(N346/C346)</f>
        <v>-8.3716033702455044E-3</v>
      </c>
      <c r="AG346" s="93">
        <f t="shared" ref="AG346" si="3190">LN(N346/N345)</f>
        <v>7.7141420691710771E-3</v>
      </c>
      <c r="AH346" s="93">
        <f t="shared" ref="AH346" si="3191">LN(D346/C346)</f>
        <v>-8.264057204444246E-4</v>
      </c>
      <c r="AI346" s="93">
        <f t="shared" ref="AI346" si="3192">LN(E346/C346)</f>
        <v>-2.3795305154928233E-3</v>
      </c>
      <c r="AJ346" s="93">
        <f t="shared" ref="AJ346" si="3193">LN(F346/C346)</f>
        <v>-3.8234216264492055E-3</v>
      </c>
      <c r="AK346" s="93">
        <f t="shared" ref="AK346" si="3194">+LN(G346/C346)</f>
        <v>-3.7484154121505608E-3</v>
      </c>
      <c r="AL346" s="93">
        <f t="shared" ref="AL346" si="3195">LN(H346/I346)</f>
        <v>7.8179212315383825E-3</v>
      </c>
      <c r="AM346" s="93">
        <f t="shared" ref="AM346" si="3196">LN(O346/P346)</f>
        <v>7.0122624872639384E-3</v>
      </c>
      <c r="AN346" s="93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3">
        <f t="shared" ref="AQ346" si="3200">LN(M346/L346)</f>
        <v>-1.117387234088403E-3</v>
      </c>
      <c r="AR346" s="93">
        <f t="shared" ref="AR346" si="3201">LN(N346/L346)</f>
        <v>-4.6231879580948968E-3</v>
      </c>
      <c r="AS346" s="93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3">
        <f t="shared" si="2682"/>
        <v>-8.3716033702455044E-3</v>
      </c>
      <c r="AX346" s="28">
        <f t="shared" si="2683"/>
        <v>-0.36628169785999498</v>
      </c>
      <c r="AY346" s="93">
        <f t="shared" si="2684"/>
        <v>2.0368683932025103E-3</v>
      </c>
      <c r="AZ346" s="93">
        <f t="shared" si="2685"/>
        <v>2.1950224260423893E-3</v>
      </c>
      <c r="BA346" s="93">
        <f t="shared" ref="BA346" si="3202">AV345</f>
        <v>0.5198795180722986</v>
      </c>
      <c r="BB346" s="93">
        <f t="shared" si="2742"/>
        <v>1.7619066862154916E-4</v>
      </c>
      <c r="BC346" s="93">
        <f t="shared" ref="BC346" si="3203">AS345</f>
        <v>2.5802608029386609E-3</v>
      </c>
      <c r="BD346" s="39">
        <f t="shared" si="2715"/>
        <v>0</v>
      </c>
    </row>
    <row r="347" spans="1:62" x14ac:dyDescent="0.15">
      <c r="A347" s="90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2">
        <f t="shared" si="176"/>
        <v>3363.0179199999998</v>
      </c>
      <c r="T347" s="92" t="str">
        <f t="shared" ref="T347" si="3204">IF(AVERAGE(N346)&lt;S346,"熊",IF(AVERAGE(N346)&gt;S346,"牛",""))</f>
        <v>牛</v>
      </c>
      <c r="U347" s="92">
        <f t="shared" ref="U347" si="3205">MAX(H347,O347)</f>
        <v>3383.8809000000001</v>
      </c>
      <c r="V347" s="92">
        <f t="shared" ref="V347" si="3206">MIN(I347,P347)</f>
        <v>3358.8422999999998</v>
      </c>
      <c r="W347" s="40">
        <f t="shared" ref="W347" si="3207">LN(U347/V347)</f>
        <v>7.4268850576920536E-3</v>
      </c>
      <c r="X347" s="92">
        <f t="shared" ref="X347" si="3208">IF(U347=H347,J347,Q347)</f>
        <v>941</v>
      </c>
      <c r="Y347" s="92">
        <f t="shared" ref="Y347" si="3209">IF(V347=I347,K347,R347)</f>
        <v>1046</v>
      </c>
      <c r="Z347" s="93">
        <f t="shared" ref="Z347" si="3210">(U347-V347)/(C347)</f>
        <v>7.4224850909095728E-3</v>
      </c>
      <c r="AA347" s="93">
        <f t="shared" ref="AA347" si="3211">LN(C347/N346)</f>
        <v>-4.5330481840810872E-4</v>
      </c>
      <c r="AB347" s="93">
        <f t="shared" ref="AB347" si="3212">LN(N347/U347)</f>
        <v>-1.0071783631845154E-4</v>
      </c>
      <c r="AC347" s="93">
        <f t="shared" ref="AC347" si="3213">LN(N347/V347)</f>
        <v>7.3261672213735867E-3</v>
      </c>
      <c r="AD347" s="93">
        <f t="shared" ref="AD347" si="3214">LN(U347/C347)</f>
        <v>3.1185309825751554E-3</v>
      </c>
      <c r="AE347" s="93">
        <f t="shared" ref="AE347" si="3215">LN(V347/C347)</f>
        <v>-4.3083540751167361E-3</v>
      </c>
      <c r="AF347" s="93">
        <f t="shared" ref="AF347" si="3216">LN(N347/C347)</f>
        <v>3.017813146256744E-3</v>
      </c>
      <c r="AG347" s="93">
        <f t="shared" ref="AG347" si="3217">LN(N347/N346)</f>
        <v>2.5645083278486246E-3</v>
      </c>
      <c r="AH347" s="93">
        <f t="shared" ref="AH347" si="3218">LN(D347/C347)</f>
        <v>3.791417437859364E-5</v>
      </c>
      <c r="AI347" s="93">
        <f t="shared" ref="AI347" si="3219">LN(E347/C347)</f>
        <v>1.5218106802113143E-3</v>
      </c>
      <c r="AJ347" s="93">
        <f t="shared" ref="AJ347" si="3220">LN(F347/C347)</f>
        <v>2.9340807675990134E-3</v>
      </c>
      <c r="AK347" s="93">
        <f t="shared" ref="AK347" si="3221">+LN(G347/C347)</f>
        <v>-3.0367601967977247E-3</v>
      </c>
      <c r="AL347" s="93">
        <f t="shared" ref="AL347" si="3222">LN(H347/I347)</f>
        <v>7.4268850576920536E-3</v>
      </c>
      <c r="AM347" s="93">
        <f t="shared" ref="AM347" si="3223">LN(O347/P347)</f>
        <v>6.0952104279288089E-3</v>
      </c>
      <c r="AN347" s="93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3">
        <f t="shared" ref="AQ347" si="3227">LN(M347/L347)</f>
        <v>5.3929474801776042E-4</v>
      </c>
      <c r="AR347" s="93">
        <f t="shared" ref="AR347" si="3228">LN(N347/L347)</f>
        <v>6.0545733430546027E-3</v>
      </c>
      <c r="AS347" s="93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3">
        <f t="shared" si="2682"/>
        <v>3.017813146256744E-3</v>
      </c>
      <c r="AX347" s="28">
        <f t="shared" si="2683"/>
        <v>0.8157005583379151</v>
      </c>
      <c r="AY347" s="93">
        <f t="shared" si="2684"/>
        <v>1.271593878318958E-3</v>
      </c>
      <c r="AZ347" s="93">
        <f t="shared" si="2685"/>
        <v>6.0545733430546027E-3</v>
      </c>
      <c r="BA347" s="93">
        <f t="shared" ref="BA347" si="3229">AV346</f>
        <v>0.1733132534353283</v>
      </c>
      <c r="BB347" s="93">
        <f t="shared" si="2742"/>
        <v>-4.6231879580948968E-3</v>
      </c>
      <c r="BC347" s="93">
        <f t="shared" ref="BC347" si="3230">AS346</f>
        <v>-8.3716033702455044E-3</v>
      </c>
      <c r="BD347" s="39">
        <f t="shared" si="2715"/>
        <v>1</v>
      </c>
    </row>
    <row r="348" spans="1:62" x14ac:dyDescent="0.15">
      <c r="A348" s="90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2">
        <f t="shared" si="176"/>
        <v>3362.9384600000003</v>
      </c>
      <c r="T348" s="92" t="str">
        <f t="shared" ref="T348" si="3231">IF(AVERAGE(N347)&lt;S347,"熊",IF(AVERAGE(N347)&gt;S347,"牛",""))</f>
        <v>牛</v>
      </c>
      <c r="U348" s="92">
        <f t="shared" ref="U348" si="3232">MAX(H348,O348)</f>
        <v>3395.52</v>
      </c>
      <c r="V348" s="92">
        <f t="shared" ref="V348" si="3233">MIN(I348,P348)</f>
        <v>3379.23</v>
      </c>
      <c r="W348" s="40">
        <f t="shared" ref="W348" si="3234">LN(U348/V348)</f>
        <v>4.8090428118364387E-3</v>
      </c>
      <c r="X348" s="92">
        <f t="shared" ref="X348" si="3235">IF(U348=H348,J348,Q348)</f>
        <v>1301</v>
      </c>
      <c r="Y348" s="92">
        <f t="shared" ref="Y348" si="3236">IF(V348=I348,K348,R348)</f>
        <v>939</v>
      </c>
      <c r="Z348" s="93">
        <f t="shared" ref="Z348" si="3237">(U348-V348)/(C348)</f>
        <v>4.8174172255935161E-3</v>
      </c>
      <c r="AA348" s="93">
        <f t="shared" ref="AA348" si="3238">LN(C348/N347)</f>
        <v>-6.090447724406711E-4</v>
      </c>
      <c r="AB348" s="93">
        <f t="shared" ref="AB348" si="3239">LN(N348/U348)</f>
        <v>-2.1344977000604041E-3</v>
      </c>
      <c r="AC348" s="93">
        <f t="shared" ref="AC348" si="3240">LN(N348/V348)</f>
        <v>2.6745451117761521E-3</v>
      </c>
      <c r="AD348" s="93">
        <f t="shared" ref="AD348" si="3241">LN(U348/C348)</f>
        <v>4.1434322226913782E-3</v>
      </c>
      <c r="AE348" s="93">
        <f t="shared" ref="AE348" si="3242">LN(V348/C348)</f>
        <v>-6.6561058914512284E-4</v>
      </c>
      <c r="AF348" s="93">
        <f t="shared" ref="AF348" si="3243">LN(N348/C348)</f>
        <v>2.0089345226310638E-3</v>
      </c>
      <c r="AG348" s="93">
        <f t="shared" ref="AG348" si="3244">LN(N348/N347)</f>
        <v>1.3998897501904927E-3</v>
      </c>
      <c r="AH348" s="93">
        <f t="shared" ref="AH348" si="3245">LN(D348/C348)</f>
        <v>5.0272580901516955E-5</v>
      </c>
      <c r="AI348" s="93">
        <f t="shared" ref="AI348" si="3246">LN(E348/C348)</f>
        <v>-2.6615918982768804E-5</v>
      </c>
      <c r="AJ348" s="93">
        <f t="shared" ref="AJ348" si="3247">LN(F348/C348)</f>
        <v>-3.1943779220678926E-4</v>
      </c>
      <c r="AK348" s="93">
        <f t="shared" ref="AK348" si="3248">+LN(G348/C348)</f>
        <v>3.604341505415247E-3</v>
      </c>
      <c r="AL348" s="93">
        <f t="shared" ref="AL348" si="3249">LN(H348/I348)</f>
        <v>4.2699520945604563E-3</v>
      </c>
      <c r="AM348" s="93">
        <f t="shared" ref="AM348" si="3250">LN(O348/P348)</f>
        <v>3.3009609831599332E-3</v>
      </c>
      <c r="AN348" s="93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3">
        <f t="shared" ref="AQ348" si="3254">LN(M348/L348)</f>
        <v>-7.6897131048059265E-4</v>
      </c>
      <c r="AR348" s="93">
        <f t="shared" ref="AR348" si="3255">LN(N348/L348)</f>
        <v>-2.1138820884459551E-3</v>
      </c>
      <c r="AS348" s="93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3">
        <f t="shared" si="2682"/>
        <v>2.0089345226310638E-3</v>
      </c>
      <c r="AX348" s="28">
        <f t="shared" si="2683"/>
        <v>-0.44014732965006964</v>
      </c>
      <c r="AY348" s="93">
        <f t="shared" si="2684"/>
        <v>4.2699520945604563E-3</v>
      </c>
      <c r="AZ348" s="93">
        <f t="shared" si="2685"/>
        <v>1.1664632830994763E-3</v>
      </c>
      <c r="BA348" s="93">
        <f t="shared" ref="BA348" si="3256">AV347</f>
        <v>0.98638901536028611</v>
      </c>
      <c r="BB348" s="93">
        <f t="shared" si="2742"/>
        <v>6.0545733430546027E-3</v>
      </c>
      <c r="BC348" s="93">
        <f t="shared" ref="BC348" si="3257">AS347</f>
        <v>3.017813146256744E-3</v>
      </c>
      <c r="BD348" s="39">
        <f t="shared" si="2715"/>
        <v>0</v>
      </c>
      <c r="BE348" s="92"/>
    </row>
    <row r="349" spans="1:62" x14ac:dyDescent="0.15">
      <c r="A349" s="90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2">
        <f t="shared" si="176"/>
        <v>3363.0834600000003</v>
      </c>
      <c r="T349" s="92" t="str">
        <f t="shared" ref="T349" si="3258">IF(AVERAGE(N348)&lt;S348,"熊",IF(AVERAGE(N348)&gt;S348,"牛",""))</f>
        <v>牛</v>
      </c>
      <c r="U349" s="92">
        <f t="shared" ref="U349" si="3259">MAX(H349,O349)</f>
        <v>3390.2</v>
      </c>
      <c r="V349" s="92">
        <f t="shared" ref="V349" si="3260">MIN(I349,P349)</f>
        <v>3372.69</v>
      </c>
      <c r="W349" s="40">
        <f t="shared" ref="W349" si="3261">LN(U349/V349)</f>
        <v>5.1782711612330173E-3</v>
      </c>
      <c r="X349" s="92">
        <f t="shared" ref="X349" si="3262">IF(U349=H349,J349,Q349)</f>
        <v>1451</v>
      </c>
      <c r="Y349" s="92">
        <f t="shared" ref="Y349" si="3263">IF(V349=I349,K349,R349)</f>
        <v>1419</v>
      </c>
      <c r="Z349" s="93">
        <f t="shared" ref="Z349" si="3264">(U349-V349)/(C349)</f>
        <v>5.1720114723543325E-3</v>
      </c>
      <c r="AA349" s="93">
        <f t="shared" ref="AA349" si="3265">LN(C349/N348)</f>
        <v>-8.1195077838949205E-4</v>
      </c>
      <c r="AB349" s="93">
        <f t="shared" ref="AB349" si="3266">LN(N349/U349)</f>
        <v>-1.210100054695613E-3</v>
      </c>
      <c r="AC349" s="93">
        <f t="shared" ref="AC349" si="3267">LN(N349/V349)</f>
        <v>3.9681711065374728E-3</v>
      </c>
      <c r="AD349" s="93">
        <f t="shared" ref="AD349" si="3268">LN(U349/C349)</f>
        <v>1.3784494776102926E-3</v>
      </c>
      <c r="AE349" s="93">
        <f t="shared" ref="AE349" si="3269">LN(V349/C349)</f>
        <v>-3.7998216836227254E-3</v>
      </c>
      <c r="AF349" s="93">
        <f t="shared" ref="AF349" si="3270">LN(N349/C349)</f>
        <v>1.6834942291468562E-4</v>
      </c>
      <c r="AG349" s="93">
        <f t="shared" ref="AG349" si="3271">LN(N349/N348)</f>
        <v>-6.4360135547479993E-4</v>
      </c>
      <c r="AH349" s="93">
        <f t="shared" ref="AH349" si="3272">LN(D349/C349)</f>
        <v>-1.1224869596529282E-4</v>
      </c>
      <c r="AI349" s="93">
        <f t="shared" ref="AI349" si="3273">LN(E349/C349)</f>
        <v>-1.7722640674036478E-5</v>
      </c>
      <c r="AJ349" s="93">
        <f t="shared" ref="AJ349" si="3274">LN(F349/C349)</f>
        <v>8.8868293303657944E-4</v>
      </c>
      <c r="AK349" s="93">
        <f t="shared" ref="AK349" si="3275">+LN(G349/C349)</f>
        <v>-9.2495053085706839E-4</v>
      </c>
      <c r="AL349" s="93">
        <f t="shared" ref="AL349" si="3276">LN(H349/I349)</f>
        <v>3.2036721828615977E-3</v>
      </c>
      <c r="AM349" s="93">
        <f t="shared" ref="AM349" si="3277">LN(O349/P349)</f>
        <v>5.1782711612330173E-3</v>
      </c>
      <c r="AN349" s="93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3">
        <f t="shared" ref="AQ349" si="3281">LN(M349/L349)</f>
        <v>-7.6850546415735532E-5</v>
      </c>
      <c r="AR349" s="93">
        <f t="shared" ref="AR349" si="3282">LN(N349/L349)</f>
        <v>8.2134072233147842E-4</v>
      </c>
      <c r="AS349" s="93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3">
        <f t="shared" si="2682"/>
        <v>1.6834942291468562E-4</v>
      </c>
      <c r="AX349" s="28">
        <f t="shared" si="2683"/>
        <v>0.15876641918902243</v>
      </c>
      <c r="AY349" s="93">
        <f t="shared" si="2684"/>
        <v>1.2424934296739246E-3</v>
      </c>
      <c r="AZ349" s="93">
        <f t="shared" si="2685"/>
        <v>3.9681711065374728E-3</v>
      </c>
      <c r="BA349" s="93">
        <f t="shared" ref="BA349" si="3283">AV348</f>
        <v>0.55555555555556801</v>
      </c>
      <c r="BB349" s="93">
        <f t="shared" si="2742"/>
        <v>-2.1138820884459551E-3</v>
      </c>
      <c r="BC349" s="93">
        <f t="shared" ref="BC349" si="3284">AS348</f>
        <v>2.0089345226310638E-3</v>
      </c>
      <c r="BD349" s="39">
        <f t="shared" si="2715"/>
        <v>1</v>
      </c>
    </row>
    <row r="350" spans="1:62" x14ac:dyDescent="0.15">
      <c r="A350" s="90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2">
        <f t="shared" si="176"/>
        <v>3364.1139600000001</v>
      </c>
      <c r="T350" s="92" t="str">
        <f t="shared" ref="T350" si="3285">IF(AVERAGE(N349)&lt;S349,"熊",IF(AVERAGE(N349)&gt;S349,"牛",""))</f>
        <v>牛</v>
      </c>
      <c r="U350" s="92">
        <f t="shared" ref="U350" si="3286">MAX(H350,O350)</f>
        <v>3395.35</v>
      </c>
      <c r="V350" s="92">
        <f t="shared" ref="V350" si="3287">MIN(I350,P350)</f>
        <v>3383.45</v>
      </c>
      <c r="W350" s="40">
        <f t="shared" ref="W350" si="3288">LN(U350/V350)</f>
        <v>3.5109494966781311E-3</v>
      </c>
      <c r="X350" s="92">
        <f t="shared" ref="X350" si="3289">IF(U350=H350,J350,Q350)</f>
        <v>1436</v>
      </c>
      <c r="Y350" s="92">
        <f t="shared" ref="Y350" si="3290">IF(V350=I350,K350,R350)</f>
        <v>1012</v>
      </c>
      <c r="Z350" s="93">
        <f t="shared" ref="Z350" si="3291">(U350-V350)/(C350)</f>
        <v>3.5160497328984336E-3</v>
      </c>
      <c r="AA350" s="93">
        <f t="shared" ref="AA350" si="3292">LN(C350/N349)</f>
        <v>-4.7854099085020132E-4</v>
      </c>
      <c r="AB350" s="93">
        <f t="shared" ref="AB350" si="3293">LN(N350/U350)</f>
        <v>-1.4235465211270245E-3</v>
      </c>
      <c r="AC350" s="93">
        <f t="shared" ref="AC350" si="3294">LN(N350/V350)</f>
        <v>2.0874029755511745E-3</v>
      </c>
      <c r="AD350" s="93">
        <f t="shared" ref="AD350" si="3295">LN(U350/C350)</f>
        <v>3.2065728237656997E-3</v>
      </c>
      <c r="AE350" s="93">
        <f t="shared" ref="AE350" si="3296">LN(V350/C350)</f>
        <v>-3.0437667291243836E-4</v>
      </c>
      <c r="AF350" s="93">
        <f t="shared" ref="AF350" si="3297">LN(N350/C350)</f>
        <v>1.7830263026387188E-3</v>
      </c>
      <c r="AG350" s="93">
        <f t="shared" ref="AG350" si="3298">LN(N350/N349)</f>
        <v>1.3044853117886114E-3</v>
      </c>
      <c r="AH350" s="93">
        <f t="shared" ref="AH350" si="3299">LN(D350/C350)</f>
        <v>-9.4553706575799159E-5</v>
      </c>
      <c r="AI350" s="93">
        <f t="shared" ref="AI350" si="3300">LN(E350/C350)</f>
        <v>1.7727824707702908E-5</v>
      </c>
      <c r="AJ350" s="93">
        <f t="shared" ref="AJ350" si="3301">LN(F350/C350)</f>
        <v>4.5786802680425207E-4</v>
      </c>
      <c r="AK350" s="93">
        <f t="shared" ref="AK350" si="3302">+LN(G350/C350)</f>
        <v>2.0071555907869008E-3</v>
      </c>
      <c r="AL350" s="93">
        <f t="shared" ref="AL350" si="3303">LN(H350/I350)</f>
        <v>2.4058874639201868E-3</v>
      </c>
      <c r="AM350" s="93">
        <f t="shared" ref="AM350" si="3304">LN(O350/P350)</f>
        <v>2.7073592962320249E-3</v>
      </c>
      <c r="AN350" s="93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3">
        <f t="shared" ref="AQ350" si="3308">LN(M350/L350)</f>
        <v>-5.6326981080302013E-4</v>
      </c>
      <c r="AR350" s="93">
        <f t="shared" ref="AR350" si="3309">LN(N350/L350)</f>
        <v>-3.9808976417706594E-4</v>
      </c>
      <c r="AS350" s="93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3">
        <f t="shared" si="2682"/>
        <v>1.7830263026387188E-3</v>
      </c>
      <c r="AX350" s="28">
        <f t="shared" si="2683"/>
        <v>-0.113445378151252</v>
      </c>
      <c r="AY350" s="93">
        <f t="shared" si="2684"/>
        <v>2.3115322636993885E-3</v>
      </c>
      <c r="AZ350" s="93">
        <f t="shared" si="2685"/>
        <v>1.2838127751050486E-3</v>
      </c>
      <c r="BA350" s="93">
        <f t="shared" ref="BA350" si="3310">AV349</f>
        <v>0.76584808680754057</v>
      </c>
      <c r="BB350" s="93">
        <f t="shared" si="2742"/>
        <v>8.2134072233147842E-4</v>
      </c>
      <c r="BC350" s="93">
        <f t="shared" ref="BC350" si="3311">AS349</f>
        <v>1.6834942291468562E-4</v>
      </c>
      <c r="BD350" s="39">
        <f t="shared" si="2715"/>
        <v>0</v>
      </c>
      <c r="BE350" s="92"/>
    </row>
    <row r="351" spans="1:62" x14ac:dyDescent="0.15">
      <c r="A351" s="90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2">
        <f t="shared" si="176"/>
        <v>3365.3779600000003</v>
      </c>
      <c r="T351" s="92" t="str">
        <f t="shared" ref="T351" si="3312">IF(AVERAGE(N350)&lt;S350,"熊",IF(AVERAGE(N350)&gt;S350,"牛",""))</f>
        <v>牛</v>
      </c>
      <c r="U351" s="92">
        <f t="shared" ref="U351" si="3313">MAX(H351,O351)</f>
        <v>3400.49</v>
      </c>
      <c r="V351" s="92">
        <f t="shared" ref="V351" si="3314">MIN(I351,P351)</f>
        <v>3374.83</v>
      </c>
      <c r="W351" s="40">
        <f t="shared" ref="W351" si="3315">LN(U351/V351)</f>
        <v>7.5745861997309812E-3</v>
      </c>
      <c r="X351" s="92">
        <f t="shared" ref="X351" si="3316">IF(U351=H351,J351,Q351)</f>
        <v>1046</v>
      </c>
      <c r="Y351" s="92">
        <f t="shared" ref="Y351" si="3317">IF(V351=I351,K351,R351)</f>
        <v>1332</v>
      </c>
      <c r="Z351" s="93">
        <f t="shared" ref="Z351" si="3318">(U351-V351)/(C351)</f>
        <v>7.5621831899091874E-3</v>
      </c>
      <c r="AA351" s="93">
        <f t="shared" ref="AA351" si="3319">LN(C351/N350)</f>
        <v>7.9012699210073256E-4</v>
      </c>
      <c r="AB351" s="93">
        <f t="shared" ref="AB351" si="3320">LN(N351/U351)</f>
        <v>-6.4965945948879137E-3</v>
      </c>
      <c r="AC351" s="93">
        <f t="shared" ref="AC351" si="3321">LN(N351/V351)</f>
        <v>1.0779916048430486E-3</v>
      </c>
      <c r="AD351" s="93">
        <f t="shared" ref="AD351" si="3322">LN(U351/C351)</f>
        <v>2.146109933781505E-3</v>
      </c>
      <c r="AE351" s="93">
        <f t="shared" ref="AE351" si="3323">LN(V351/C351)</f>
        <v>-5.4284762659494888E-3</v>
      </c>
      <c r="AF351" s="93">
        <f t="shared" ref="AF351" si="3324">LN(N351/C351)</f>
        <v>-4.3504846611065002E-3</v>
      </c>
      <c r="AG351" s="93">
        <f t="shared" ref="AG351" si="3325">LN(N351/N350)</f>
        <v>-3.5603576690057216E-3</v>
      </c>
      <c r="AH351" s="93">
        <f t="shared" ref="AH351" si="3326">LN(D351/C351)</f>
        <v>-1.011356468438477E-3</v>
      </c>
      <c r="AI351" s="93">
        <f t="shared" ref="AI351" si="3327">LN(E351/C351)</f>
        <v>-1.3418169622386592E-3</v>
      </c>
      <c r="AJ351" s="93">
        <f t="shared" ref="AJ351" si="3328">LN(F351/C351)</f>
        <v>-6.6331082965341299E-4</v>
      </c>
      <c r="AK351" s="93">
        <f t="shared" ref="AK351" si="3329">+LN(G351/C351)</f>
        <v>-1.6517228861356969E-3</v>
      </c>
      <c r="AL351" s="93">
        <f t="shared" ref="AL351" si="3330">LN(H351/I351)</f>
        <v>3.8745862672176857E-3</v>
      </c>
      <c r="AM351" s="93">
        <f t="shared" ref="AM351" si="3331">LN(O351/P351)</f>
        <v>3.8387422484039628E-3</v>
      </c>
      <c r="AN351" s="93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3">
        <f t="shared" ref="AQ351" si="3335">LN(M351/L351)</f>
        <v>-3.5171045430258007E-4</v>
      </c>
      <c r="AR351" s="93">
        <f t="shared" ref="AR351" si="3336">LN(N351/L351)</f>
        <v>-1.6532277929112616E-3</v>
      </c>
      <c r="AS351" s="93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3">
        <f t="shared" si="2682"/>
        <v>-4.3504846611065002E-3</v>
      </c>
      <c r="AX351" s="28">
        <f t="shared" si="2683"/>
        <v>-0.21784879189400536</v>
      </c>
      <c r="AY351" s="93">
        <f t="shared" si="2684"/>
        <v>7.675344730061937E-5</v>
      </c>
      <c r="AZ351" s="93">
        <f t="shared" si="2685"/>
        <v>1.0779916048430486E-3</v>
      </c>
      <c r="BA351" s="93">
        <f t="shared" ref="BA351" si="3337">AV350</f>
        <v>0.59411764705883274</v>
      </c>
      <c r="BB351" s="93">
        <f t="shared" si="2742"/>
        <v>-3.9808976417706594E-4</v>
      </c>
      <c r="BC351" s="93">
        <f t="shared" ref="BC351" si="3338">AS350</f>
        <v>1.7830263026387188E-3</v>
      </c>
      <c r="BD351" s="39">
        <f t="shared" si="2715"/>
        <v>1</v>
      </c>
    </row>
    <row r="352" spans="1:62" x14ac:dyDescent="0.15">
      <c r="A352" s="90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2">
        <f t="shared" si="176"/>
        <v>3365.4179600000002</v>
      </c>
      <c r="T352" s="92" t="str">
        <f t="shared" ref="T352" si="3339">IF(AVERAGE(N351)&lt;S351,"熊",IF(AVERAGE(N351)&gt;S351,"牛",""))</f>
        <v>牛</v>
      </c>
      <c r="U352" s="92">
        <f t="shared" ref="U352" si="3340">MAX(H352,O352)</f>
        <v>3382.35</v>
      </c>
      <c r="V352" s="92">
        <f t="shared" ref="V352" si="3341">MIN(I352,P352)</f>
        <v>3365.71</v>
      </c>
      <c r="W352" s="40">
        <f t="shared" ref="W352" si="3342">LN(U352/V352)</f>
        <v>4.9317977988832858E-3</v>
      </c>
      <c r="X352" s="92">
        <f t="shared" ref="X352" si="3343">IF(U352=H352,J352,Q352)</f>
        <v>1335</v>
      </c>
      <c r="Y352" s="92">
        <f t="shared" ref="Y352" si="3344">IF(V352=I352,K352,R352)</f>
        <v>1026</v>
      </c>
      <c r="Z352" s="93">
        <f t="shared" ref="Z352" si="3345">(U352-V352)/(C352)</f>
        <v>4.9329574324904835E-3</v>
      </c>
      <c r="AA352" s="93">
        <f t="shared" ref="AA352" si="3346">LN(C352/N351)</f>
        <v>-1.5522019793753788E-3</v>
      </c>
      <c r="AB352" s="93">
        <f t="shared" ref="AB352" si="3347">LN(N352/U352)</f>
        <v>-3.0528317160377926E-3</v>
      </c>
      <c r="AC352" s="93">
        <f t="shared" ref="AC352" si="3348">LN(N352/V352)</f>
        <v>1.8789660828453822E-3</v>
      </c>
      <c r="AD352" s="93">
        <f t="shared" ref="AD352" si="3349">LN(U352/C352)</f>
        <v>2.6999918705324349E-3</v>
      </c>
      <c r="AE352" s="93">
        <f t="shared" ref="AE352" si="3350">LN(V352/C352)</f>
        <v>-2.2318059283507096E-3</v>
      </c>
      <c r="AF352" s="93">
        <f t="shared" ref="AF352" si="3351">LN(N352/C352)</f>
        <v>-3.5283984550538763E-4</v>
      </c>
      <c r="AG352" s="93">
        <f t="shared" ref="AG352" si="3352">LN(N352/N351)</f>
        <v>-1.9050418248806437E-3</v>
      </c>
      <c r="AH352" s="93">
        <f t="shared" ref="AH352" si="3353">LN(D352/C352)</f>
        <v>-2.4015476755925717E-4</v>
      </c>
      <c r="AI352" s="93">
        <f t="shared" ref="AI352" si="3354">LN(E352/C352)</f>
        <v>7.2308082985732139E-4</v>
      </c>
      <c r="AJ352" s="93">
        <f t="shared" ref="AJ352" si="3355">LN(F352/C352)</f>
        <v>6.2531768026549434E-4</v>
      </c>
      <c r="AK352" s="93">
        <f t="shared" ref="AK352" si="3356">+LN(G352/C352)</f>
        <v>2.2978237055930142E-3</v>
      </c>
      <c r="AL352" s="93">
        <f t="shared" ref="AL352" si="3357">LN(H352/I352)</f>
        <v>4.6065272300446405E-3</v>
      </c>
      <c r="AM352" s="93">
        <f t="shared" ref="AM352" si="3358">LN(O352/P352)</f>
        <v>3.6579898172228753E-3</v>
      </c>
      <c r="AN352" s="93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3">
        <f t="shared" ref="AQ352" si="3362">LN(M352/L352)</f>
        <v>-5.235826781210042E-4</v>
      </c>
      <c r="AR352" s="93">
        <f t="shared" ref="AR352" si="3363">LN(N352/L352)</f>
        <v>-2.7837518050735674E-3</v>
      </c>
      <c r="AS352" s="93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3">
        <f t="shared" si="2682"/>
        <v>-3.5283984550538763E-4</v>
      </c>
      <c r="AX352" s="28">
        <f t="shared" si="2683"/>
        <v>-0.56490384615385592</v>
      </c>
      <c r="AY352" s="93">
        <f t="shared" si="2684"/>
        <v>4.5296296339437242E-3</v>
      </c>
      <c r="AZ352" s="93">
        <f t="shared" si="2685"/>
        <v>6.0515810118498049E-4</v>
      </c>
      <c r="BA352" s="93">
        <f t="shared" ref="BA352" si="3364">AV351</f>
        <v>0.14185502727980878</v>
      </c>
      <c r="BB352" s="93">
        <f t="shared" si="2742"/>
        <v>-1.6532277929112616E-3</v>
      </c>
      <c r="BC352" s="93">
        <f t="shared" ref="BC352" si="3365">AS351</f>
        <v>-4.3504846611065002E-3</v>
      </c>
      <c r="BD352" s="39">
        <f t="shared" si="2715"/>
        <v>1</v>
      </c>
      <c r="BE352" s="92" t="s">
        <v>500</v>
      </c>
    </row>
    <row r="353" spans="1:58" x14ac:dyDescent="0.15">
      <c r="A353" s="90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2">
        <f t="shared" si="176"/>
        <v>3365.0459599999995</v>
      </c>
      <c r="T353" s="92" t="str">
        <f t="shared" ref="T353" si="3366">IF(AVERAGE(N352)&lt;S352,"熊",IF(AVERAGE(N352)&gt;S352,"牛",""))</f>
        <v>牛</v>
      </c>
      <c r="U353" s="92">
        <f t="shared" ref="U353" si="3367">MAX(H353,O353)</f>
        <v>3382.61</v>
      </c>
      <c r="V353" s="92">
        <f t="shared" ref="V353" si="3368">MIN(I353,P353)</f>
        <v>3372</v>
      </c>
      <c r="W353" s="40">
        <f t="shared" ref="W353" si="3369">LN(U353/V353)</f>
        <v>3.1415607196260973E-3</v>
      </c>
      <c r="X353" s="92">
        <f t="shared" ref="X353" si="3370">IF(U353=H353,J353,Q353)</f>
        <v>1458</v>
      </c>
      <c r="Y353" s="92">
        <f t="shared" ref="Y353" si="3371">IF(V353=I353,K353,R353)</f>
        <v>1431</v>
      </c>
      <c r="Z353" s="93">
        <f t="shared" ref="Z353" si="3372">(U353-V353)/(C353)</f>
        <v>3.1450735579645435E-3</v>
      </c>
      <c r="AA353" s="93">
        <f t="shared" ref="AA353" si="3373">LN(C353/N352)</f>
        <v>4.4177142160939988E-4</v>
      </c>
      <c r="AB353" s="93">
        <f t="shared" ref="AB353" si="3374">LN(N353/U353)</f>
        <v>-2.4244574656049036E-4</v>
      </c>
      <c r="AC353" s="93">
        <f t="shared" ref="AC353" si="3375">LN(N353/V353)</f>
        <v>2.8991149730655088E-3</v>
      </c>
      <c r="AD353" s="93">
        <f t="shared" ref="AD353" si="3376">LN(U353/C353)</f>
        <v>2.6879269721703349E-3</v>
      </c>
      <c r="AE353" s="93">
        <f t="shared" ref="AE353" si="3377">LN(V353/C353)</f>
        <v>-4.5363374745580097E-4</v>
      </c>
      <c r="AF353" s="93">
        <f t="shared" ref="AF353" si="3378">LN(N353/C353)</f>
        <v>2.4454812256098956E-3</v>
      </c>
      <c r="AG353" s="93">
        <f t="shared" ref="AG353" si="3379">LN(N353/N352)</f>
        <v>2.8872526472191198E-3</v>
      </c>
      <c r="AH353" s="93">
        <f t="shared" ref="AH353" si="3380">LN(D353/C353)</f>
        <v>8.918426622267306E-4</v>
      </c>
      <c r="AI353" s="93">
        <f t="shared" ref="AI353" si="3381">LN(E353/C353)</f>
        <v>1.1109779080466897E-3</v>
      </c>
      <c r="AJ353" s="93">
        <f t="shared" ref="AJ353" si="3382">LN(F353/C353)</f>
        <v>8.5334097036865572E-4</v>
      </c>
      <c r="AK353" s="93">
        <f t="shared" ref="AK353" si="3383">+LN(G353/C353)</f>
        <v>2.3035344849712935E-3</v>
      </c>
      <c r="AL353" s="93">
        <f t="shared" ref="AL353" si="3384">LN(H353/I353)</f>
        <v>2.4898354502831204E-3</v>
      </c>
      <c r="AM353" s="93">
        <f t="shared" ref="AM353" si="3385">LN(O353/P353)</f>
        <v>3.1415607196260973E-3</v>
      </c>
      <c r="AN353" s="93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3">
        <f t="shared" ref="AQ353" si="3389">LN(M353/L353)</f>
        <v>-1.3901274355159726E-4</v>
      </c>
      <c r="AR353" s="93">
        <f t="shared" ref="AR353" si="3390">LN(N353/L353)</f>
        <v>1.6856399779090252E-4</v>
      </c>
      <c r="AS353" s="93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3">
        <f t="shared" si="2682"/>
        <v>2.4454812256098956E-3</v>
      </c>
      <c r="AX353" s="28">
        <f t="shared" si="2683"/>
        <v>5.3722902921786699E-2</v>
      </c>
      <c r="AY353" s="93">
        <f t="shared" si="2684"/>
        <v>2.3035344849712935E-3</v>
      </c>
      <c r="AZ353" s="93">
        <f t="shared" si="2685"/>
        <v>2.8991149730655088E-3</v>
      </c>
      <c r="BA353" s="93">
        <f t="shared" ref="BA353" si="3391">AV352</f>
        <v>0.38040865384615241</v>
      </c>
      <c r="BB353" s="93">
        <f t="shared" si="2742"/>
        <v>-2.7837518050735674E-3</v>
      </c>
      <c r="BC353" s="93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x14ac:dyDescent="0.15">
      <c r="A354" s="90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2">
        <f t="shared" si="176"/>
        <v>3364.8585849999995</v>
      </c>
      <c r="T354" s="92" t="str">
        <f t="shared" ref="T354" si="3393">IF(AVERAGE(N353)&lt;S353,"熊",IF(AVERAGE(N353)&gt;S353,"牛",""))</f>
        <v>牛</v>
      </c>
      <c r="U354" s="92">
        <f t="shared" ref="U354" si="3394">MAX(H354,O354)</f>
        <v>3378.58</v>
      </c>
      <c r="V354" s="92">
        <f t="shared" ref="V354" si="3395">MIN(I354,P354)</f>
        <v>3359.76</v>
      </c>
      <c r="W354" s="40">
        <f t="shared" ref="W354" si="3396">LN(U354/V354)</f>
        <v>5.5859600247538119E-3</v>
      </c>
      <c r="X354" s="92">
        <f t="shared" ref="X354" si="3397">IF(U354=H354,J354,Q354)</f>
        <v>935</v>
      </c>
      <c r="Y354" s="92">
        <f t="shared" ref="Y354" si="3398">IF(V354=I354,K354,R354)</f>
        <v>1421</v>
      </c>
      <c r="Z354" s="93">
        <f t="shared" ref="Z354" si="3399">(U354-V354)/(C354)</f>
        <v>5.5768911646871099E-3</v>
      </c>
      <c r="AA354" s="93">
        <f t="shared" ref="AA354" si="3400">LN(C354/N353)</f>
        <v>-2.1165031441416219E-3</v>
      </c>
      <c r="AB354" s="93">
        <f t="shared" ref="AB354" si="3401">LN(N354/U354)</f>
        <v>-2.4923146814797795E-3</v>
      </c>
      <c r="AC354" s="93">
        <f t="shared" ref="AC354" si="3402">LN(N354/V354)</f>
        <v>3.0936453432739886E-3</v>
      </c>
      <c r="AD354" s="93">
        <f t="shared" ref="AD354" si="3403">LN(U354/C354)</f>
        <v>1.1668509087634025E-3</v>
      </c>
      <c r="AE354" s="93">
        <f t="shared" ref="AE354" si="3404">LN(V354/C354)</f>
        <v>-4.4191091159905089E-3</v>
      </c>
      <c r="AF354" s="93">
        <f t="shared" ref="AF354" si="3405">LN(N354/C354)</f>
        <v>-1.3254637727164844E-3</v>
      </c>
      <c r="AG354" s="93">
        <f t="shared" ref="AG354" si="3406">LN(N354/N353)</f>
        <v>-3.4419669168581279E-3</v>
      </c>
      <c r="AH354" s="93">
        <f t="shared" ref="AH354" si="3407">LN(D354/C354)</f>
        <v>-2.8155114117872279E-4</v>
      </c>
      <c r="AI354" s="93">
        <f t="shared" ref="AI354" si="3408">LN(E354/C354)</f>
        <v>1.1668509087634025E-3</v>
      </c>
      <c r="AJ354" s="93">
        <f t="shared" ref="AJ354" si="3409">LN(F354/C354)</f>
        <v>-5.9267337195107435E-5</v>
      </c>
      <c r="AK354" s="93">
        <f t="shared" ref="AK354" si="3410">+LN(G354/C354)</f>
        <v>-1.3195293715866174E-3</v>
      </c>
      <c r="AL354" s="93">
        <f t="shared" ref="AL354" si="3411">LN(H354/I354)</f>
        <v>4.7618360560534156E-3</v>
      </c>
      <c r="AM354" s="93">
        <f t="shared" ref="AM354" si="3412">LN(O354/P354)</f>
        <v>3.8203475267379354E-3</v>
      </c>
      <c r="AN354" s="93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3">
        <f t="shared" ref="AQ354" si="3416">LN(M354/L354)</f>
        <v>-1.0540772233810388E-3</v>
      </c>
      <c r="AR354" s="93">
        <f t="shared" ref="AR354" si="3417">LN(N354/L354)</f>
        <v>1.5430679188231314E-4</v>
      </c>
      <c r="AS354" s="93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3">
        <f t="shared" si="2682"/>
        <v>-1.3254637727164844E-3</v>
      </c>
      <c r="AX354" s="28">
        <f t="shared" si="2683"/>
        <v>2.7630180658872999E-2</v>
      </c>
      <c r="AY354" s="93">
        <f t="shared" si="2684"/>
        <v>2.2754557757035132E-3</v>
      </c>
      <c r="AZ354" s="93">
        <f t="shared" si="2685"/>
        <v>3.0936453432739886E-3</v>
      </c>
      <c r="BA354" s="93">
        <f t="shared" ref="BA354" si="3418">AV353</f>
        <v>0.92271442035813822</v>
      </c>
      <c r="BB354" s="93">
        <f t="shared" si="2742"/>
        <v>1.6856399779090252E-4</v>
      </c>
      <c r="BC354" s="93">
        <f t="shared" ref="BC354" si="3419">AS353</f>
        <v>2.4454812256098956E-3</v>
      </c>
      <c r="BD354" s="39">
        <f t="shared" si="2715"/>
        <v>0</v>
      </c>
      <c r="BE354" s="92"/>
      <c r="BF354" s="92"/>
    </row>
    <row r="355" spans="1:58" x14ac:dyDescent="0.15">
      <c r="A355" s="90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2">
        <f t="shared" si="176"/>
        <v>3364.7955849999998</v>
      </c>
      <c r="T355" s="92" t="str">
        <f t="shared" ref="T355" si="3420">IF(AVERAGE(N354)&lt;S354,"熊",IF(AVERAGE(N354)&gt;S354,"牛",""))</f>
        <v>牛</v>
      </c>
      <c r="U355" s="92">
        <f t="shared" ref="U355" si="3421">MAX(H355,O355)</f>
        <v>3379.49</v>
      </c>
      <c r="V355" s="92">
        <f t="shared" ref="V355" si="3422">MIN(I355,P355)</f>
        <v>3360.56</v>
      </c>
      <c r="W355" s="40">
        <f t="shared" ref="W355" si="3423">LN(U355/V355)</f>
        <v>5.6171837818540828E-3</v>
      </c>
      <c r="X355" s="92">
        <f t="shared" ref="X355" si="3424">IF(U355=H355,J355,Q355)</f>
        <v>1459</v>
      </c>
      <c r="Y355" s="92">
        <f t="shared" ref="Y355" si="3425">IF(V355=I355,K355,R355)</f>
        <v>945</v>
      </c>
      <c r="Z355" s="93">
        <f t="shared" ref="Z355" si="3426">(U355-V355)/(C355)</f>
        <v>5.6280492699590113E-3</v>
      </c>
      <c r="AA355" s="93">
        <f t="shared" ref="AA355" si="3427">LN(C355/N354)</f>
        <v>-1.9781166232087973E-3</v>
      </c>
      <c r="AB355" s="93">
        <f t="shared" ref="AB355" si="3428">LN(N355/U355)</f>
        <v>-2.5154887653304714E-4</v>
      </c>
      <c r="AC355" s="93">
        <f t="shared" ref="AC355" si="3429">LN(N355/V355)</f>
        <v>5.3656349053209052E-3</v>
      </c>
      <c r="AD355" s="93">
        <f t="shared" ref="AD355" si="3430">LN(U355/C355)</f>
        <v>4.7397389636799209E-3</v>
      </c>
      <c r="AE355" s="93">
        <f t="shared" ref="AE355" si="3431">LN(V355/C355)</f>
        <v>-8.7744481817403634E-4</v>
      </c>
      <c r="AF355" s="93">
        <f t="shared" ref="AF355" si="3432">LN(N355/C355)</f>
        <v>4.4881900871470625E-3</v>
      </c>
      <c r="AG355" s="93">
        <f t="shared" ref="AG355" si="3433">LN(N355/N354)</f>
        <v>2.5100734639381867E-3</v>
      </c>
      <c r="AH355" s="93">
        <f t="shared" ref="AH355" si="3434">LN(D355/C355)</f>
        <v>5.9459925514110799E-5</v>
      </c>
      <c r="AI355" s="93">
        <f t="shared" ref="AI355" si="3435">LN(E355/C355)</f>
        <v>1.0222184812171394E-3</v>
      </c>
      <c r="AJ355" s="93">
        <f t="shared" ref="AJ355" si="3436">LN(F355/C355)</f>
        <v>2.7943091401132843E-4</v>
      </c>
      <c r="AK355" s="93">
        <f t="shared" ref="AK355" si="3437">+LN(G355/C355)</f>
        <v>2.1650333434535306E-3</v>
      </c>
      <c r="AL355" s="93">
        <f t="shared" ref="AL355" si="3438">LN(H355/I355)</f>
        <v>3.1492720317608338E-3</v>
      </c>
      <c r="AM355" s="93">
        <f t="shared" ref="AM355" si="3439">LN(O355/P355)</f>
        <v>3.0108989943325899E-3</v>
      </c>
      <c r="AN355" s="93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3">
        <f t="shared" ref="AQ355" si="3443">LN(M355/L355)</f>
        <v>2.0453929078384679E-4</v>
      </c>
      <c r="AR355" s="93">
        <f t="shared" ref="AR355" si="3444">LN(N355/L355)</f>
        <v>1.6440234577067248E-3</v>
      </c>
      <c r="AS355" s="93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3">
        <f t="shared" si="2682"/>
        <v>4.4881900871470625E-3</v>
      </c>
      <c r="AX355" s="28">
        <f t="shared" si="2683"/>
        <v>0.29318541996829239</v>
      </c>
      <c r="AY355" s="93">
        <f t="shared" si="2684"/>
        <v>3.0424781616275646E-3</v>
      </c>
      <c r="AZ355" s="93">
        <f t="shared" si="2685"/>
        <v>2.7593501177997325E-3</v>
      </c>
      <c r="BA355" s="93">
        <f t="shared" ref="BA355" si="3445">AV354</f>
        <v>0.55313496280552688</v>
      </c>
      <c r="BB355" s="93">
        <f t="shared" si="2742"/>
        <v>1.5430679188231314E-4</v>
      </c>
      <c r="BC355" s="93">
        <f t="shared" ref="BC355" si="3446">AS354</f>
        <v>-1.3254637727164844E-3</v>
      </c>
      <c r="BD355" s="39">
        <f t="shared" si="2715"/>
        <v>0</v>
      </c>
      <c r="BE355" s="92"/>
    </row>
    <row r="356" spans="1:58" x14ac:dyDescent="0.15">
      <c r="A356" s="90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2">
        <f t="shared" si="176"/>
        <v>3366.0441549999996</v>
      </c>
      <c r="T356" s="92" t="str">
        <f t="shared" ref="T356" si="3447">IF(AVERAGE(N355)&lt;S355,"熊",IF(AVERAGE(N355)&gt;S355,"牛",""))</f>
        <v>牛</v>
      </c>
      <c r="U356" s="92">
        <f t="shared" ref="U356" si="3448">MAX(H356,O356)</f>
        <v>3384.93</v>
      </c>
      <c r="V356" s="92">
        <f t="shared" ref="V356" si="3449">MIN(I356,P356)</f>
        <v>3374.77</v>
      </c>
      <c r="W356" s="40">
        <f t="shared" ref="W356" si="3450">LN(U356/V356)</f>
        <v>3.0060528280183639E-3</v>
      </c>
      <c r="X356" s="92">
        <f t="shared" ref="X356" si="3451">IF(U356=H356,J356,Q356)</f>
        <v>937</v>
      </c>
      <c r="Y356" s="92">
        <f t="shared" ref="Y356" si="3452">IF(V356=I356,K356,R356)</f>
        <v>1014</v>
      </c>
      <c r="Z356" s="93">
        <f t="shared" ref="Z356" si="3453">(U356-V356)/(C356)</f>
        <v>3.0038908665160347E-3</v>
      </c>
      <c r="AA356" s="93">
        <f t="shared" ref="AA356" si="3454">LN(C356/N355)</f>
        <v>1.076776637410047E-3</v>
      </c>
      <c r="AB356" s="93">
        <f t="shared" ref="AB356" si="3455">LN(N356/U356)</f>
        <v>-1.2533960095562531E-3</v>
      </c>
      <c r="AC356" s="93">
        <f t="shared" ref="AC356" si="3456">LN(N356/V356)</f>
        <v>1.7526568184622151E-3</v>
      </c>
      <c r="AD356" s="93">
        <f t="shared" ref="AD356" si="3457">LN(U356/C356)</f>
        <v>7.8318838500808399E-4</v>
      </c>
      <c r="AE356" s="93">
        <f t="shared" ref="AE356" si="3458">LN(V356/C356)</f>
        <v>-2.2228644430102897E-3</v>
      </c>
      <c r="AF356" s="93">
        <f t="shared" ref="AF356" si="3459">LN(N356/C356)</f>
        <v>-4.7020762454817104E-4</v>
      </c>
      <c r="AG356" s="93">
        <f t="shared" ref="AG356" si="3460">LN(N356/N355)</f>
        <v>6.065690128619519E-4</v>
      </c>
      <c r="AH356" s="93">
        <f t="shared" ref="AH356" si="3461">LN(D356/C356)</f>
        <v>-2.6021337643575092E-4</v>
      </c>
      <c r="AI356" s="93">
        <f t="shared" ref="AI356" si="3462">LN(E356/C356)</f>
        <v>1.9215959356766354E-4</v>
      </c>
      <c r="AJ356" s="93">
        <f t="shared" ref="AJ356" si="3463">LN(F356/C356)</f>
        <v>-8.5744655425694889E-5</v>
      </c>
      <c r="AK356" s="93">
        <f t="shared" ref="AK356" si="3464">+LN(G356/C356)</f>
        <v>-9.7023056501190129E-4</v>
      </c>
      <c r="AL356" s="93">
        <f t="shared" ref="AL356" si="3465">LN(H356/I356)</f>
        <v>3.0060528280183639E-3</v>
      </c>
      <c r="AM356" s="93">
        <f t="shared" ref="AM356" si="3466">LN(O356/P356)</f>
        <v>2.3312309570601951E-3</v>
      </c>
      <c r="AN356" s="93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3">
        <f t="shared" ref="AQ356" si="3470">LN(M356/L356)</f>
        <v>7.1019154487636759E-5</v>
      </c>
      <c r="AR356" s="93">
        <f t="shared" ref="AR356" si="3471">LN(N356/L356)</f>
        <v>4.2603929081654605E-4</v>
      </c>
      <c r="AS356" s="93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3">
        <f t="shared" si="2682"/>
        <v>-4.7020762454817104E-4</v>
      </c>
      <c r="AX356" s="28">
        <f t="shared" si="2683"/>
        <v>0.14173228346457434</v>
      </c>
      <c r="AY356" s="93">
        <f t="shared" si="2684"/>
        <v>1.2526338779984354E-3</v>
      </c>
      <c r="AZ356" s="93">
        <f t="shared" si="2685"/>
        <v>1.3142045479283028E-3</v>
      </c>
      <c r="BA356" s="93">
        <f t="shared" ref="BA356" si="3472">AV355</f>
        <v>0.95509772847332719</v>
      </c>
      <c r="BB356" s="93">
        <f t="shared" si="2742"/>
        <v>1.6440234577067248E-3</v>
      </c>
      <c r="BC356" s="93">
        <f t="shared" ref="BC356" si="3473">AS355</f>
        <v>4.4881900871470625E-3</v>
      </c>
      <c r="BD356" s="39">
        <f t="shared" si="2715"/>
        <v>0</v>
      </c>
    </row>
    <row r="357" spans="1:58" x14ac:dyDescent="0.15">
      <c r="A357" s="90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2">
        <f t="shared" si="176"/>
        <v>3366.9176949999992</v>
      </c>
      <c r="T357" s="92" t="str">
        <f t="shared" ref="T357" si="3474">IF(AVERAGE(N356)&lt;S356,"熊",IF(AVERAGE(N356)&gt;S356,"牛",""))</f>
        <v>牛</v>
      </c>
      <c r="U357" s="92">
        <f t="shared" ref="U357" si="3475">MAX(H357,O357)</f>
        <v>3388.64</v>
      </c>
      <c r="V357" s="92">
        <f t="shared" ref="V357" si="3476">MIN(I357,P357)</f>
        <v>3374.19</v>
      </c>
      <c r="W357" s="40">
        <f t="shared" ref="W357" si="3477">LN(U357/V357)</f>
        <v>4.273365437269909E-3</v>
      </c>
      <c r="X357" s="92">
        <f t="shared" ref="X357" si="3478">IF(U357=H357,J357,Q357)</f>
        <v>1459</v>
      </c>
      <c r="Y357" s="92">
        <f t="shared" ref="Y357" si="3479">IF(V357=I357,K357,R357)</f>
        <v>932</v>
      </c>
      <c r="Z357" s="93">
        <f t="shared" ref="Z357" si="3480">(U357-V357)/(C357)</f>
        <v>4.2794653777923344E-3</v>
      </c>
      <c r="AA357" s="93">
        <f t="shared" ref="AA357" si="3481">LN(C357/N356)</f>
        <v>-1.2135061750104346E-3</v>
      </c>
      <c r="AB357" s="93">
        <f t="shared" ref="AB357" si="3482">LN(N357/U357)</f>
        <v>-1.1804842360044615E-4</v>
      </c>
      <c r="AC357" s="93">
        <f t="shared" ref="AC357" si="3483">LN(N357/V357)</f>
        <v>4.1553170136694852E-3</v>
      </c>
      <c r="AD357" s="93">
        <f t="shared" ref="AD357" si="3484">LN(U357/C357)</f>
        <v>3.5623364595480538E-3</v>
      </c>
      <c r="AE357" s="93">
        <f t="shared" ref="AE357" si="3485">LN(V357/C357)</f>
        <v>-7.1102897772182835E-4</v>
      </c>
      <c r="AF357" s="93">
        <f t="shared" ref="AF357" si="3486">LN(N357/C357)</f>
        <v>3.4442880359475672E-3</v>
      </c>
      <c r="AG357" s="93">
        <f t="shared" ref="AG357" si="3487">LN(N357/N356)</f>
        <v>2.230781860937192E-3</v>
      </c>
      <c r="AH357" s="93">
        <f t="shared" ref="AH357" si="3488">LN(D357/C357)</f>
        <v>-5.2433492871910292E-4</v>
      </c>
      <c r="AI357" s="93">
        <f t="shared" ref="AI357" si="3489">LN(E357/C357)</f>
        <v>4.3525571960271564E-4</v>
      </c>
      <c r="AJ357" s="93">
        <f t="shared" ref="AJ357" si="3490">LN(F357/C357)</f>
        <v>1.036011861758086E-3</v>
      </c>
      <c r="AK357" s="93">
        <f t="shared" ref="AK357" si="3491">+LN(G357/C357)</f>
        <v>2.1034608342375954E-3</v>
      </c>
      <c r="AL357" s="93">
        <f t="shared" ref="AL357" si="3492">LN(H357/I357)</f>
        <v>3.8542304431028042E-3</v>
      </c>
      <c r="AM357" s="93">
        <f t="shared" ref="AM357" si="3493">LN(O357/P357)</f>
        <v>2.7541551342807513E-3</v>
      </c>
      <c r="AN357" s="93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3">
        <f t="shared" ref="AQ357" si="3497">LN(M357/L357)</f>
        <v>-2.5722788314669933E-4</v>
      </c>
      <c r="AR357" s="93">
        <f t="shared" ref="AR357" si="3498">LN(N357/L357)</f>
        <v>1.6511865559935481E-3</v>
      </c>
      <c r="AS357" s="93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3">
        <f t="shared" si="2682"/>
        <v>3.4442880359475672E-3</v>
      </c>
      <c r="AX357" s="28">
        <f t="shared" si="2683"/>
        <v>0.3868512110726478</v>
      </c>
      <c r="AY357" s="93">
        <f t="shared" si="2684"/>
        <v>2.8144898119593299E-3</v>
      </c>
      <c r="AZ357" s="93">
        <f t="shared" si="2685"/>
        <v>2.6361067106802256E-3</v>
      </c>
      <c r="BA357" s="93">
        <f t="shared" ref="BA357" si="3499">AV356</f>
        <v>0.58267716535434622</v>
      </c>
      <c r="BB357" s="93">
        <f t="shared" si="2742"/>
        <v>4.2603929081654605E-4</v>
      </c>
      <c r="BC357" s="93">
        <f t="shared" ref="BC357" si="3500">AS356</f>
        <v>-4.7020762454817104E-4</v>
      </c>
      <c r="BD357" s="39">
        <f t="shared" si="2715"/>
        <v>0</v>
      </c>
    </row>
    <row r="358" spans="1:58" x14ac:dyDescent="0.15">
      <c r="A358" s="90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2">
        <f t="shared" si="176"/>
        <v>3368.4969649999998</v>
      </c>
      <c r="T358" s="92" t="str">
        <f t="shared" ref="T358" si="3501">IF(AVERAGE(N357)&lt;S357,"熊",IF(AVERAGE(N357)&gt;S357,"牛",""))</f>
        <v>牛</v>
      </c>
      <c r="U358" s="92">
        <f t="shared" ref="U358" si="3502">MAX(H358,O358)</f>
        <v>3398.3</v>
      </c>
      <c r="V358" s="92">
        <f t="shared" ref="V358" si="3503">MIN(I358,P358)</f>
        <v>3382.13</v>
      </c>
      <c r="W358" s="40">
        <f t="shared" ref="W358" si="3504">LN(U358/V358)</f>
        <v>4.7696180491832024E-3</v>
      </c>
      <c r="X358" s="92">
        <f t="shared" ref="X358" si="3505">IF(U358=H358,J358,Q358)</f>
        <v>1459</v>
      </c>
      <c r="Y358" s="92">
        <f t="shared" ref="Y358" si="3506">IF(V358=I358,K358,R358)</f>
        <v>942</v>
      </c>
      <c r="Z358" s="93">
        <f t="shared" ref="Z358" si="3507">(U358-V358)/(C358)</f>
        <v>4.7771688553407306E-3</v>
      </c>
      <c r="AA358" s="93">
        <f t="shared" ref="AA358" si="3508">LN(C358/N357)</f>
        <v>-1.0010202974053261E-3</v>
      </c>
      <c r="AB358" s="93">
        <f t="shared" ref="AB358" si="3509">LN(N358/U358)</f>
        <v>-4.149994393789463E-4</v>
      </c>
      <c r="AC358" s="93">
        <f t="shared" ref="AC358" si="3510">LN(N358/V358)</f>
        <v>4.3546186098042707E-3</v>
      </c>
      <c r="AD358" s="93">
        <f t="shared" ref="AD358" si="3511">LN(U358/C358)</f>
        <v>3.9657143442849456E-3</v>
      </c>
      <c r="AE358" s="93">
        <f t="shared" ref="AE358" si="3512">LN(V358/C358)</f>
        <v>-8.0390370489807699E-4</v>
      </c>
      <c r="AF358" s="93">
        <f t="shared" ref="AF358" si="3513">LN(N358/C358)</f>
        <v>3.5507149049060454E-3</v>
      </c>
      <c r="AG358" s="93">
        <f t="shared" ref="AG358" si="3514">LN(N358/N357)</f>
        <v>2.5496946075007983E-3</v>
      </c>
      <c r="AH358" s="93">
        <f t="shared" ref="AH358" si="3515">LN(D358/C358)</f>
        <v>-4.0187106980548121E-4</v>
      </c>
      <c r="AI358" s="93">
        <f t="shared" ref="AI358" si="3516">LN(E358/C358)</f>
        <v>1.9201370741462001E-4</v>
      </c>
      <c r="AJ358" s="93">
        <f t="shared" ref="AJ358" si="3517">LN(F358/C358)</f>
        <v>-2.3342015290113294E-4</v>
      </c>
      <c r="AK358" s="93">
        <f t="shared" ref="AK358" si="3518">+LN(G358/C358)</f>
        <v>2.2811016423253325E-3</v>
      </c>
      <c r="AL358" s="93">
        <f t="shared" ref="AL358" si="3519">LN(H358/I358)</f>
        <v>4.2103586118210218E-3</v>
      </c>
      <c r="AM358" s="93">
        <f t="shared" ref="AM358" si="3520">LN(O358/P358)</f>
        <v>3.6555566783195909E-3</v>
      </c>
      <c r="AN358" s="93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3">
        <f t="shared" ref="AQ358" si="3524">LN(M358/L358)</f>
        <v>1.2965926153651238E-4</v>
      </c>
      <c r="AR358" s="93">
        <f t="shared" ref="AR358" si="3525">LN(N358/L358)</f>
        <v>1.0603549058508929E-3</v>
      </c>
      <c r="AS358" s="93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3">
        <f t="shared" si="2682"/>
        <v>3.5507149049060454E-3</v>
      </c>
      <c r="AX358" s="28">
        <f t="shared" si="2683"/>
        <v>0.22263450834878742</v>
      </c>
      <c r="AY358" s="93">
        <f t="shared" si="2684"/>
        <v>3.0850053472233213E-3</v>
      </c>
      <c r="AZ358" s="93">
        <f t="shared" si="2685"/>
        <v>3.2405572389407979E-3</v>
      </c>
      <c r="BA358" s="93">
        <f t="shared" ref="BA358" si="3526">AV357</f>
        <v>0.97231833910033938</v>
      </c>
      <c r="BB358" s="93">
        <f t="shared" si="2742"/>
        <v>1.6511865559935481E-3</v>
      </c>
      <c r="BC358" s="93">
        <f t="shared" ref="BC358" si="3527">AS357</f>
        <v>3.4442880359475672E-3</v>
      </c>
      <c r="BD358" s="39">
        <f t="shared" si="2715"/>
        <v>0</v>
      </c>
    </row>
    <row r="359" spans="1:58" x14ac:dyDescent="0.15">
      <c r="A359" s="90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2">
        <f t="shared" si="176"/>
        <v>3370.0231549999999</v>
      </c>
      <c r="T359" s="92" t="str">
        <f t="shared" ref="T359" si="3528">IF(AVERAGE(N358)&lt;S358,"熊",IF(AVERAGE(N358)&gt;S358,"牛",""))</f>
        <v>牛</v>
      </c>
      <c r="U359" s="92">
        <f t="shared" ref="U359" si="3529">MAX(H359,O359)</f>
        <v>3414.14</v>
      </c>
      <c r="V359" s="92">
        <f t="shared" ref="V359" si="3530">MIN(I359,P359)</f>
        <v>3391.59</v>
      </c>
      <c r="W359" s="40">
        <f t="shared" ref="W359" si="3531">LN(U359/V359)</f>
        <v>6.6267931646987995E-3</v>
      </c>
      <c r="X359" s="92">
        <f t="shared" ref="X359" si="3532">IF(U359=H359,J359,Q359)</f>
        <v>1301</v>
      </c>
      <c r="Y359" s="92">
        <f t="shared" ref="Y359" si="3533">IF(V359=I359,K359,R359)</f>
        <v>932</v>
      </c>
      <c r="Z359" s="93">
        <f t="shared" ref="Z359" si="3534">(U359-V359)/(C359)</f>
        <v>6.6372137241685015E-3</v>
      </c>
      <c r="AA359" s="93">
        <f t="shared" ref="AA359" si="3535">LN(C359/N358)</f>
        <v>1.8250323846742906E-4</v>
      </c>
      <c r="AB359" s="93">
        <f t="shared" ref="AB359" si="3536">LN(N359/U359)</f>
        <v>-1.9291384964638127E-3</v>
      </c>
      <c r="AC359" s="93">
        <f t="shared" ref="AC359" si="3537">LN(N359/V359)</f>
        <v>4.6976546682349655E-3</v>
      </c>
      <c r="AD359" s="93">
        <f t="shared" ref="AD359" si="3538">LN(U359/C359)</f>
        <v>4.8828207676378469E-3</v>
      </c>
      <c r="AE359" s="93">
        <f t="shared" ref="AE359" si="3539">LN(V359/C359)</f>
        <v>-1.7439723970610406E-3</v>
      </c>
      <c r="AF359" s="93">
        <f t="shared" ref="AF359" si="3540">LN(N359/C359)</f>
        <v>2.9536822711738776E-3</v>
      </c>
      <c r="AG359" s="93">
        <f t="shared" ref="AG359" si="3541">LN(N359/N358)</f>
        <v>3.1361855096413383E-3</v>
      </c>
      <c r="AH359" s="93">
        <f t="shared" ref="AH359" si="3542">LN(D359/C359)</f>
        <v>-1.4963316164346625E-3</v>
      </c>
      <c r="AI359" s="93">
        <f t="shared" ref="AI359" si="3543">LN(E359/C359)</f>
        <v>-1.5464444440023983E-3</v>
      </c>
      <c r="AJ359" s="93">
        <f t="shared" ref="AJ359" si="3544">LN(F359/C359)</f>
        <v>-1.2693814280792428E-3</v>
      </c>
      <c r="AK359" s="93">
        <f t="shared" ref="AK359" si="3545">+LN(G359/C359)</f>
        <v>4.024256685214723E-3</v>
      </c>
      <c r="AL359" s="93">
        <f t="shared" ref="AL359" si="3546">LN(H359/I359)</f>
        <v>5.8708267076703893E-3</v>
      </c>
      <c r="AM359" s="93">
        <f t="shared" ref="AM359" si="3547">LN(O359/P359)</f>
        <v>3.6914812229617419E-3</v>
      </c>
      <c r="AN359" s="93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3">
        <f t="shared" ref="AQ359" si="3551">LN(M359/L359)</f>
        <v>-3.1938069717739803E-4</v>
      </c>
      <c r="AR359" s="93">
        <f t="shared" ref="AR359" si="3552">LN(N359/L359)</f>
        <v>-1.7123693518238596E-3</v>
      </c>
      <c r="AS359" s="93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3">
        <f t="shared" si="2682"/>
        <v>2.9536822711738776E-3</v>
      </c>
      <c r="AX359" s="28">
        <f t="shared" si="2683"/>
        <v>-0.2589800443459076</v>
      </c>
      <c r="AY359" s="93">
        <f t="shared" si="2684"/>
        <v>5.7682290822757025E-3</v>
      </c>
      <c r="AZ359" s="93">
        <f t="shared" si="2685"/>
        <v>1.7623427264979777E-3</v>
      </c>
      <c r="BA359" s="93">
        <f t="shared" ref="BA359" si="3553">AV358</f>
        <v>0.91280148423003693</v>
      </c>
      <c r="BB359" s="93">
        <f t="shared" si="2742"/>
        <v>1.0603549058508929E-3</v>
      </c>
      <c r="BC359" s="93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x14ac:dyDescent="0.15">
      <c r="A360" s="90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2">
        <f t="shared" si="176"/>
        <v>3372.4915599999999</v>
      </c>
      <c r="T360" s="92" t="str">
        <f t="shared" ref="T360" si="3555">IF(AVERAGE(N359)&lt;S359,"熊",IF(AVERAGE(N359)&gt;S359,"牛",""))</f>
        <v>牛</v>
      </c>
      <c r="U360" s="92">
        <f t="shared" ref="U360" si="3556">MAX(H360,O360)</f>
        <v>3420.77</v>
      </c>
      <c r="V360" s="92">
        <f t="shared" ref="V360" si="3557">MIN(I360,P360)</f>
        <v>3402.51</v>
      </c>
      <c r="W360" s="40">
        <f t="shared" ref="W360" si="3558">LN(U360/V360)</f>
        <v>5.3522773771473636E-3</v>
      </c>
      <c r="X360" s="92">
        <f t="shared" ref="X360" si="3559">IF(U360=H360,J360,Q360)</f>
        <v>1426</v>
      </c>
      <c r="Y360" s="92">
        <f t="shared" ref="Y360" si="3560">IF(V360=I360,K360,R360)</f>
        <v>930</v>
      </c>
      <c r="Z360" s="93">
        <f t="shared" ref="Z360" si="3561">(U360-V360)/(C360)</f>
        <v>5.3635052533565278E-3</v>
      </c>
      <c r="AA360" s="93">
        <f t="shared" ref="AA360" si="3562">LN(C360/N359)</f>
        <v>-9.0134400300774693E-4</v>
      </c>
      <c r="AB360" s="93">
        <f t="shared" ref="AB360" si="3563">LN(N360/U360)</f>
        <v>-1.1583046758505138E-3</v>
      </c>
      <c r="AC360" s="93">
        <f t="shared" ref="AC360" si="3564">LN(N360/V360)</f>
        <v>4.193972701296793E-3</v>
      </c>
      <c r="AD360" s="93">
        <f t="shared" ref="AD360" si="3565">LN(U360/C360)</f>
        <v>4.7705232840543569E-3</v>
      </c>
      <c r="AE360" s="93">
        <f t="shared" ref="AE360" si="3566">LN(V360/C360)</f>
        <v>-5.8175409309292885E-4</v>
      </c>
      <c r="AF360" s="93">
        <f t="shared" ref="AF360" si="3567">LN(N360/C360)</f>
        <v>3.6122186082038839E-3</v>
      </c>
      <c r="AG360" s="93">
        <f t="shared" ref="AG360" si="3568">LN(N360/N359)</f>
        <v>2.7108746051960697E-3</v>
      </c>
      <c r="AH360" s="93">
        <f t="shared" ref="AH360" si="3569">LN(D360/C360)</f>
        <v>1.9090611442156913E-4</v>
      </c>
      <c r="AI360" s="93">
        <f t="shared" ref="AI360" si="3570">LN(E360/C360)</f>
        <v>1.171295472068172E-3</v>
      </c>
      <c r="AJ360" s="93">
        <f t="shared" ref="AJ360" si="3571">LN(F360/C360)</f>
        <v>1.79308024898885E-3</v>
      </c>
      <c r="AK360" s="93">
        <f t="shared" ref="AK360" si="3572">+LN(G360/C360)</f>
        <v>3.6005117137209173E-3</v>
      </c>
      <c r="AL360" s="93">
        <f t="shared" ref="AL360" si="3573">LN(H360/I360)</f>
        <v>5.3084266392053646E-3</v>
      </c>
      <c r="AM360" s="93">
        <f t="shared" ref="AM360" si="3574">LN(O360/P360)</f>
        <v>3.8779832733637489E-3</v>
      </c>
      <c r="AN360" s="93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3">
        <f t="shared" ref="AQ360" si="3578">LN(M360/L360)</f>
        <v>-6.7900189334260642E-4</v>
      </c>
      <c r="AR360" s="93">
        <f t="shared" ref="AR360" si="3579">LN(N360/L360)</f>
        <v>-3.3066315821243775E-4</v>
      </c>
      <c r="AS360" s="93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3">
        <f t="shared" si="2682"/>
        <v>3.6122186082038839E-3</v>
      </c>
      <c r="AX360" s="28">
        <f t="shared" si="2683"/>
        <v>-6.1883899233303605E-2</v>
      </c>
      <c r="AY360" s="93">
        <f t="shared" si="2684"/>
        <v>4.182265806813819E-3</v>
      </c>
      <c r="AZ360" s="93">
        <f t="shared" si="2685"/>
        <v>2.71967859751321E-3</v>
      </c>
      <c r="BA360" s="93">
        <f t="shared" ref="BA360" si="3580">AV359</f>
        <v>0.70820399113082011</v>
      </c>
      <c r="BB360" s="93">
        <f t="shared" si="2742"/>
        <v>-1.7123693518238596E-3</v>
      </c>
      <c r="BC360" s="93">
        <f t="shared" ref="BC360" si="3581">AS359</f>
        <v>2.9536822711738776E-3</v>
      </c>
      <c r="BD360" s="39">
        <f t="shared" si="2715"/>
        <v>1</v>
      </c>
      <c r="BE360" s="92"/>
      <c r="BF360" s="92"/>
    </row>
    <row r="361" spans="1:58" x14ac:dyDescent="0.15">
      <c r="A361" s="90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2">
        <f t="shared" si="176"/>
        <v>3375.6884749999999</v>
      </c>
      <c r="T361" s="92" t="str">
        <f t="shared" ref="T361" si="3582">IF(AVERAGE(N360)&lt;S360,"熊",IF(AVERAGE(N360)&gt;S360,"牛",""))</f>
        <v>牛</v>
      </c>
      <c r="U361" s="92">
        <f t="shared" ref="U361" si="3583">MAX(H361,O361)</f>
        <v>3419.59</v>
      </c>
      <c r="V361" s="92">
        <f t="shared" ref="V361" si="3584">MIN(I361,P361)</f>
        <v>3357.52</v>
      </c>
      <c r="W361" s="40">
        <f t="shared" ref="W361" si="3585">LN(U361/V361)</f>
        <v>1.831805463641311E-2</v>
      </c>
      <c r="X361" s="92">
        <f t="shared" ref="X361" si="3586">IF(U361=H361,J361,Q361)</f>
        <v>937</v>
      </c>
      <c r="Y361" s="92">
        <f t="shared" ref="Y361" si="3587">IF(V361=I361,K361,R361)</f>
        <v>1007</v>
      </c>
      <c r="Z361" s="93">
        <f t="shared" ref="Z361" si="3588">(U361-V361)/(C361)</f>
        <v>1.8181764922990444E-2</v>
      </c>
      <c r="AA361" s="93">
        <f t="shared" ref="AA361" si="3589">LN(C361/N360)</f>
        <v>-8.6375134017827753E-4</v>
      </c>
      <c r="AB361" s="93">
        <f t="shared" ref="AB361" si="3590">LN(N361/U361)</f>
        <v>-8.5933990596597318E-3</v>
      </c>
      <c r="AC361" s="93">
        <f t="shared" ref="AC361" si="3591">LN(N361/V361)</f>
        <v>9.7246555767534371E-3</v>
      </c>
      <c r="AD361" s="93">
        <f t="shared" ref="AD361" si="3592">LN(U361/C361)</f>
        <v>1.6770449313184095E-3</v>
      </c>
      <c r="AE361" s="93">
        <f t="shared" ref="AE361" si="3593">LN(V361/C361)</f>
        <v>-1.6641009705094745E-2</v>
      </c>
      <c r="AF361" s="93">
        <f t="shared" ref="AF361" si="3594">LN(N361/C361)</f>
        <v>-6.9163541283413761E-3</v>
      </c>
      <c r="AG361" s="93">
        <f t="shared" ref="AG361" si="3595">LN(N361/N360)</f>
        <v>-7.7801054685196595E-3</v>
      </c>
      <c r="AH361" s="93">
        <f t="shared" ref="AH361" si="3596">LN(D361/C361)</f>
        <v>-8.5863453088309079E-4</v>
      </c>
      <c r="AI361" s="93">
        <f t="shared" ref="AI361" si="3597">LN(E361/C361)</f>
        <v>1.2324483807331786E-3</v>
      </c>
      <c r="AJ361" s="93">
        <f t="shared" ref="AJ361" si="3598">LN(F361/C361)</f>
        <v>-7.4430274872183341E-4</v>
      </c>
      <c r="AK361" s="93">
        <f t="shared" ref="AK361" si="3599">+LN(G361/C361)</f>
        <v>-6.5359325635826531E-3</v>
      </c>
      <c r="AL361" s="93">
        <f t="shared" ref="AL361" si="3600">LN(H361/I361)</f>
        <v>1.831805463641311E-2</v>
      </c>
      <c r="AM361" s="93">
        <f t="shared" ref="AM361" si="3601">LN(O361/P361)</f>
        <v>5.1632532066528706E-3</v>
      </c>
      <c r="AN361" s="93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3">
        <f t="shared" ref="AQ361" si="3605">LN(M361/L361)</f>
        <v>7.988833745686927E-4</v>
      </c>
      <c r="AR361" s="93">
        <f t="shared" ref="AR361" si="3606">LN(N361/L361)</f>
        <v>-1.6221293875468481E-4</v>
      </c>
      <c r="AS361" s="93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3">
        <f t="shared" si="2682"/>
        <v>-6.9163541283413761E-3</v>
      </c>
      <c r="AX361" s="28">
        <f t="shared" si="2683"/>
        <v>-8.8609634283902117E-3</v>
      </c>
      <c r="AY361" s="93">
        <f t="shared" si="2684"/>
        <v>1.0105077141512106E-2</v>
      </c>
      <c r="AZ361" s="93">
        <f t="shared" si="2685"/>
        <v>4.01947620099202E-3</v>
      </c>
      <c r="BA361" s="93">
        <f t="shared" ref="BA361" si="3607">AV360</f>
        <v>0.78313253012047712</v>
      </c>
      <c r="BB361" s="93">
        <f t="shared" si="2742"/>
        <v>-3.3066315821243775E-4</v>
      </c>
      <c r="BC361" s="93">
        <f t="shared" ref="BC361" si="3608">AS360</f>
        <v>3.6122186082038839E-3</v>
      </c>
      <c r="BD361" s="39">
        <f t="shared" si="2715"/>
        <v>1</v>
      </c>
      <c r="BE361" s="92"/>
    </row>
    <row r="362" spans="1:58" x14ac:dyDescent="0.15">
      <c r="A362" s="90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2">
        <f t="shared" si="176"/>
        <v>3378.1645199999994</v>
      </c>
      <c r="T362" s="92" t="str">
        <f t="shared" ref="T362" si="3609">IF(AVERAGE(N361)&lt;S361,"熊",IF(AVERAGE(N361)&gt;S361,"牛",""))</f>
        <v>牛</v>
      </c>
      <c r="U362" s="92">
        <f t="shared" ref="U362" si="3610">MAX(H362,O362)</f>
        <v>3397.09</v>
      </c>
      <c r="V362" s="92">
        <f t="shared" ref="V362" si="3611">MIN(I362,P362)</f>
        <v>3376.19</v>
      </c>
      <c r="W362" s="40">
        <f t="shared" ref="W362" si="3612">LN(U362/V362)</f>
        <v>6.1713280218261618E-3</v>
      </c>
      <c r="X362" s="92">
        <f t="shared" ref="X362" si="3613">IF(U362=H362,J362,Q362)</f>
        <v>1438</v>
      </c>
      <c r="Y362" s="92">
        <f t="shared" ref="Y362" si="3614">IF(V362=I362,K362,R362)</f>
        <v>1043</v>
      </c>
      <c r="Z362" s="93">
        <f t="shared" ref="Z362" si="3615">(U362-V362)/(C362)</f>
        <v>6.1816213594243375E-3</v>
      </c>
      <c r="AA362" s="93">
        <f t="shared" ref="AA362" si="3616">LN(C362/N361)</f>
        <v>-2.7586957708184098E-3</v>
      </c>
      <c r="AB362" s="93">
        <f t="shared" ref="AB362" si="3617">LN(N362/U362)</f>
        <v>-1.1044957038720536E-3</v>
      </c>
      <c r="AC362" s="93">
        <f t="shared" ref="AC362" si="3618">LN(N362/V362)</f>
        <v>5.0668323179539568E-3</v>
      </c>
      <c r="AD362" s="93">
        <f t="shared" ref="AD362" si="3619">LN(U362/C362)</f>
        <v>4.7506167761975776E-3</v>
      </c>
      <c r="AE362" s="93">
        <f t="shared" ref="AE362" si="3620">LN(V362/C362)</f>
        <v>-1.4207112456284675E-3</v>
      </c>
      <c r="AF362" s="93">
        <f t="shared" ref="AF362" si="3621">LN(N362/C362)</f>
        <v>3.6461210723256064E-3</v>
      </c>
      <c r="AG362" s="93">
        <f t="shared" ref="AG362" si="3622">LN(N362/N361)</f>
        <v>8.8742530150702395E-4</v>
      </c>
      <c r="AH362" s="93">
        <f t="shared" ref="AH362" si="3623">LN(D362/C362)</f>
        <v>-3.757001897547092E-4</v>
      </c>
      <c r="AI362" s="93">
        <f t="shared" ref="AI362" si="3624">LN(E362/C362)</f>
        <v>7.3915514978925177E-4</v>
      </c>
      <c r="AJ362" s="93">
        <f t="shared" ref="AJ362" si="3625">LN(F362/C362)</f>
        <v>3.6668924384957732E-4</v>
      </c>
      <c r="AK362" s="93">
        <f t="shared" ref="AK362" si="3626">+LN(G362/C362)</f>
        <v>2.3954610563807762E-4</v>
      </c>
      <c r="AL362" s="93">
        <f t="shared" ref="AL362" si="3627">LN(H362/I362)</f>
        <v>3.0047904025273641E-3</v>
      </c>
      <c r="AM362" s="93">
        <f t="shared" ref="AM362" si="3628">LN(O362/P362)</f>
        <v>6.0439736314076243E-3</v>
      </c>
      <c r="AN362" s="93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3">
        <f t="shared" ref="AQ362" si="3632">LN(M362/L362)</f>
        <v>-5.0854023442166755E-4</v>
      </c>
      <c r="AR362" s="93">
        <f t="shared" ref="AR362" si="3633">LN(N362/L362)</f>
        <v>3.0251940379109866E-3</v>
      </c>
      <c r="AS362" s="93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3">
        <f t="shared" si="2682"/>
        <v>3.6461210723256064E-3</v>
      </c>
      <c r="AX362" s="28">
        <f t="shared" si="2683"/>
        <v>0.49043062200956722</v>
      </c>
      <c r="AY362" s="93">
        <f t="shared" si="2684"/>
        <v>1.660257351266486E-3</v>
      </c>
      <c r="AZ362" s="93">
        <f t="shared" si="2685"/>
        <v>4.9394779275355981E-3</v>
      </c>
      <c r="BA362" s="93">
        <f t="shared" ref="BA362" si="3634">AV361</f>
        <v>0.52859674560979308</v>
      </c>
      <c r="BB362" s="93">
        <f t="shared" si="2742"/>
        <v>-1.6221293875468481E-4</v>
      </c>
      <c r="BC362" s="93">
        <f t="shared" ref="BC362" si="3635">AS361</f>
        <v>-6.9163541283413761E-3</v>
      </c>
      <c r="BD362" s="39">
        <f t="shared" si="2715"/>
        <v>1</v>
      </c>
      <c r="BE362" s="92"/>
    </row>
    <row r="363" spans="1:58" x14ac:dyDescent="0.15">
      <c r="A363" s="90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2">
        <f t="shared" si="176"/>
        <v>3380.6401499999993</v>
      </c>
      <c r="T363" s="92" t="str">
        <f t="shared" ref="T363" si="3636">IF(AVERAGE(N362)&lt;S362,"熊",IF(AVERAGE(N362)&gt;S362,"牛",""))</f>
        <v>牛</v>
      </c>
      <c r="U363" s="92">
        <f t="shared" ref="U363" si="3637">MAX(H363,O363)</f>
        <v>3410.23</v>
      </c>
      <c r="V363" s="92">
        <f t="shared" ref="V363" si="3638">MIN(I363,P363)</f>
        <v>3388.87</v>
      </c>
      <c r="W363" s="40">
        <f t="shared" ref="W363" si="3639">LN(U363/V363)</f>
        <v>6.2832052100961541E-3</v>
      </c>
      <c r="X363" s="92">
        <f t="shared" ref="X363" si="3640">IF(U363=H363,J363,Q363)</f>
        <v>1017</v>
      </c>
      <c r="Y363" s="92">
        <f t="shared" ref="Y363" si="3641">IF(V363=I363,K363,R363)</f>
        <v>1337</v>
      </c>
      <c r="Z363" s="93">
        <f t="shared" ref="Z363" si="3642">(U363-V363)/(C363)</f>
        <v>6.2935332178340724E-3</v>
      </c>
      <c r="AA363" s="93">
        <f t="shared" ref="AA363" si="3643">LN(C363/N362)</f>
        <v>1.8269414987531144E-4</v>
      </c>
      <c r="AB363" s="93">
        <f t="shared" ref="AB363" si="3644">LN(N363/U363)</f>
        <v>-4.2079713700789601E-3</v>
      </c>
      <c r="AC363" s="93">
        <f t="shared" ref="AC363" si="3645">LN(N363/V363)</f>
        <v>2.0752338400172382E-3</v>
      </c>
      <c r="AD363" s="93">
        <f t="shared" ref="AD363" si="3646">LN(U363/C363)</f>
        <v>4.7823564624626044E-3</v>
      </c>
      <c r="AE363" s="93">
        <f t="shared" ref="AE363" si="3647">LN(V363/C363)</f>
        <v>-1.5008487476334794E-3</v>
      </c>
      <c r="AF363" s="93">
        <f t="shared" ref="AF363" si="3648">LN(N363/C363)</f>
        <v>5.7438509238364496E-4</v>
      </c>
      <c r="AG363" s="93">
        <f t="shared" ref="AG363" si="3649">LN(N363/N362)</f>
        <v>7.5707924225887379E-4</v>
      </c>
      <c r="AH363" s="93">
        <f t="shared" ref="AH363" si="3650">LN(D363/C363)</f>
        <v>-2.5931776000478178E-4</v>
      </c>
      <c r="AI363" s="93">
        <f t="shared" ref="AI363" si="3651">LN(E363/C363)</f>
        <v>7.7166179125935078E-4</v>
      </c>
      <c r="AJ363" s="93">
        <f t="shared" ref="AJ363" si="3652">LN(F363/C363)</f>
        <v>8.1876688862839294E-4</v>
      </c>
      <c r="AK363" s="93">
        <f t="shared" ref="AK363" si="3653">+LN(G363/C363)</f>
        <v>1.76628560827392E-3</v>
      </c>
      <c r="AL363" s="93">
        <f t="shared" ref="AL363" si="3654">LN(H363/I363)</f>
        <v>5.905569500152287E-3</v>
      </c>
      <c r="AM363" s="93">
        <f t="shared" ref="AM363" si="3655">LN(O363/P363)</f>
        <v>5.144804305529267E-3</v>
      </c>
      <c r="AN363" s="93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3">
        <f t="shared" ref="AQ363" si="3659">LN(M363/L363)</f>
        <v>-1.0158368350291858E-3</v>
      </c>
      <c r="AR363" s="93">
        <f t="shared" ref="AR363" si="3660">LN(N363/L363)</f>
        <v>-5.9759931715124741E-4</v>
      </c>
      <c r="AS363" s="93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3">
        <f t="shared" si="2682"/>
        <v>5.7438509238364496E-4</v>
      </c>
      <c r="AX363" s="28">
        <f t="shared" si="2683"/>
        <v>-9.5037453183529394E-2</v>
      </c>
      <c r="AY363" s="93">
        <f t="shared" si="2684"/>
        <v>2.8894986459635694E-3</v>
      </c>
      <c r="AZ363" s="93">
        <f t="shared" si="2685"/>
        <v>2.0752338400172382E-3</v>
      </c>
      <c r="BA363" s="93">
        <f t="shared" ref="BA363" si="3661">AV362</f>
        <v>0.82057416267942662</v>
      </c>
      <c r="BB363" s="93">
        <f t="shared" si="2742"/>
        <v>3.0251940379109866E-3</v>
      </c>
      <c r="BC363" s="93">
        <f t="shared" ref="BC363" si="3662">AS362</f>
        <v>3.6461210723256064E-3</v>
      </c>
      <c r="BD363" s="39">
        <f t="shared" si="2715"/>
        <v>0</v>
      </c>
    </row>
    <row r="364" spans="1:58" x14ac:dyDescent="0.15">
      <c r="A364" s="90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2">
        <f t="shared" si="176"/>
        <v>3383.1624849999998</v>
      </c>
      <c r="T364" s="92" t="str">
        <f t="shared" ref="T364" si="3663">IF(AVERAGE(N363)&lt;S363,"熊",IF(AVERAGE(N363)&gt;S363,"牛",""))</f>
        <v>牛</v>
      </c>
      <c r="U364" s="92">
        <f t="shared" ref="U364" si="3664">MAX(H364,O364)</f>
        <v>3391.65</v>
      </c>
      <c r="V364" s="92">
        <f t="shared" ref="V364" si="3665">MIN(I364,P364)</f>
        <v>3372.4</v>
      </c>
      <c r="W364" s="40">
        <f t="shared" ref="W364" si="3666">LN(U364/V364)</f>
        <v>5.6918715771777893E-3</v>
      </c>
      <c r="X364" s="92">
        <f t="shared" ref="X364" si="3667">IF(U364=H364,J364,Q364)</f>
        <v>930</v>
      </c>
      <c r="Y364" s="92">
        <f t="shared" ref="Y364" si="3668">IF(V364=I364,K364,R364)</f>
        <v>1348</v>
      </c>
      <c r="Z364" s="93">
        <f t="shared" ref="Z364" si="3669">(U364-V364)/(C364)</f>
        <v>5.6757035661108898E-3</v>
      </c>
      <c r="AA364" s="93">
        <f t="shared" ref="AA364" si="3670">LN(C364/N363)</f>
        <v>-1.2552376875770829E-3</v>
      </c>
      <c r="AB364" s="93">
        <f t="shared" ref="AB364" si="3671">LN(N364/U364)</f>
        <v>-2.4620083993801183E-3</v>
      </c>
      <c r="AC364" s="93">
        <f t="shared" ref="AC364" si="3672">LN(N364/V364)</f>
        <v>3.2298631777975366E-3</v>
      </c>
      <c r="AD364" s="93">
        <f t="shared" ref="AD364" si="3673">LN(U364/C364)</f>
        <v>0</v>
      </c>
      <c r="AE364" s="93">
        <f t="shared" ref="AE364" si="3674">LN(V364/C364)</f>
        <v>-5.6918715771777173E-3</v>
      </c>
      <c r="AF364" s="93">
        <f t="shared" ref="AF364" si="3675">LN(N364/C364)</f>
        <v>-2.4620083993801183E-3</v>
      </c>
      <c r="AG364" s="93">
        <f t="shared" ref="AG364" si="3676">LN(N364/N363)</f>
        <v>-3.7172460869571646E-3</v>
      </c>
      <c r="AH364" s="93">
        <f t="shared" ref="AH364" si="3677">LN(D364/C364)</f>
        <v>-1.0974132242228005E-3</v>
      </c>
      <c r="AI364" s="93">
        <f t="shared" ref="AI364" si="3678">LN(E364/C364)</f>
        <v>-2.3171903010023279E-3</v>
      </c>
      <c r="AJ364" s="93">
        <f t="shared" ref="AJ364" si="3679">LN(F364/C364)</f>
        <v>-1.8444608707014812E-3</v>
      </c>
      <c r="AK364" s="93">
        <f t="shared" ref="AK364" si="3680">+LN(G364/C364)</f>
        <v>-4.1688947822725413E-3</v>
      </c>
      <c r="AL364" s="93">
        <f t="shared" ref="AL364" si="3681">LN(H364/I364)</f>
        <v>5.1523421404674969E-3</v>
      </c>
      <c r="AM364" s="93">
        <f t="shared" ref="AM364" si="3682">LN(O364/P364)</f>
        <v>3.4130988844474582E-3</v>
      </c>
      <c r="AN364" s="93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3">
        <f t="shared" ref="AQ364" si="3686">LN(M364/L364)</f>
        <v>-5.5105887651201184E-4</v>
      </c>
      <c r="AR364" s="93">
        <f t="shared" ref="AR364" si="3687">LN(N364/L364)</f>
        <v>2.0888941194928835E-3</v>
      </c>
      <c r="AS364" s="93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3">
        <f t="shared" si="2682"/>
        <v>-2.4620083993801183E-3</v>
      </c>
      <c r="AX364" s="28">
        <f t="shared" si="2683"/>
        <v>0.36675324675324394</v>
      </c>
      <c r="AY364" s="93">
        <f t="shared" si="2684"/>
        <v>9.8344735819498336E-4</v>
      </c>
      <c r="AZ364" s="93">
        <f t="shared" si="2685"/>
        <v>3.2298631777975366E-3</v>
      </c>
      <c r="BA364" s="93">
        <f t="shared" ref="BA364" si="3688">AV363</f>
        <v>0.32958801498126972</v>
      </c>
      <c r="BB364" s="93">
        <f t="shared" si="2742"/>
        <v>-5.9759931715124741E-4</v>
      </c>
      <c r="BC364" s="93">
        <f t="shared" ref="BC364" si="3689">AS363</f>
        <v>5.7438509238364496E-4</v>
      </c>
      <c r="BD364" s="39">
        <f t="shared" si="2715"/>
        <v>1</v>
      </c>
    </row>
    <row r="365" spans="1:58" x14ac:dyDescent="0.15">
      <c r="A365" s="90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2">
        <f t="shared" si="176"/>
        <v>3385.3222099999998</v>
      </c>
      <c r="T365" s="92" t="str">
        <f t="shared" ref="T365" si="3690">IF(AVERAGE(N364)&lt;S364,"熊",IF(AVERAGE(N364)&gt;S364,"牛",""))</f>
        <v>牛</v>
      </c>
      <c r="U365" s="92">
        <f t="shared" ref="U365" si="3691">MAX(H365,O365)</f>
        <v>3380.09</v>
      </c>
      <c r="V365" s="92">
        <f t="shared" ref="V365" si="3692">MIN(I365,P365)</f>
        <v>3347.64</v>
      </c>
      <c r="W365" s="40">
        <f t="shared" ref="W365" si="3693">LN(U365/V365)</f>
        <v>9.6467163952855452E-3</v>
      </c>
      <c r="X365" s="92">
        <f t="shared" ref="X365" si="3694">IF(U365=H365,J365,Q365)</f>
        <v>935</v>
      </c>
      <c r="Y365" s="92">
        <f t="shared" ref="Y365" si="3695">IF(V365=I365,K365,R365)</f>
        <v>1435</v>
      </c>
      <c r="Z365" s="93">
        <f t="shared" ref="Z365" si="3696">(U365-V365)/(C365)</f>
        <v>9.6070437838430764E-3</v>
      </c>
      <c r="AA365" s="93">
        <f t="shared" ref="AA365" si="3697">LN(C365/N364)</f>
        <v>-1.6506340051043267E-3</v>
      </c>
      <c r="AB365" s="93">
        <f t="shared" ref="AB365" si="3698">LN(N365/U365)</f>
        <v>-2.4734047678692064E-3</v>
      </c>
      <c r="AC365" s="93">
        <f t="shared" ref="AC365" si="3699">LN(N365/V365)</f>
        <v>7.1733116274162109E-3</v>
      </c>
      <c r="AD365" s="93">
        <f t="shared" ref="AD365" si="3700">LN(U365/C365)</f>
        <v>6.9845012028745392E-4</v>
      </c>
      <c r="AE365" s="93">
        <f t="shared" ref="AE365" si="3701">LN(V365/C365)</f>
        <v>-8.9482662749979357E-3</v>
      </c>
      <c r="AF365" s="93">
        <f t="shared" ref="AF365" si="3702">LN(N365/C365)</f>
        <v>-1.7749546475817955E-3</v>
      </c>
      <c r="AG365" s="93">
        <f t="shared" ref="AG365" si="3703">LN(N365/N364)</f>
        <v>-3.4255886526861215E-3</v>
      </c>
      <c r="AH365" s="93">
        <f t="shared" ref="AH365" si="3704">LN(D365/C365)</f>
        <v>-4.8861310366365648E-4</v>
      </c>
      <c r="AI365" s="93">
        <f t="shared" ref="AI365" si="3705">LN(E365/C365)</f>
        <v>5.1796526647105714E-4</v>
      </c>
      <c r="AJ365" s="93">
        <f t="shared" ref="AJ365" si="3706">LN(F365/C365)</f>
        <v>-1.9245545085843082E-4</v>
      </c>
      <c r="AK365" s="93">
        <f t="shared" ref="AK365" si="3707">+LN(G365/C365)</f>
        <v>-5.5963011652015908E-3</v>
      </c>
      <c r="AL365" s="93">
        <f t="shared" ref="AL365" si="3708">LN(H365/I365)</f>
        <v>6.2977284727914811E-3</v>
      </c>
      <c r="AM365" s="93">
        <f t="shared" ref="AM365" si="3709">LN(O365/P365)</f>
        <v>7.5202532809448526E-3</v>
      </c>
      <c r="AN365" s="93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3">
        <f t="shared" ref="AQ365" si="3713">LN(M365/L365)</f>
        <v>1.0780291575830504E-3</v>
      </c>
      <c r="AR365" s="93">
        <f t="shared" ref="AR365" si="3714">LN(N365/L365)</f>
        <v>4.6284887271716103E-3</v>
      </c>
      <c r="AS365" s="93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3">
        <f t="shared" si="2682"/>
        <v>-1.7749546475817955E-3</v>
      </c>
      <c r="AX365" s="28">
        <f t="shared" si="2683"/>
        <v>0.4798151001540702</v>
      </c>
      <c r="AY365" s="93">
        <f t="shared" si="2684"/>
        <v>2.9771873024281878E-6</v>
      </c>
      <c r="AZ365" s="93">
        <f t="shared" si="2685"/>
        <v>7.1733116274162109E-3</v>
      </c>
      <c r="BA365" s="93">
        <f t="shared" ref="BA365" si="3715">AV364</f>
        <v>0.56675324675323924</v>
      </c>
      <c r="BB365" s="93">
        <f t="shared" si="2742"/>
        <v>2.0888941194928835E-3</v>
      </c>
      <c r="BC365" s="93">
        <f t="shared" ref="BC365" si="3716">AS364</f>
        <v>-2.4620083993801183E-3</v>
      </c>
      <c r="BD365" s="39">
        <f t="shared" si="2715"/>
        <v>0</v>
      </c>
      <c r="BE365" s="92"/>
    </row>
    <row r="366" spans="1:58" x14ac:dyDescent="0.15">
      <c r="A366" s="90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2">
        <f t="shared" si="176"/>
        <v>3386.4622100000001</v>
      </c>
      <c r="T366" s="92" t="str">
        <f t="shared" ref="T366" si="3717">IF(AVERAGE(N365)&lt;S365,"熊",IF(AVERAGE(N365)&gt;S365,"牛",""))</f>
        <v>熊</v>
      </c>
      <c r="U366" s="92">
        <f t="shared" ref="U366" si="3718">MAX(H366,O366)</f>
        <v>3389.36</v>
      </c>
      <c r="V366" s="92">
        <f t="shared" ref="V366" si="3719">MIN(I366,P366)</f>
        <v>3356.64</v>
      </c>
      <c r="W366" s="40">
        <f t="shared" ref="W366" si="3720">LN(U366/V366)</f>
        <v>9.7006393671766368E-3</v>
      </c>
      <c r="X366" s="92">
        <f t="shared" ref="X366" si="3721">IF(U366=H366,J366,Q366)</f>
        <v>1459</v>
      </c>
      <c r="Y366" s="92">
        <f t="shared" ref="Y366" si="3722">IF(V366=I366,K366,R366)</f>
        <v>1018</v>
      </c>
      <c r="Z366" s="93">
        <f t="shared" ref="Z366" si="3723">(U366-V366)/(C366)</f>
        <v>9.7101208423352528E-3</v>
      </c>
      <c r="AA366" s="93">
        <f t="shared" ref="AA366" si="3724">LN(C366/N365)</f>
        <v>-6.1114722539685139E-4</v>
      </c>
      <c r="AB366" s="93">
        <f t="shared" ref="AB366" si="3725">LN(N366/U366)</f>
        <v>-3.5116038209451883E-4</v>
      </c>
      <c r="AC366" s="93">
        <f t="shared" ref="AC366" si="3726">LN(N366/V366)</f>
        <v>9.3494789850820034E-3</v>
      </c>
      <c r="AD366" s="93">
        <f t="shared" ref="AD366" si="3727">LN(U366/C366)</f>
        <v>5.8233286426077682E-3</v>
      </c>
      <c r="AE366" s="93">
        <f t="shared" ref="AE366" si="3728">LN(V366/C366)</f>
        <v>-3.8773107245688638E-3</v>
      </c>
      <c r="AF366" s="93">
        <f t="shared" ref="AF366" si="3729">LN(N366/C366)</f>
        <v>5.4721682605130958E-3</v>
      </c>
      <c r="AG366" s="93">
        <f t="shared" ref="AG366" si="3730">LN(N366/N365)</f>
        <v>4.8610210351161844E-3</v>
      </c>
      <c r="AH366" s="93">
        <f t="shared" ref="AH366" si="3731">LN(D366/C366)</f>
        <v>2.551845502571448E-4</v>
      </c>
      <c r="AI366" s="93">
        <f t="shared" ref="AI366" si="3732">LN(E366/C366)</f>
        <v>-4.6009015610178641E-4</v>
      </c>
      <c r="AJ366" s="93">
        <f t="shared" ref="AJ366" si="3733">LN(F366/C366)</f>
        <v>4.4208075369340036E-4</v>
      </c>
      <c r="AK366" s="93">
        <f t="shared" ref="AK366" si="3734">+LN(G366/C366)</f>
        <v>-9.2633285723306522E-4</v>
      </c>
      <c r="AL366" s="93">
        <f t="shared" ref="AL366" si="3735">LN(H366/I366)</f>
        <v>4.4380376074230638E-3</v>
      </c>
      <c r="AM366" s="93">
        <f t="shared" ref="AM366" si="3736">LN(O366/P366)</f>
        <v>6.1943525690022266E-3</v>
      </c>
      <c r="AN366" s="93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3">
        <f t="shared" ref="AQ366" si="3740">LN(M366/L366)</f>
        <v>8.3364612250369486E-4</v>
      </c>
      <c r="AR366" s="93">
        <f t="shared" ref="AR366" si="3741">LN(N366/L366)</f>
        <v>5.5760410846563803E-3</v>
      </c>
      <c r="AS366" s="93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3">
        <f t="shared" si="2682"/>
        <v>5.4721682605130958E-3</v>
      </c>
      <c r="AX366" s="28">
        <f t="shared" si="2683"/>
        <v>0.57579462102689483</v>
      </c>
      <c r="AY366" s="93">
        <f t="shared" si="2684"/>
        <v>2.9509778673357289E-3</v>
      </c>
      <c r="AZ366" s="93">
        <f t="shared" si="2685"/>
        <v>5.8431921869077684E-3</v>
      </c>
      <c r="BA366" s="93">
        <f t="shared" ref="BA366" si="3742">AV365</f>
        <v>0.74268104776578447</v>
      </c>
      <c r="BB366" s="93">
        <f t="shared" si="2742"/>
        <v>4.6284887271716103E-3</v>
      </c>
      <c r="BC366" s="93">
        <f t="shared" ref="BC366" si="3743">AS365</f>
        <v>-1.7749546475817955E-3</v>
      </c>
      <c r="BD366" s="39">
        <f t="shared" si="2715"/>
        <v>0</v>
      </c>
    </row>
    <row r="367" spans="1:58" x14ac:dyDescent="0.15">
      <c r="A367" s="90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2">
        <f t="shared" si="176"/>
        <v>3387.1270049999998</v>
      </c>
      <c r="T367" s="92" t="str">
        <f t="shared" ref="T367" si="3744">IF(AVERAGE(N366)&lt;S366,"熊",IF(AVERAGE(N366)&gt;S366,"牛",""))</f>
        <v>牛</v>
      </c>
      <c r="U367" s="92">
        <f t="shared" ref="U367" si="3745">MAX(H367,O367)</f>
        <v>3415.14</v>
      </c>
      <c r="V367" s="92">
        <f t="shared" ref="V367" si="3746">MIN(I367,P367)</f>
        <v>3387.96</v>
      </c>
      <c r="W367" s="40">
        <f t="shared" ref="W367" si="3747">LN(U367/V367)</f>
        <v>7.9905174454004257E-3</v>
      </c>
      <c r="X367" s="92">
        <f t="shared" ref="X367" si="3748">IF(U367=H367,J367,Q367)</f>
        <v>1459</v>
      </c>
      <c r="Y367" s="92">
        <f t="shared" ref="Y367" si="3749">IF(V367=I367,K367,R367)</f>
        <v>931</v>
      </c>
      <c r="Z367" s="93">
        <f t="shared" ref="Z367" si="3750">(U367-V367)/(C367)</f>
        <v>8.0189528156318947E-3</v>
      </c>
      <c r="AA367" s="93">
        <f t="shared" ref="AA367" si="3751">LN(C367/N366)</f>
        <v>3.8361436014368528E-4</v>
      </c>
      <c r="AB367" s="93">
        <f t="shared" ref="AB367" si="3752">LN(N367/U367)</f>
        <v>-4.5982331294275303E-4</v>
      </c>
      <c r="AC367" s="93">
        <f t="shared" ref="AC367" si="3753">LN(N367/V367)</f>
        <v>7.5306941324576066E-3</v>
      </c>
      <c r="AD367" s="93">
        <f t="shared" ref="AD367" si="3754">LN(U367/C367)</f>
        <v>7.5449208033149147E-3</v>
      </c>
      <c r="AE367" s="93">
        <f t="shared" ref="AE367" si="3755">LN(V367/C367)</f>
        <v>-4.4559664208553994E-4</v>
      </c>
      <c r="AF367" s="93">
        <f t="shared" ref="AF367" si="3756">LN(N367/C367)</f>
        <v>7.0850974903720852E-3</v>
      </c>
      <c r="AG367" s="93">
        <f t="shared" ref="AG367" si="3757">LN(N367/N366)</f>
        <v>7.468711850515862E-3</v>
      </c>
      <c r="AH367" s="93">
        <f t="shared" ref="AH367" si="3758">LN(D367/C367)</f>
        <v>-2.7146570994165844E-4</v>
      </c>
      <c r="AI367" s="93">
        <f t="shared" ref="AI367" si="3759">LN(E367/C367)</f>
        <v>2.2485594975917675E-3</v>
      </c>
      <c r="AJ367" s="93">
        <f t="shared" ref="AJ367" si="3760">LN(F367/C367)</f>
        <v>2.6399932833250247E-3</v>
      </c>
      <c r="AK367" s="93">
        <f t="shared" ref="AK367" si="3761">+LN(G367/C367)</f>
        <v>5.0881260056697009E-3</v>
      </c>
      <c r="AL367" s="93">
        <f t="shared" ref="AL367" si="3762">LN(H367/I367)</f>
        <v>7.8089564301514168E-3</v>
      </c>
      <c r="AM367" s="93">
        <f t="shared" ref="AM367" si="3763">LN(O367/P367)</f>
        <v>4.5754178685539033E-3</v>
      </c>
      <c r="AN367" s="93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3">
        <f t="shared" ref="AQ367" si="3767">LN(M367/L367)</f>
        <v>-1.2706351509781926E-3</v>
      </c>
      <c r="AR367" s="93">
        <f t="shared" ref="AR367" si="3768">LN(N367/L367)</f>
        <v>1.0727664918787974E-3</v>
      </c>
      <c r="AS367" s="93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3">
        <f t="shared" si="2682"/>
        <v>7.0850974903720852E-3</v>
      </c>
      <c r="AX367" s="28">
        <f t="shared" si="2683"/>
        <v>0.13465783664460379</v>
      </c>
      <c r="AY367" s="93">
        <f t="shared" si="2684"/>
        <v>5.5337226477551382E-3</v>
      </c>
      <c r="AZ367" s="93">
        <f t="shared" si="2685"/>
        <v>4.1155945556110938E-3</v>
      </c>
      <c r="BA367" s="93">
        <f t="shared" ref="BA367" si="3769">AV366</f>
        <v>0.96363080684596436</v>
      </c>
      <c r="BB367" s="93">
        <f t="shared" si="2742"/>
        <v>5.5760410846563803E-3</v>
      </c>
      <c r="BC367" s="93">
        <f t="shared" ref="BC367" si="3770">AS366</f>
        <v>5.4721682605130958E-3</v>
      </c>
      <c r="BD367" s="39">
        <f t="shared" si="2715"/>
        <v>0</v>
      </c>
    </row>
    <row r="368" spans="1:58" x14ac:dyDescent="0.15">
      <c r="A368" s="90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2">
        <f t="shared" si="176"/>
        <v>3388.6284999999998</v>
      </c>
      <c r="T368" s="92" t="str">
        <f t="shared" ref="T368" si="3771">IF(AVERAGE(N367)&lt;S367,"熊",IF(AVERAGE(N367)&gt;S367,"牛",""))</f>
        <v>牛</v>
      </c>
      <c r="U368" s="92">
        <f t="shared" ref="U368" si="3772">MAX(H368,O368)</f>
        <v>3434.27</v>
      </c>
      <c r="V368" s="92">
        <f t="shared" ref="V368" si="3773">MIN(I368,P368)</f>
        <v>3404.88</v>
      </c>
      <c r="W368" s="40">
        <f t="shared" ref="W368" si="3774">LN(U368/V368)</f>
        <v>8.5946882043674792E-3</v>
      </c>
      <c r="X368" s="92">
        <f t="shared" ref="X368" si="3775">IF(U368=H368,J368,Q368)</f>
        <v>1301</v>
      </c>
      <c r="Y368" s="92">
        <f t="shared" ref="Y368" si="3776">IF(V368=I368,K368,R368)</f>
        <v>932</v>
      </c>
      <c r="Z368" s="93">
        <f t="shared" ref="Z368" si="3777">(U368-V368)/(C368)</f>
        <v>8.6209425250942679E-3</v>
      </c>
      <c r="AA368" s="93">
        <f t="shared" ref="AA368" si="3778">LN(C368/N367)</f>
        <v>-1.2986044028115806E-3</v>
      </c>
      <c r="AB368" s="93">
        <f t="shared" ref="AB368" si="3779">LN(N368/U368)</f>
        <v>-5.4922010889403659E-3</v>
      </c>
      <c r="AC368" s="93">
        <f t="shared" ref="AC368" si="3780">LN(N368/V368)</f>
        <v>3.1024871154270283E-3</v>
      </c>
      <c r="AD368" s="93">
        <f t="shared" ref="AD368" si="3781">LN(U368/C368)</f>
        <v>7.3443248197547044E-3</v>
      </c>
      <c r="AE368" s="93">
        <f t="shared" ref="AE368" si="3782">LN(V368/C368)</f>
        <v>-1.2503633846127882E-3</v>
      </c>
      <c r="AF368" s="93">
        <f t="shared" ref="AF368" si="3783">LN(N368/C368)</f>
        <v>1.8521237308143758E-3</v>
      </c>
      <c r="AG368" s="93">
        <f t="shared" ref="AG368" si="3784">LN(N368/N367)</f>
        <v>5.5351932800277038E-4</v>
      </c>
      <c r="AH368" s="93">
        <f t="shared" ref="AH368" si="3785">LN(D368/C368)</f>
        <v>-1.0653519530216587E-3</v>
      </c>
      <c r="AI368" s="93">
        <f t="shared" ref="AI368" si="3786">LN(E368/C368)</f>
        <v>3.2265681490637953E-5</v>
      </c>
      <c r="AJ368" s="93">
        <f t="shared" ref="AJ368" si="3787">LN(F368/C368)</f>
        <v>-3.4912257637417608E-4</v>
      </c>
      <c r="AK368" s="93">
        <f t="shared" ref="AK368" si="3788">+LN(G368/C368)</f>
        <v>6.6831215514001948E-3</v>
      </c>
      <c r="AL368" s="93">
        <f t="shared" ref="AL368" si="3789">LN(H368/I368)</f>
        <v>8.2219048774443085E-3</v>
      </c>
      <c r="AM368" s="93">
        <f t="shared" ref="AM368" si="3790">LN(O368/P368)</f>
        <v>7.3971254533745446E-3</v>
      </c>
      <c r="AN368" s="93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3">
        <f t="shared" ref="AQ368" si="3794">LN(M368/L368)</f>
        <v>-1.9066838816213709E-3</v>
      </c>
      <c r="AR368" s="93">
        <f t="shared" ref="AR368" si="3795">LN(N368/L368)</f>
        <v>-5.2126266227519921E-3</v>
      </c>
      <c r="AS368" s="93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3">
        <f t="shared" si="2682"/>
        <v>1.8521237308143758E-3</v>
      </c>
      <c r="AX368" s="28">
        <f t="shared" si="2683"/>
        <v>-0.60734943858455215</v>
      </c>
      <c r="AY368" s="93">
        <f t="shared" si="2684"/>
        <v>7.9334849360132315E-3</v>
      </c>
      <c r="AZ368" s="93">
        <f t="shared" si="2685"/>
        <v>1.9049243644340085E-3</v>
      </c>
      <c r="BA368" s="93">
        <f t="shared" ref="BA368" si="3796">AV367</f>
        <v>0.94223693892569105</v>
      </c>
      <c r="BB368" s="93">
        <f t="shared" si="2742"/>
        <v>1.0727664918787974E-3</v>
      </c>
      <c r="BC368" s="93">
        <f t="shared" ref="BC368" si="3797">AS367</f>
        <v>7.0850974903720852E-3</v>
      </c>
      <c r="BD368" s="39">
        <f t="shared" si="2715"/>
        <v>0</v>
      </c>
      <c r="BE368" t="s">
        <v>566</v>
      </c>
    </row>
    <row r="369" spans="1:57" x14ac:dyDescent="0.15">
      <c r="A369" s="90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2">
        <f t="shared" si="176"/>
        <v>3389.9875000000002</v>
      </c>
      <c r="T369" s="92" t="str">
        <f t="shared" ref="T369" si="3798">IF(AVERAGE(N368)&lt;S368,"熊",IF(AVERAGE(N368)&gt;S368,"牛",""))</f>
        <v>牛</v>
      </c>
      <c r="U369" s="92">
        <f t="shared" ref="U369" si="3799">MAX(H369,O369)</f>
        <v>3428.47</v>
      </c>
      <c r="V369" s="92">
        <f t="shared" ref="V369" si="3800">MIN(I369,P369)</f>
        <v>3408.62</v>
      </c>
      <c r="W369" s="40">
        <f t="shared" ref="W369" si="3801">LN(U369/V369)</f>
        <v>5.8065802183297896E-3</v>
      </c>
      <c r="X369" s="92">
        <f t="shared" ref="X369" si="3802">IF(U369=H369,J369,Q369)</f>
        <v>1459</v>
      </c>
      <c r="Y369" s="92">
        <f t="shared" ref="Y369" si="3803">IF(V369=I369,K369,R369)</f>
        <v>1354</v>
      </c>
      <c r="Z369" s="93">
        <f t="shared" ref="Z369" si="3804">(U369-V369)/(C369)</f>
        <v>5.8199708561660641E-3</v>
      </c>
      <c r="AA369" s="93">
        <f t="shared" ref="AA369" si="3805">LN(C369/N368)</f>
        <v>-1.4034308711395021E-3</v>
      </c>
      <c r="AB369" s="93">
        <f t="shared" ref="AB369" si="3806">LN(N369/U369)</f>
        <v>-1.9835887268845298E-4</v>
      </c>
      <c r="AC369" s="93">
        <f t="shared" ref="AC369" si="3807">LN(N369/V369)</f>
        <v>5.6082213456413715E-3</v>
      </c>
      <c r="AD369" s="93">
        <f t="shared" ref="AD369" si="3808">LN(U369/C369)</f>
        <v>5.2053445877131357E-3</v>
      </c>
      <c r="AE369" s="93">
        <f t="shared" ref="AE369" si="3809">LN(V369/C369)</f>
        <v>-6.0123563061664613E-4</v>
      </c>
      <c r="AF369" s="93">
        <f t="shared" ref="AF369" si="3810">LN(N369/C369)</f>
        <v>5.0069857150247064E-3</v>
      </c>
      <c r="AG369" s="93">
        <f t="shared" ref="AG369" si="3811">LN(N369/N368)</f>
        <v>3.6035548438853164E-3</v>
      </c>
      <c r="AH369" s="93">
        <f t="shared" ref="AH369" si="3812">LN(D369/C369)</f>
        <v>6.7705702614978211E-4</v>
      </c>
      <c r="AI369" s="93">
        <f t="shared" ref="AI369" si="3813">LN(E369/C369)</f>
        <v>1.1926024905160077E-3</v>
      </c>
      <c r="AJ369" s="93">
        <f t="shared" ref="AJ369" si="3814">LN(F369/C369)</f>
        <v>5.7450208957798301E-4</v>
      </c>
      <c r="AK369" s="93">
        <f t="shared" ref="AK369" si="3815">+LN(G369/C369)</f>
        <v>1.8132477472795282E-3</v>
      </c>
      <c r="AL369" s="93">
        <f t="shared" ref="AL369" si="3816">LN(H369/I369)</f>
        <v>3.0247197819458665E-3</v>
      </c>
      <c r="AM369" s="93">
        <f t="shared" ref="AM369" si="3817">LN(O369/P369)</f>
        <v>5.8065802183297896E-3</v>
      </c>
      <c r="AN369" s="93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3">
        <f t="shared" ref="AQ369" si="3821">LN(M369/L369)</f>
        <v>-9.8385720925212722E-4</v>
      </c>
      <c r="AR369" s="93">
        <f t="shared" ref="AR369" si="3822">LN(N369/L369)</f>
        <v>3.208371393123115E-3</v>
      </c>
      <c r="AS369" s="93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3">
        <f t="shared" si="2682"/>
        <v>5.0069857150247064E-3</v>
      </c>
      <c r="AX369" s="28">
        <f t="shared" si="2683"/>
        <v>0.55314861460957521</v>
      </c>
      <c r="AY369" s="93">
        <f t="shared" si="2684"/>
        <v>2.0009117705843955E-3</v>
      </c>
      <c r="AZ369" s="93">
        <f t="shared" si="2685"/>
        <v>5.6082213456413715E-3</v>
      </c>
      <c r="BA369" s="93">
        <f t="shared" ref="BA369" si="3823">AV368</f>
        <v>0.3599863899285462</v>
      </c>
      <c r="BB369" s="93">
        <f t="shared" si="2742"/>
        <v>-5.2126266227519921E-3</v>
      </c>
      <c r="BC369" s="93">
        <f t="shared" ref="BC369" si="3824">AS368</f>
        <v>1.8521237308143758E-3</v>
      </c>
      <c r="BD369" s="39">
        <f t="shared" si="2715"/>
        <v>1</v>
      </c>
      <c r="BE369" s="92"/>
    </row>
    <row r="370" spans="1:57" x14ac:dyDescent="0.15">
      <c r="A370" s="90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2">
        <f t="shared" si="176"/>
        <v>3392.0719999999992</v>
      </c>
      <c r="T370" s="92" t="str">
        <f t="shared" ref="T370" si="3825">IF(AVERAGE(N369)&lt;S369,"熊",IF(AVERAGE(N369)&gt;S369,"牛",""))</f>
        <v>牛</v>
      </c>
      <c r="U370" s="92">
        <f t="shared" ref="U370" si="3826">MAX(H370,O370)</f>
        <v>3438.51</v>
      </c>
      <c r="V370" s="92">
        <f t="shared" ref="V370" si="3827">MIN(I370,P370)</f>
        <v>3414.32</v>
      </c>
      <c r="W370" s="40">
        <f t="shared" ref="W370" si="3828">LN(U370/V370)</f>
        <v>7.0598863456621166E-3</v>
      </c>
      <c r="X370" s="92">
        <f t="shared" ref="X370" si="3829">IF(U370=H370,J370,Q370)</f>
        <v>1444</v>
      </c>
      <c r="Y370" s="92">
        <f t="shared" ref="Y370" si="3830">IF(V370=I370,K370,R370)</f>
        <v>949</v>
      </c>
      <c r="Z370" s="93">
        <f t="shared" ref="Z370" si="3831">(U370-V370)/(C370)</f>
        <v>7.0665287831782305E-3</v>
      </c>
      <c r="AA370" s="93">
        <f t="shared" ref="AA370" si="3832">LN(C370/N369)</f>
        <v>-1.3457950321747575E-3</v>
      </c>
      <c r="AB370" s="93">
        <f t="shared" ref="AB370" si="3833">LN(N370/U370)</f>
        <v>-1.6998540006884248E-3</v>
      </c>
      <c r="AC370" s="93">
        <f t="shared" ref="AC370" si="3834">LN(N370/V370)</f>
        <v>5.3600323449738158E-3</v>
      </c>
      <c r="AD370" s="93">
        <f t="shared" ref="AD370" si="3835">LN(U370/C370)</f>
        <v>4.4682944015588897E-3</v>
      </c>
      <c r="AE370" s="93">
        <f t="shared" ref="AE370" si="3836">LN(V370/C370)</f>
        <v>-2.5915919441033912E-3</v>
      </c>
      <c r="AF370" s="93">
        <f t="shared" ref="AF370" si="3837">LN(N370/C370)</f>
        <v>2.7684404008703144E-3</v>
      </c>
      <c r="AG370" s="93">
        <f t="shared" ref="AG370" si="3838">LN(N370/N369)</f>
        <v>1.4226453686955224E-3</v>
      </c>
      <c r="AH370" s="93">
        <f t="shared" ref="AH370" si="3839">LN(D370/C370)</f>
        <v>-5.1135127878214218E-4</v>
      </c>
      <c r="AI370" s="93">
        <f t="shared" ref="AI370" si="3840">LN(E370/C370)</f>
        <v>4.5561280709645069E-4</v>
      </c>
      <c r="AJ370" s="93">
        <f t="shared" ref="AJ370" si="3841">LN(F370/C370)</f>
        <v>-1.5483878537993657E-4</v>
      </c>
      <c r="AK370" s="93">
        <f t="shared" ref="AK370" si="3842">+LN(G370/C370)</f>
        <v>7.9426730100841305E-4</v>
      </c>
      <c r="AL370" s="93">
        <f t="shared" ref="AL370" si="3843">LN(H370/I370)</f>
        <v>3.7243990909822727E-3</v>
      </c>
      <c r="AM370" s="93">
        <f t="shared" ref="AM370" si="3844">LN(O370/P370)</f>
        <v>3.5601948803635594E-3</v>
      </c>
      <c r="AN370" s="93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3">
        <f t="shared" ref="AQ370" si="3848">LN(M370/L370)</f>
        <v>6.9699318805989353E-4</v>
      </c>
      <c r="AR370" s="93">
        <f t="shared" ref="AR370" si="3849">LN(N370/L370)</f>
        <v>1.4138934122686147E-3</v>
      </c>
      <c r="AS370" s="93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3">
        <f t="shared" si="2682"/>
        <v>2.7684404008703144E-3</v>
      </c>
      <c r="AX370" s="28">
        <f t="shared" si="2683"/>
        <v>0.20049607275733353</v>
      </c>
      <c r="AY370" s="93">
        <f t="shared" si="2684"/>
        <v>3.3858592451118095E-3</v>
      </c>
      <c r="AZ370" s="93">
        <f t="shared" si="2685"/>
        <v>1.8603408796750696E-3</v>
      </c>
      <c r="BA370" s="93">
        <f t="shared" ref="BA370" si="3850">AV369</f>
        <v>0.965743073047867</v>
      </c>
      <c r="BB370" s="93">
        <f t="shared" si="2742"/>
        <v>3.208371393123115E-3</v>
      </c>
      <c r="BC370" s="93">
        <f t="shared" ref="BC370" si="3851">AS369</f>
        <v>5.0069857150247064E-3</v>
      </c>
      <c r="BD370" s="39">
        <f t="shared" si="2715"/>
        <v>0</v>
      </c>
      <c r="BE370" t="s">
        <v>572</v>
      </c>
    </row>
    <row r="371" spans="1:57" x14ac:dyDescent="0.15">
      <c r="A371" s="90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2">
        <f t="shared" si="176"/>
        <v>3394.1794999999997</v>
      </c>
      <c r="T371" s="92" t="str">
        <f t="shared" ref="T371" si="3852">IF(AVERAGE(N370)&lt;S370,"熊",IF(AVERAGE(N370)&gt;S370,"牛",""))</f>
        <v>牛</v>
      </c>
      <c r="U371" s="92">
        <f t="shared" ref="U371" si="3853">MAX(H371,O371)</f>
        <v>3449.16</v>
      </c>
      <c r="V371" s="92">
        <f t="shared" ref="V371" si="3854">MIN(I371,P371)</f>
        <v>3435.18</v>
      </c>
      <c r="W371" s="40">
        <f t="shared" ref="W371" si="3855">LN(U371/V371)</f>
        <v>4.0613970886410108E-3</v>
      </c>
      <c r="X371" s="92">
        <f t="shared" ref="X371" si="3856">IF(U371=H371,J371,Q371)</f>
        <v>1001</v>
      </c>
      <c r="Y371" s="92">
        <f t="shared" ref="Y371" si="3857">IF(V371=I371,K371,R371)</f>
        <v>930</v>
      </c>
      <c r="Z371" s="93">
        <f t="shared" ref="Z371" si="3858">(U371-V371)/(C371)</f>
        <v>4.0696557385639237E-3</v>
      </c>
      <c r="AA371" s="93">
        <f t="shared" ref="AA371" si="3859">LN(C371/N370)</f>
        <v>7.3094203040316517E-4</v>
      </c>
      <c r="AB371" s="93">
        <f t="shared" ref="AB371" si="3860">LN(N371/U371)</f>
        <v>-3.8567549510323476E-4</v>
      </c>
      <c r="AC371" s="93">
        <f t="shared" ref="AC371" si="3861">LN(N371/V371)</f>
        <v>3.6757215935376954E-3</v>
      </c>
      <c r="AD371" s="93">
        <f t="shared" ref="AD371" si="3862">LN(U371/C371)</f>
        <v>4.0613970886410108E-3</v>
      </c>
      <c r="AE371" s="93">
        <f t="shared" ref="AE371" si="3863">LN(V371/C371)</f>
        <v>0</v>
      </c>
      <c r="AF371" s="93">
        <f t="shared" ref="AF371" si="3864">LN(N371/C371)</f>
        <v>3.6757215935376954E-3</v>
      </c>
      <c r="AG371" s="93">
        <f t="shared" ref="AG371" si="3865">LN(N371/N370)</f>
        <v>4.4066636239410636E-3</v>
      </c>
      <c r="AH371" s="93">
        <f t="shared" ref="AH371" si="3866">LN(D371/C371)</f>
        <v>1.4835373736087397E-3</v>
      </c>
      <c r="AI371" s="93">
        <f t="shared" ref="AI371" si="3867">LN(E371/C371)</f>
        <v>2.9213396141835692E-3</v>
      </c>
      <c r="AJ371" s="93">
        <f t="shared" ref="AJ371" si="3868">LN(F371/C371)</f>
        <v>2.6252342681896464E-3</v>
      </c>
      <c r="AK371" s="93">
        <f t="shared" ref="AK371" si="3869">+LN(G371/C371)</f>
        <v>2.0995764941389955E-3</v>
      </c>
      <c r="AL371" s="93">
        <f t="shared" ref="AL371" si="3870">LN(H371/I371)</f>
        <v>4.0613970886410108E-3</v>
      </c>
      <c r="AM371" s="93">
        <f t="shared" ref="AM371" si="3871">LN(O371/P371)</f>
        <v>2.0928434451052708E-3</v>
      </c>
      <c r="AN371" s="93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3">
        <f t="shared" ref="AQ371" si="3875">LN(M371/L371)</f>
        <v>-5.8068805744199687E-5</v>
      </c>
      <c r="AR371" s="93">
        <f t="shared" ref="AR371" si="3876">LN(N371/L371)</f>
        <v>1.0272602076872959E-3</v>
      </c>
      <c r="AS371" s="93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3">
        <f t="shared" si="2682"/>
        <v>3.6757215935376954E-3</v>
      </c>
      <c r="AX371" s="28">
        <f t="shared" si="2683"/>
        <v>0.25321888412016874</v>
      </c>
      <c r="AY371" s="93">
        <f t="shared" si="2684"/>
        <v>2.0995764941389955E-3</v>
      </c>
      <c r="AZ371" s="93">
        <f t="shared" si="2685"/>
        <v>1.8463419525230191E-3</v>
      </c>
      <c r="BA371" s="93">
        <f t="shared" ref="BA371" si="3877">AV370</f>
        <v>0.75857792476229302</v>
      </c>
      <c r="BB371" s="93">
        <f t="shared" si="2742"/>
        <v>1.4138934122686147E-3</v>
      </c>
      <c r="BC371" s="93">
        <f t="shared" ref="BC371" si="3878">AS370</f>
        <v>2.7684404008703144E-3</v>
      </c>
      <c r="BD371" s="39">
        <f t="shared" si="2715"/>
        <v>0</v>
      </c>
    </row>
    <row r="372" spans="1:57" x14ac:dyDescent="0.15">
      <c r="A372" s="90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2">
        <f t="shared" si="176"/>
        <v>3397.6475</v>
      </c>
      <c r="T372" s="92" t="str">
        <f t="shared" ref="T372" si="3879">IF(AVERAGE(N371)&lt;S371,"熊",IF(AVERAGE(N371)&gt;S371,"牛",""))</f>
        <v>牛</v>
      </c>
      <c r="U372" s="92">
        <f t="shared" ref="U372" si="3880">MAX(H372,O372)</f>
        <v>3450.33</v>
      </c>
      <c r="V372" s="92">
        <f t="shared" ref="V372" si="3881">MIN(I372,P372)</f>
        <v>3419.79</v>
      </c>
      <c r="W372" s="40">
        <f t="shared" ref="W372" si="3882">LN(U372/V372)</f>
        <v>8.8907329623347346E-3</v>
      </c>
      <c r="X372" s="92">
        <f t="shared" ref="X372" si="3883">IF(U372=H372,J372,Q372)</f>
        <v>939</v>
      </c>
      <c r="Y372" s="92">
        <f t="shared" ref="Y372" si="3884">IF(V372=I372,K372,R372)</f>
        <v>1414</v>
      </c>
      <c r="Z372" s="93">
        <f t="shared" ref="Z372" si="3885">(U372-V372)/(C372)</f>
        <v>8.8610606579351946E-3</v>
      </c>
      <c r="AA372" s="93">
        <f t="shared" ref="AA372" si="3886">LN(C372/N371)</f>
        <v>-3.742183883528296E-4</v>
      </c>
      <c r="AB372" s="93">
        <f t="shared" ref="AB372" si="3887">LN(N372/U372)</f>
        <v>-6.0437372457830983E-3</v>
      </c>
      <c r="AC372" s="93">
        <f t="shared" ref="AC372" si="3888">LN(N372/V372)</f>
        <v>2.8469957165516671E-3</v>
      </c>
      <c r="AD372" s="93">
        <f t="shared" ref="AD372" si="3889">LN(U372/C372)</f>
        <v>1.0990493895051264E-3</v>
      </c>
      <c r="AE372" s="93">
        <f t="shared" ref="AE372" si="3890">LN(V372/C372)</f>
        <v>-7.7916835728296151E-3</v>
      </c>
      <c r="AF372" s="93">
        <f t="shared" ref="AF372" si="3891">LN(N372/C372)</f>
        <v>-4.9446878562780577E-3</v>
      </c>
      <c r="AG372" s="93">
        <f t="shared" ref="AG372" si="3892">LN(N372/N371)</f>
        <v>-5.3189062446308824E-3</v>
      </c>
      <c r="AH372" s="93">
        <f t="shared" ref="AH372" si="3893">LN(D372/C372)</f>
        <v>-8.272583535047901E-4</v>
      </c>
      <c r="AI372" s="93">
        <f t="shared" ref="AI372" si="3894">LN(E372/C372)</f>
        <v>-2.3794807620992301E-4</v>
      </c>
      <c r="AJ372" s="93">
        <f t="shared" ref="AJ372" si="3895">LN(F372/C372)</f>
        <v>7.1930346684798217E-4</v>
      </c>
      <c r="AK372" s="93">
        <f t="shared" ref="AK372" si="3896">+LN(G372/C372)</f>
        <v>-4.3587751055337801E-3</v>
      </c>
      <c r="AL372" s="93">
        <f t="shared" ref="AL372" si="3897">LN(H372/I372)</f>
        <v>6.14288082034007E-3</v>
      </c>
      <c r="AM372" s="93">
        <f t="shared" ref="AM372" si="3898">LN(O372/P372)</f>
        <v>7.0544408850150495E-3</v>
      </c>
      <c r="AN372" s="93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3">
        <f t="shared" ref="AQ372" si="3902">LN(M372/L372)</f>
        <v>7.3652390263632798E-4</v>
      </c>
      <c r="AR372" s="93">
        <f t="shared" ref="AR372" si="3903">LN(N372/L372)</f>
        <v>-1.2384660341904362E-3</v>
      </c>
      <c r="AS372" s="93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3">
        <f t="shared" si="2682"/>
        <v>-4.9446878562780577E-3</v>
      </c>
      <c r="AX372" s="28">
        <f t="shared" si="2683"/>
        <v>-0.13916175507531123</v>
      </c>
      <c r="AY372" s="93">
        <f t="shared" si="2684"/>
        <v>6.8505632530127568E-4</v>
      </c>
      <c r="AZ372" s="93">
        <f t="shared" si="2685"/>
        <v>2.8469957165516671E-3</v>
      </c>
      <c r="BA372" s="93">
        <f t="shared" ref="BA372" si="3904">AV371</f>
        <v>0.90486409155937586</v>
      </c>
      <c r="BB372" s="93">
        <f t="shared" si="2742"/>
        <v>1.0272602076872959E-3</v>
      </c>
      <c r="BC372" s="93">
        <f t="shared" ref="BC372" si="3905">AS371</f>
        <v>3.6757215935376954E-3</v>
      </c>
      <c r="BD372" s="39">
        <f t="shared" si="2715"/>
        <v>0</v>
      </c>
    </row>
    <row r="373" spans="1:57" x14ac:dyDescent="0.15">
      <c r="A373" s="90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2">
        <f t="shared" si="176"/>
        <v>3400.5225</v>
      </c>
      <c r="T373" s="92" t="str">
        <f t="shared" ref="T373" si="3906">IF(AVERAGE(N372)&lt;S372,"熊",IF(AVERAGE(N372)&gt;S372,"牛",""))</f>
        <v>牛</v>
      </c>
      <c r="U373" s="92">
        <f t="shared" ref="U373" si="3907">MAX(H373,O373)</f>
        <v>3423.75</v>
      </c>
      <c r="V373" s="92">
        <f t="shared" ref="V373" si="3908">MIN(I373,P373)</f>
        <v>3396.38</v>
      </c>
      <c r="W373" s="40">
        <f t="shared" ref="W373" si="3909">LN(U373/V373)</f>
        <v>8.02628305733398E-3</v>
      </c>
      <c r="X373" s="92">
        <f t="shared" ref="X373" si="3910">IF(U373=H373,J373,Q373)</f>
        <v>949</v>
      </c>
      <c r="Y373" s="92">
        <f t="shared" ref="Y373" si="3911">IF(V373=I373,K373,R373)</f>
        <v>1324</v>
      </c>
      <c r="Z373" s="93">
        <f t="shared" ref="Z373" si="3912">(U373-V373)/(C373)</f>
        <v>8.0118025531217031E-3</v>
      </c>
      <c r="AA373" s="93">
        <f t="shared" ref="AA373" si="3913">LN(C373/N372)</f>
        <v>-3.8943919503968763E-3</v>
      </c>
      <c r="AB373" s="93">
        <f t="shared" ref="AB373" si="3914">LN(N373/U373)</f>
        <v>-6.2201080380827013E-3</v>
      </c>
      <c r="AC373" s="93">
        <f t="shared" ref="AC373" si="3915">LN(N373/V373)</f>
        <v>1.8061750192511635E-3</v>
      </c>
      <c r="AD373" s="93">
        <f t="shared" ref="AD373" si="3916">LN(U373/C373)</f>
        <v>2.2046921485268382E-3</v>
      </c>
      <c r="AE373" s="93">
        <f t="shared" ref="AE373" si="3917">LN(V373/C373)</f>
        <v>-5.8215909088070077E-3</v>
      </c>
      <c r="AF373" s="93">
        <f t="shared" ref="AF373" si="3918">LN(N373/C373)</f>
        <v>-4.0154158895557941E-3</v>
      </c>
      <c r="AG373" s="93">
        <f t="shared" ref="AG373" si="3919">LN(N373/N372)</f>
        <v>-7.9098078399526262E-3</v>
      </c>
      <c r="AH373" s="93">
        <f t="shared" ref="AH373" si="3920">LN(D373/C373)</f>
        <v>-1.3298419623879261E-3</v>
      </c>
      <c r="AI373" s="93">
        <f t="shared" ref="AI373" si="3921">LN(E373/C373)</f>
        <v>-1.4637173763525847E-4</v>
      </c>
      <c r="AJ373" s="93">
        <f t="shared" ref="AJ373" si="3922">LN(F373/C373)</f>
        <v>-3.2204610807490237E-4</v>
      </c>
      <c r="AK373" s="93">
        <f t="shared" ref="AK373" si="3923">+LN(G373/C373)</f>
        <v>-3.3367376700823245E-3</v>
      </c>
      <c r="AL373" s="93">
        <f t="shared" ref="AL373" si="3924">LN(H373/I373)</f>
        <v>6.6963391191028456E-3</v>
      </c>
      <c r="AM373" s="93">
        <f t="shared" ref="AM373" si="3925">LN(O373/P373)</f>
        <v>4.4213996916524544E-3</v>
      </c>
      <c r="AN373" s="93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3">
        <f t="shared" ref="AQ373" si="3929">LN(M373/L373)</f>
        <v>-1.0639987365795159E-3</v>
      </c>
      <c r="AR373" s="93">
        <f t="shared" ref="AR373" si="3930">LN(N373/L373)</f>
        <v>-4.5544098492572062E-4</v>
      </c>
      <c r="AS373" s="93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3">
        <f t="shared" si="2682"/>
        <v>-4.0154158895557941E-3</v>
      </c>
      <c r="AX373" s="28">
        <f t="shared" si="2683"/>
        <v>-5.6631348191457362E-2</v>
      </c>
      <c r="AY373" s="93">
        <f t="shared" si="2684"/>
        <v>1.1549093004936176E-3</v>
      </c>
      <c r="AZ373" s="93">
        <f t="shared" si="2685"/>
        <v>1.8061750192511635E-3</v>
      </c>
      <c r="BA373" s="93">
        <f t="shared" ref="BA373" si="3931">AV372</f>
        <v>0.31925343811394929</v>
      </c>
      <c r="BB373" s="93">
        <f t="shared" si="2742"/>
        <v>-1.2384660341904362E-3</v>
      </c>
      <c r="BC373" s="93">
        <f t="shared" ref="BC373" si="3932">AS372</f>
        <v>-4.9446878562780577E-3</v>
      </c>
      <c r="BD373" s="39">
        <f t="shared" si="2715"/>
        <v>1</v>
      </c>
      <c r="BE373" t="s">
        <v>582</v>
      </c>
    </row>
    <row r="374" spans="1:57" x14ac:dyDescent="0.15">
      <c r="A374" s="90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2">
        <f t="shared" si="176"/>
        <v>3401.5589999999997</v>
      </c>
      <c r="T374" s="92" t="str">
        <f t="shared" ref="T374" si="3933">IF(AVERAGE(N373)&lt;S373,"熊",IF(AVERAGE(N373)&gt;S373,"牛",""))</f>
        <v>牛</v>
      </c>
      <c r="U374" s="92">
        <f t="shared" ref="U374" si="3934">MAX(H374,O374)</f>
        <v>3409.42</v>
      </c>
      <c r="V374" s="92">
        <f t="shared" ref="V374" si="3935">MIN(I374,P374)</f>
        <v>3390.69</v>
      </c>
      <c r="W374" s="40">
        <f t="shared" ref="W374" si="3936">LN(U374/V374)</f>
        <v>5.5087483483371533E-3</v>
      </c>
      <c r="X374" s="92">
        <f t="shared" ref="X374" si="3937">IF(U374=H374,J374,Q374)</f>
        <v>1408</v>
      </c>
      <c r="Y374" s="92">
        <f t="shared" ref="Y374" si="3938">IF(V374=I374,K374,R374)</f>
        <v>951</v>
      </c>
      <c r="Z374" s="93">
        <f t="shared" ref="Z374" si="3939">(U374-V374)/(C374)</f>
        <v>5.5198795233983413E-3</v>
      </c>
      <c r="AA374" s="93">
        <f t="shared" ref="AA374" si="3940">LN(C374/N373)</f>
        <v>-2.7458516805799246E-3</v>
      </c>
      <c r="AB374" s="93">
        <f t="shared" ref="AB374" si="3941">LN(N374/U374)</f>
        <v>-2.9873697986271814E-3</v>
      </c>
      <c r="AC374" s="93">
        <f t="shared" ref="AC374" si="3942">LN(N374/V374)</f>
        <v>2.5213785497099615E-3</v>
      </c>
      <c r="AD374" s="93">
        <f t="shared" ref="AD374" si="3943">LN(U374/C374)</f>
        <v>4.7717069757973098E-3</v>
      </c>
      <c r="AE374" s="93">
        <f t="shared" ref="AE374" si="3944">LN(V374/C374)</f>
        <v>-7.3704137253984231E-4</v>
      </c>
      <c r="AF374" s="93">
        <f t="shared" ref="AF374" si="3945">LN(N374/C374)</f>
        <v>1.7843371771701284E-3</v>
      </c>
      <c r="AG374" s="93">
        <f t="shared" ref="AG374" si="3946">LN(N374/N373)</f>
        <v>-9.615145034098055E-4</v>
      </c>
      <c r="AH374" s="93">
        <f t="shared" ref="AH374" si="3947">LN(D374/C374)</f>
        <v>1.4734310932401447E-4</v>
      </c>
      <c r="AI374" s="93">
        <f t="shared" ref="AI374" si="3948">LN(E374/C374)</f>
        <v>1.0015052871188445E-3</v>
      </c>
      <c r="AJ374" s="93">
        <f t="shared" ref="AJ374" si="3949">LN(F374/C374)</f>
        <v>1.7975568010045726E-4</v>
      </c>
      <c r="AK374" s="93">
        <f t="shared" ref="AK374" si="3950">+LN(G374/C374)</f>
        <v>1.7813953474403075E-3</v>
      </c>
      <c r="AL374" s="93">
        <f t="shared" ref="AL374" si="3951">LN(H374/I374)</f>
        <v>4.6959632236266728E-3</v>
      </c>
      <c r="AM374" s="93">
        <f t="shared" ref="AM374" si="3952">LN(O374/P374)</f>
        <v>5.3023220005248275E-3</v>
      </c>
      <c r="AN374" s="93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3">
        <f t="shared" ref="AQ374" si="3956">LN(M374/L374)</f>
        <v>-9.2401594469225274E-4</v>
      </c>
      <c r="AR374" s="93">
        <f t="shared" ref="AR374" si="3957">LN(N374/L374)</f>
        <v>-1.5590459258861406E-4</v>
      </c>
      <c r="AS374" s="93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3">
        <f t="shared" si="2682"/>
        <v>1.7843371771701284E-3</v>
      </c>
      <c r="AX374" s="28">
        <f t="shared" si="2683"/>
        <v>-2.8296849973315514E-2</v>
      </c>
      <c r="AY374" s="93">
        <f t="shared" si="2684"/>
        <v>2.5184367199801122E-3</v>
      </c>
      <c r="AZ374" s="93">
        <f t="shared" si="2685"/>
        <v>2.3149522018977037E-3</v>
      </c>
      <c r="BA374" s="93">
        <f t="shared" ref="BA374" si="3958">AV373</f>
        <v>0.224333211545484</v>
      </c>
      <c r="BB374" s="93">
        <f t="shared" si="2742"/>
        <v>-4.5544098492572062E-4</v>
      </c>
      <c r="BC374" s="93">
        <f t="shared" ref="BC374" si="3959">AS373</f>
        <v>-4.0154158895557941E-3</v>
      </c>
      <c r="BD374" s="39">
        <f t="shared" si="2715"/>
        <v>1</v>
      </c>
    </row>
    <row r="375" spans="1:57" x14ac:dyDescent="0.15">
      <c r="A375" s="90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2">
        <f t="shared" si="176"/>
        <v>3403.0129999999999</v>
      </c>
      <c r="T375" s="92" t="str">
        <f t="shared" ref="T375" si="3960">IF(AVERAGE(N374)&lt;S374,"熊",IF(AVERAGE(N374)&gt;S374,"牛",""))</f>
        <v>熊</v>
      </c>
      <c r="U375" s="92">
        <f t="shared" ref="U375" si="3961">MAX(H375,O375)</f>
        <v>3403.28</v>
      </c>
      <c r="V375" s="92">
        <f t="shared" ref="V375" si="3962">MIN(I375,P375)</f>
        <v>3373.29</v>
      </c>
      <c r="W375" s="40">
        <f t="shared" ref="W375" si="3963">LN(U375/V375)</f>
        <v>8.8511432159040695E-3</v>
      </c>
      <c r="X375" s="92">
        <f t="shared" ref="X375" si="3964">IF(U375=H375,J375,Q375)</f>
        <v>941</v>
      </c>
      <c r="Y375" s="92">
        <f t="shared" ref="Y375" si="3965">IF(V375=I375,K375,R375)</f>
        <v>1311</v>
      </c>
      <c r="Z375" s="93">
        <f t="shared" ref="Z375" si="3966">(U375-V375)/(C375)</f>
        <v>8.8396194159190492E-3</v>
      </c>
      <c r="AA375" s="93">
        <f t="shared" ref="AA375" si="3967">LN(C375/N374)</f>
        <v>-1.9346495176541841E-3</v>
      </c>
      <c r="AB375" s="93">
        <f t="shared" ref="AB375" si="3968">LN(N375/U375)</f>
        <v>-6.006342675642316E-3</v>
      </c>
      <c r="AC375" s="93">
        <f t="shared" ref="AC375" si="3969">LN(N375/V375)</f>
        <v>2.8448005402618172E-3</v>
      </c>
      <c r="AD375" s="93">
        <f t="shared" ref="AD375" si="3970">LN(U375/C375)</f>
        <v>3.1195029387988526E-3</v>
      </c>
      <c r="AE375" s="93">
        <f t="shared" ref="AE375" si="3971">LN(V375/C375)</f>
        <v>-5.7316402771053288E-3</v>
      </c>
      <c r="AF375" s="93">
        <f t="shared" ref="AF375" si="3972">LN(N375/C375)</f>
        <v>-2.8868397368436312E-3</v>
      </c>
      <c r="AG375" s="93">
        <f t="shared" ref="AG375" si="3973">LN(N375/N374)</f>
        <v>-4.8214892544978837E-3</v>
      </c>
      <c r="AH375" s="93">
        <f t="shared" ref="AH375" si="3974">LN(D375/C375)</f>
        <v>1.390263667069652E-3</v>
      </c>
      <c r="AI375" s="93">
        <f t="shared" ref="AI375" si="3975">LN(E375/C375)</f>
        <v>2.7903544898778918E-3</v>
      </c>
      <c r="AJ375" s="93">
        <f t="shared" ref="AJ375" si="3976">LN(F375/C375)</f>
        <v>2.8902860074800306E-3</v>
      </c>
      <c r="AK375" s="93">
        <f t="shared" ref="AK375" si="3977">+LN(G375/C375)</f>
        <v>-4.0314834768829817E-3</v>
      </c>
      <c r="AL375" s="93">
        <f t="shared" ref="AL375" si="3978">LN(H375/I375)</f>
        <v>8.8007485814396574E-3</v>
      </c>
      <c r="AM375" s="93">
        <f t="shared" ref="AM375" si="3979">LN(O375/P375)</f>
        <v>4.4545479803578692E-3</v>
      </c>
      <c r="AN375" s="93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3">
        <f t="shared" ref="AQ375" si="3983">LN(M375/L375)</f>
        <v>-2.1196797629417993E-3</v>
      </c>
      <c r="AR375" s="93">
        <f t="shared" ref="AR375" si="3984">LN(N375/L375)</f>
        <v>4.287182130460982E-4</v>
      </c>
      <c r="AS375" s="93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3">
        <f t="shared" si="2682"/>
        <v>-2.8868397368436312E-3</v>
      </c>
      <c r="AX375" s="28">
        <f t="shared" si="2683"/>
        <v>4.8349449816614251E-2</v>
      </c>
      <c r="AY375" s="93">
        <f t="shared" si="2684"/>
        <v>1.6497621657579128E-3</v>
      </c>
      <c r="AZ375" s="93">
        <f t="shared" si="2685"/>
        <v>2.8448005402618172E-3</v>
      </c>
      <c r="BA375" s="93">
        <f t="shared" ref="BA375" si="3985">AV374</f>
        <v>0.45702082221035434</v>
      </c>
      <c r="BB375" s="93">
        <f t="shared" si="2742"/>
        <v>-1.5590459258861406E-4</v>
      </c>
      <c r="BC375" s="93">
        <f t="shared" ref="BC375" si="3986">AS374</f>
        <v>1.7843371771701284E-3</v>
      </c>
      <c r="BD375" s="39">
        <f t="shared" si="2715"/>
        <v>1</v>
      </c>
    </row>
    <row r="376" spans="1:57" x14ac:dyDescent="0.15">
      <c r="A376" s="90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2">
        <f t="shared" si="176"/>
        <v>3403.2259999999997</v>
      </c>
      <c r="T376" s="92" t="str">
        <f t="shared" ref="T376" si="3987">IF(AVERAGE(N375)&lt;S375,"熊",IF(AVERAGE(N375)&gt;S375,"牛",""))</f>
        <v>熊</v>
      </c>
      <c r="U376" s="92">
        <f t="shared" ref="U376" si="3988">MAX(H376,O376)</f>
        <v>3393.03</v>
      </c>
      <c r="V376" s="92">
        <f t="shared" ref="V376" si="3989">MIN(I376,P376)</f>
        <v>3337.11</v>
      </c>
      <c r="W376" s="40">
        <f t="shared" ref="W376" si="3990">LN(U376/V376)</f>
        <v>1.6618164530153849E-2</v>
      </c>
      <c r="X376" s="92">
        <f t="shared" ref="X376" si="3991">IF(U376=H376,J376,Q376)</f>
        <v>1459</v>
      </c>
      <c r="Y376" s="92">
        <f t="shared" ref="Y376" si="3992">IF(V376=I376,K376,R376)</f>
        <v>1030</v>
      </c>
      <c r="Z376" s="93">
        <f t="shared" ref="Z376" si="3993">(U376-V376)/(C376)</f>
        <v>1.6636172966218953E-2</v>
      </c>
      <c r="AA376" s="93">
        <f t="shared" ref="AA376" si="3994">LN(C376/N375)</f>
        <v>-6.3906508040282731E-3</v>
      </c>
      <c r="AB376" s="93">
        <f t="shared" ref="AB376" si="3995">LN(N376/U376)</f>
        <v>-1.8863976051536552E-4</v>
      </c>
      <c r="AC376" s="93">
        <f t="shared" ref="AC376" si="3996">LN(N376/V376)</f>
        <v>1.642952476963852E-2</v>
      </c>
      <c r="AD376" s="93">
        <f t="shared" ref="AD376" si="3997">LN(U376/C376)</f>
        <v>9.3806485008527622E-3</v>
      </c>
      <c r="AE376" s="93">
        <f t="shared" ref="AE376" si="3998">LN(V376/C376)</f>
        <v>-7.2375160293012249E-3</v>
      </c>
      <c r="AF376" s="93">
        <f t="shared" ref="AF376" si="3999">LN(N376/C376)</f>
        <v>9.1920087403372149E-3</v>
      </c>
      <c r="AG376" s="93">
        <f t="shared" ref="AG376" si="4000">LN(N376/N375)</f>
        <v>2.8013579363090511E-3</v>
      </c>
      <c r="AH376" s="93">
        <f t="shared" ref="AH376" si="4001">LN(D376/C376)</f>
        <v>-7.6784346909289304E-4</v>
      </c>
      <c r="AI376" s="93">
        <f t="shared" ref="AI376" si="4002">LN(E376/C376)</f>
        <v>-8.5716586942388923E-4</v>
      </c>
      <c r="AJ376" s="93">
        <f t="shared" ref="AJ376" si="4003">LN(F376/C376)</f>
        <v>-6.311993559752321E-3</v>
      </c>
      <c r="AK376" s="93">
        <f t="shared" ref="AK376" si="4004">+LN(G376/C376)</f>
        <v>-2.0906304519811019E-3</v>
      </c>
      <c r="AL376" s="93">
        <f t="shared" ref="AL376" si="4005">LN(H376/I376)</f>
        <v>8.0880028801785311E-3</v>
      </c>
      <c r="AM376" s="93">
        <f t="shared" ref="AM376" si="4006">LN(O376/P376)</f>
        <v>1.3422900850326209E-2</v>
      </c>
      <c r="AN376" s="93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3">
        <f t="shared" ref="AQ376" si="4010">LN(M376/L376)</f>
        <v>-5.2761876744718728E-4</v>
      </c>
      <c r="AR376" s="93">
        <f t="shared" ref="AR376" si="4011">LN(N376/L376)</f>
        <v>1.0910055949186761E-2</v>
      </c>
      <c r="AS376" s="93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3">
        <f t="shared" si="2682"/>
        <v>9.1920087403372149E-3</v>
      </c>
      <c r="AX376" s="28">
        <f t="shared" si="2683"/>
        <v>0.65826180257510547</v>
      </c>
      <c r="AY376" s="93">
        <f t="shared" si="2684"/>
        <v>5.1468855773202926E-3</v>
      </c>
      <c r="AZ376" s="93">
        <f t="shared" si="2685"/>
        <v>1.3234261089810927E-2</v>
      </c>
      <c r="BA376" s="93">
        <f t="shared" ref="BA376" si="4012">AV375</f>
        <v>0.32044014671557358</v>
      </c>
      <c r="BB376" s="93">
        <f t="shared" si="2742"/>
        <v>4.287182130460982E-4</v>
      </c>
      <c r="BC376" s="93">
        <f t="shared" ref="BC376" si="4013">AS375</f>
        <v>-2.8868397368436312E-3</v>
      </c>
      <c r="BD376" s="39">
        <f t="shared" si="2715"/>
        <v>0</v>
      </c>
    </row>
    <row r="377" spans="1:57" x14ac:dyDescent="0.15">
      <c r="A377" s="90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2">
        <f t="shared" si="176"/>
        <v>3403.8110000000001</v>
      </c>
      <c r="T377" s="92" t="str">
        <f t="shared" ref="T377" si="4014">IF(AVERAGE(N376)&lt;S376,"熊",IF(AVERAGE(N376)&gt;S376,"牛",""))</f>
        <v>熊</v>
      </c>
      <c r="U377" s="92">
        <f t="shared" ref="U377" si="4015">MAX(H377,O377)</f>
        <v>3419.31</v>
      </c>
      <c r="V377" s="92">
        <f t="shared" ref="V377" si="4016">MIN(I377,P377)</f>
        <v>3377.85</v>
      </c>
      <c r="W377" s="40">
        <f t="shared" ref="W377" si="4017">LN(U377/V377)</f>
        <v>1.2199363907073666E-2</v>
      </c>
      <c r="X377" s="92">
        <f t="shared" ref="X377" si="4018">IF(U377=H377,J377,Q377)</f>
        <v>1332</v>
      </c>
      <c r="Y377" s="92">
        <f t="shared" ref="Y377" si="4019">IF(V377=I377,K377,R377)</f>
        <v>931</v>
      </c>
      <c r="Z377" s="93">
        <f t="shared" ref="Z377" si="4020">(U377-V377)/(C377)</f>
        <v>1.2257713549119561E-2</v>
      </c>
      <c r="AA377" s="93">
        <f t="shared" ref="AA377" si="4021">LN(C377/N376)</f>
        <v>-2.9609970340367811E-3</v>
      </c>
      <c r="AB377" s="93">
        <f t="shared" ref="AB377" si="4022">LN(N377/U377)</f>
        <v>-2.5828003464464155E-3</v>
      </c>
      <c r="AC377" s="93">
        <f t="shared" ref="AC377" si="4023">LN(N377/V377)</f>
        <v>9.61656356062714E-3</v>
      </c>
      <c r="AD377" s="93">
        <f t="shared" ref="AD377" si="4024">LN(U377/C377)</f>
        <v>1.086508563196207E-2</v>
      </c>
      <c r="AE377" s="93">
        <f t="shared" ref="AE377" si="4025">LN(V377/C377)</f>
        <v>-1.3342782751114837E-3</v>
      </c>
      <c r="AF377" s="93">
        <f t="shared" ref="AF377" si="4026">LN(N377/C377)</f>
        <v>8.282285285515719E-3</v>
      </c>
      <c r="AG377" s="93">
        <f t="shared" ref="AG377" si="4027">LN(N377/N376)</f>
        <v>5.321288251478918E-3</v>
      </c>
      <c r="AH377" s="93">
        <f t="shared" ref="AH377" si="4028">LN(D377/C377)</f>
        <v>-1.0678720929123981E-3</v>
      </c>
      <c r="AI377" s="93">
        <f t="shared" ref="AI377" si="4029">LN(E377/C377)</f>
        <v>1.8195571918384777E-3</v>
      </c>
      <c r="AJ377" s="93">
        <f t="shared" ref="AJ377" si="4030">LN(F377/C377)</f>
        <v>3.7771973283335456E-3</v>
      </c>
      <c r="AK377" s="93">
        <f t="shared" ref="AK377" si="4031">+LN(G377/C377)</f>
        <v>6.544956050253248E-3</v>
      </c>
      <c r="AL377" s="93">
        <f t="shared" ref="AL377" si="4032">LN(H377/I377)</f>
        <v>1.158794259681524E-2</v>
      </c>
      <c r="AM377" s="93">
        <f t="shared" ref="AM377" si="4033">LN(O377/P377)</f>
        <v>4.5521975581040977E-3</v>
      </c>
      <c r="AN377" s="93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3">
        <f t="shared" ref="AQ377" si="4037">LN(M377/L377)</f>
        <v>5.7194228755100859E-4</v>
      </c>
      <c r="AR377" s="93">
        <f t="shared" ref="AR377" si="4038">LN(N377/L377)</f>
        <v>5.9539960256921516E-4</v>
      </c>
      <c r="AS377" s="93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3">
        <f t="shared" si="2682"/>
        <v>8.282285285515719E-3</v>
      </c>
      <c r="AX377" s="28">
        <f t="shared" si="2683"/>
        <v>4.8962855764586193E-2</v>
      </c>
      <c r="AY377" s="93">
        <f t="shared" si="2684"/>
        <v>7.8792343253647704E-3</v>
      </c>
      <c r="AZ377" s="93">
        <f t="shared" si="2685"/>
        <v>1.9693972116578513E-3</v>
      </c>
      <c r="BA377" s="93">
        <f t="shared" ref="BA377" si="4039">AV376</f>
        <v>0.98855507868382819</v>
      </c>
      <c r="BB377" s="93">
        <f t="shared" si="2742"/>
        <v>1.0910055949186761E-2</v>
      </c>
      <c r="BC377" s="93">
        <f t="shared" ref="BC377" si="4040">AS376</f>
        <v>9.1920087403372149E-3</v>
      </c>
      <c r="BD377" s="39">
        <f t="shared" si="2715"/>
        <v>0</v>
      </c>
    </row>
    <row r="378" spans="1:57" x14ac:dyDescent="0.15">
      <c r="A378" s="90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2">
        <f t="shared" si="176"/>
        <v>3404.9234999999999</v>
      </c>
      <c r="T378" s="92" t="str">
        <f t="shared" ref="T378" si="4041">IF(AVERAGE(N377)&lt;S377,"熊",IF(AVERAGE(N377)&gt;S377,"牛",""))</f>
        <v>牛</v>
      </c>
      <c r="U378" s="92">
        <f t="shared" ref="U378" si="4042">MAX(H378,O378)</f>
        <v>3442.09</v>
      </c>
      <c r="V378" s="92">
        <f t="shared" ref="V378" si="4043">MIN(I378,P378)</f>
        <v>3404.61</v>
      </c>
      <c r="W378" s="40">
        <f t="shared" ref="W378" si="4044">LN(U378/V378)</f>
        <v>1.0948449439489034E-2</v>
      </c>
      <c r="X378" s="92">
        <f t="shared" ref="X378" si="4045">IF(U378=H378,J378,Q378)</f>
        <v>1105</v>
      </c>
      <c r="Y378" s="92">
        <f t="shared" ref="Y378" si="4046">IF(V378=I378,K378,R378)</f>
        <v>1415</v>
      </c>
      <c r="Z378" s="93">
        <f t="shared" ref="Z378" si="4047">(U378-V378)/(C378)</f>
        <v>1.0967626772948477E-2</v>
      </c>
      <c r="AA378" s="93">
        <f t="shared" ref="AA378" si="4048">LN(C378/N377)</f>
        <v>2.003568426860516E-3</v>
      </c>
      <c r="AB378" s="93">
        <f t="shared" ref="AB378" si="4049">LN(N378/U378)</f>
        <v>-3.3844820631438463E-3</v>
      </c>
      <c r="AC378" s="93">
        <f t="shared" ref="AC378" si="4050">LN(N378/V378)</f>
        <v>7.5639673763451352E-3</v>
      </c>
      <c r="AD378" s="93">
        <f t="shared" ref="AD378" si="4051">LN(U378/C378)</f>
        <v>7.2193006223079609E-3</v>
      </c>
      <c r="AE378" s="93">
        <f t="shared" ref="AE378" si="4052">LN(V378/C378)</f>
        <v>-3.7291488171811672E-3</v>
      </c>
      <c r="AF378" s="93">
        <f t="shared" ref="AF378" si="4053">LN(N378/C378)</f>
        <v>3.8348185591639571E-3</v>
      </c>
      <c r="AG378" s="93">
        <f t="shared" ref="AG378" si="4054">LN(N378/N377)</f>
        <v>5.8383869860244826E-3</v>
      </c>
      <c r="AH378" s="93">
        <f t="shared" ref="AH378" si="4055">LN(D378/C378)</f>
        <v>1.3480972963991133E-3</v>
      </c>
      <c r="AI378" s="93">
        <f t="shared" ref="AI378" si="4056">LN(E378/C378)</f>
        <v>2.5396931826968429E-3</v>
      </c>
      <c r="AJ378" s="93">
        <f t="shared" ref="AJ378" si="4057">LN(F378/C378)</f>
        <v>2.31783682793786E-3</v>
      </c>
      <c r="AK378" s="93">
        <f t="shared" ref="AK378" si="4058">+LN(G378/C378)</f>
        <v>3.0328553102542477E-3</v>
      </c>
      <c r="AL378" s="93">
        <f t="shared" ref="AL378" si="4059">LN(H378/I378)</f>
        <v>7.2544163726032881E-3</v>
      </c>
      <c r="AM378" s="93">
        <f t="shared" ref="AM378" si="4060">LN(O378/P378)</f>
        <v>9.7478766250259832E-3</v>
      </c>
      <c r="AN378" s="93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3">
        <f t="shared" ref="AQ378" si="4064">LN(M378/L378)</f>
        <v>1.5828530508403881E-3</v>
      </c>
      <c r="AR378" s="93">
        <f t="shared" ref="AR378" si="4065">LN(N378/L378)</f>
        <v>7.757069966380242E-4</v>
      </c>
      <c r="AS378" s="93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3">
        <f t="shared" si="2682"/>
        <v>3.8348185591639571E-3</v>
      </c>
      <c r="AX378" s="28">
        <f t="shared" si="2683"/>
        <v>7.0971184631799716E-2</v>
      </c>
      <c r="AY378" s="93">
        <f t="shared" si="2684"/>
        <v>3.0679710605498924E-3</v>
      </c>
      <c r="AZ378" s="93">
        <f t="shared" si="2685"/>
        <v>7.5639673763451352E-3</v>
      </c>
      <c r="BA378" s="93">
        <f t="shared" ref="BA378" si="4066">AV377</f>
        <v>0.78726483357452592</v>
      </c>
      <c r="BB378" s="93">
        <f t="shared" si="2742"/>
        <v>5.9539960256921516E-4</v>
      </c>
      <c r="BC378" s="93">
        <f t="shared" ref="BC378" si="4067">AS377</f>
        <v>8.282285285515719E-3</v>
      </c>
      <c r="BD378" s="39">
        <f t="shared" si="2715"/>
        <v>0</v>
      </c>
    </row>
    <row r="379" spans="1:57" x14ac:dyDescent="0.15">
      <c r="A379" s="90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2">
        <f t="shared" si="176"/>
        <v>3406.6019999999999</v>
      </c>
      <c r="T379" s="92" t="str">
        <f t="shared" ref="T379" si="4068">IF(AVERAGE(N378)&lt;S378,"熊",IF(AVERAGE(N378)&gt;S378,"牛",""))</f>
        <v>牛</v>
      </c>
      <c r="U379" s="92">
        <f t="shared" ref="U379" si="4069">MAX(H379,O379)</f>
        <v>3429.19</v>
      </c>
      <c r="V379" s="92">
        <f t="shared" ref="V379" si="4070">MIN(I379,P379)</f>
        <v>3342.33</v>
      </c>
      <c r="W379" s="40">
        <f t="shared" ref="W379" si="4071">LN(U379/V379)</f>
        <v>2.5655913120258514E-2</v>
      </c>
      <c r="X379" s="92">
        <f t="shared" ref="X379" si="4072">IF(U379=H379,J379,Q379)</f>
        <v>1031</v>
      </c>
      <c r="Y379" s="92">
        <f t="shared" ref="Y379" si="4073">IF(V379=I379,K379,R379)</f>
        <v>1449</v>
      </c>
      <c r="Z379" s="93">
        <f t="shared" ref="Z379" si="4074">(U379-V379)/(C379)</f>
        <v>2.5360583941605876E-2</v>
      </c>
      <c r="AA379" s="93">
        <f t="shared" ref="AA379" si="4075">LN(C379/N378)</f>
        <v>-1.5928912587843064E-3</v>
      </c>
      <c r="AB379" s="93">
        <f t="shared" ref="AB379" si="4076">LN(N379/U379)</f>
        <v>-2.2793749068795728E-2</v>
      </c>
      <c r="AC379" s="93">
        <f t="shared" ref="AC379" si="4077">LN(N379/V379)</f>
        <v>2.8621640514628049E-3</v>
      </c>
      <c r="AD379" s="93">
        <f t="shared" ref="AD379" si="4078">LN(U379/C379)</f>
        <v>1.2226099719807905E-3</v>
      </c>
      <c r="AE379" s="93">
        <f t="shared" ref="AE379" si="4079">LN(V379/C379)</f>
        <v>-2.4433303148277678E-2</v>
      </c>
      <c r="AF379" s="93">
        <f t="shared" ref="AF379" si="4080">LN(N379/C379)</f>
        <v>-2.1571139096814868E-2</v>
      </c>
      <c r="AG379" s="93">
        <f t="shared" ref="AG379" si="4081">LN(N379/N378)</f>
        <v>-2.3164030355599205E-2</v>
      </c>
      <c r="AH379" s="93">
        <f t="shared" ref="AH379" si="4082">LN(D379/C379)</f>
        <v>-1.3439684145254646E-3</v>
      </c>
      <c r="AI379" s="93">
        <f t="shared" ref="AI379" si="4083">LN(E379/C379)</f>
        <v>0</v>
      </c>
      <c r="AJ379" s="93">
        <f t="shared" ref="AJ379" si="4084">LN(F379/C379)</f>
        <v>-2.8624871706573731E-3</v>
      </c>
      <c r="AK379" s="93">
        <f t="shared" ref="AK379" si="4085">+LN(G379/C379)</f>
        <v>-7.1701698875231475E-3</v>
      </c>
      <c r="AL379" s="93">
        <f t="shared" ref="AL379" si="4086">LN(H379/I379)</f>
        <v>8.3927798595039935E-3</v>
      </c>
      <c r="AM379" s="93">
        <f t="shared" ref="AM379" si="4087">LN(O379/P379)</f>
        <v>1.7980411163190553E-2</v>
      </c>
      <c r="AN379" s="93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3">
        <f t="shared" ref="AQ379" si="4091">LN(M379/L379)</f>
        <v>-6.1815250907198721E-4</v>
      </c>
      <c r="AR379" s="93">
        <f>LN(N379/L379)</f>
        <v>-1.3736145980709718E-2</v>
      </c>
      <c r="AS379" s="93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3">
        <f t="shared" si="2682"/>
        <v>-2.1571139096814868E-2</v>
      </c>
      <c r="AX379" s="28">
        <f t="shared" si="2683"/>
        <v>-0.53373244301174372</v>
      </c>
      <c r="AY379" s="93">
        <f t="shared" si="2684"/>
        <v>0</v>
      </c>
      <c r="AZ379" s="93">
        <f t="shared" si="2685"/>
        <v>2.8621640514628049E-3</v>
      </c>
      <c r="BA379" s="93">
        <f t="shared" ref="BA379" si="4092">AV378</f>
        <v>0.6897011739594423</v>
      </c>
      <c r="BB379" s="93">
        <f t="shared" si="2742"/>
        <v>7.757069966380242E-4</v>
      </c>
      <c r="BC379" s="93">
        <f t="shared" ref="BC379" si="4093">AS378</f>
        <v>3.8348185591639571E-3</v>
      </c>
      <c r="BD379" s="39">
        <f t="shared" si="2715"/>
        <v>0</v>
      </c>
      <c r="BE379" t="s">
        <v>593</v>
      </c>
    </row>
    <row r="380" spans="1:57" x14ac:dyDescent="0.15">
      <c r="A380" s="90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2">
        <f t="shared" si="176"/>
        <v>3403.8195000000001</v>
      </c>
      <c r="T380" s="92" t="str">
        <f t="shared" ref="T380" si="4094">IF(AVERAGE(N379)&lt;S379,"熊",IF(AVERAGE(N379)&gt;S379,"牛",""))</f>
        <v>熊</v>
      </c>
      <c r="U380" s="92">
        <f t="shared" ref="U380" si="4095">MAX(H380,O380)</f>
        <v>3360.43</v>
      </c>
      <c r="V380" s="92">
        <f t="shared" ref="V380" si="4096">MIN(I380,P380)</f>
        <v>3328.33</v>
      </c>
      <c r="W380" s="40">
        <f t="shared" ref="W380" si="4097">LN(U380/V380)</f>
        <v>9.5982652804210283E-3</v>
      </c>
      <c r="X380" s="92">
        <f t="shared" ref="X380" si="4098">IF(U380=H380,J380,Q380)</f>
        <v>946</v>
      </c>
      <c r="Y380" s="92">
        <f t="shared" ref="Y380" si="4099">IF(V380=I380,K380,R380)</f>
        <v>1317</v>
      </c>
      <c r="Z380" s="93">
        <f t="shared" ref="Z380" si="4100">(U380-V380)/(C380)</f>
        <v>9.609685125644361E-3</v>
      </c>
      <c r="AA380" s="93">
        <f t="shared" ref="AA380" si="4101">LN(C380/N379)</f>
        <v>-3.4457596452697114E-3</v>
      </c>
      <c r="AB380" s="93">
        <f t="shared" ref="AB380" si="4102">LN(N380/U380)</f>
        <v>-1.9689472794265049E-3</v>
      </c>
      <c r="AC380" s="93">
        <f t="shared" ref="AC380" si="4103">LN(N380/V380)</f>
        <v>7.6293180009945833E-3</v>
      </c>
      <c r="AD380" s="93">
        <f t="shared" ref="AD380" si="4104">LN(U380/C380)</f>
        <v>5.9843690052310515E-3</v>
      </c>
      <c r="AE380" s="93">
        <f t="shared" ref="AE380" si="4105">LN(V380/C380)</f>
        <v>-3.6138962751900016E-3</v>
      </c>
      <c r="AF380" s="93">
        <f t="shared" ref="AF380" si="4106">LN(N380/C380)</f>
        <v>4.0154217258043948E-3</v>
      </c>
      <c r="AG380" s="93">
        <f t="shared" ref="AG380" si="4107">LN(N380/N379)</f>
        <v>5.6966208053480058E-4</v>
      </c>
      <c r="AH380" s="93">
        <f t="shared" ref="AH380" si="4108">LN(D380/C380)</f>
        <v>2.4010333282159626E-3</v>
      </c>
      <c r="AI380" s="93">
        <f t="shared" ref="AI380" si="4109">LN(E380/C380)</f>
        <v>-4.0722221121488374E-4</v>
      </c>
      <c r="AJ380" s="93">
        <f t="shared" ref="AJ380" si="4110">LN(F380/C380)</f>
        <v>2.2994874413345928E-3</v>
      </c>
      <c r="AK380" s="93">
        <f t="shared" ref="AK380" si="4111">+LN(G380/C380)</f>
        <v>-2.0617698961263166E-3</v>
      </c>
      <c r="AL380" s="93">
        <f t="shared" ref="AL380" si="4112">LN(H380/I380)</f>
        <v>9.3369070875320218E-3</v>
      </c>
      <c r="AM380" s="93">
        <f t="shared" ref="AM380" si="4113">LN(O380/P380)</f>
        <v>9.5357713252028041E-3</v>
      </c>
      <c r="AN380" s="93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3">
        <f t="shared" ref="AQ380" si="4117">LN(M380/L380)</f>
        <v>1.1699416363724752E-3</v>
      </c>
      <c r="AR380" s="93">
        <f>LN(N380/L380)</f>
        <v>6.6623335355363291E-3</v>
      </c>
      <c r="AS380" s="93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3">
        <f t="shared" si="2682"/>
        <v>4.0154217258043948E-3</v>
      </c>
      <c r="AX380" s="28">
        <f t="shared" si="2683"/>
        <v>0.69376947040498582</v>
      </c>
      <c r="AY380" s="93">
        <f t="shared" si="2684"/>
        <v>1.2907681861747907E-3</v>
      </c>
      <c r="AZ380" s="93">
        <f t="shared" si="2685"/>
        <v>7.6293180009945833E-3</v>
      </c>
      <c r="BA380" s="93">
        <f t="shared" ref="BA380" si="4118">AV379</f>
        <v>0.11029242459129535</v>
      </c>
      <c r="BB380" s="93">
        <f t="shared" si="2742"/>
        <v>-1.3736145980709718E-2</v>
      </c>
      <c r="BC380" s="93">
        <f t="shared" ref="BC380" si="4119">AS379</f>
        <v>-2.1571139096814868E-2</v>
      </c>
      <c r="BD380" s="39">
        <f t="shared" si="2715"/>
        <v>1</v>
      </c>
    </row>
    <row r="381" spans="1:57" x14ac:dyDescent="0.15">
      <c r="A381" s="90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2">
        <f t="shared" si="176"/>
        <v>3400.6699999999996</v>
      </c>
      <c r="T381" s="92" t="str">
        <f t="shared" ref="T381" si="4120">IF(AVERAGE(N380)&lt;S380,"熊",IF(AVERAGE(N380)&gt;S380,"牛",""))</f>
        <v>熊</v>
      </c>
      <c r="U381" s="92">
        <f t="shared" ref="U381" si="4121">MAX(H381,O381)</f>
        <v>3347</v>
      </c>
      <c r="V381" s="92">
        <f t="shared" ref="V381" si="4122">MIN(I381,P381)</f>
        <v>3315.42</v>
      </c>
      <c r="W381" s="40">
        <f t="shared" ref="W381" si="4123">LN(U381/V381)</f>
        <v>9.4801097841502903E-3</v>
      </c>
      <c r="X381" s="92">
        <f t="shared" ref="X381" si="4124">IF(U381=H381,J381,Q381)</f>
        <v>932</v>
      </c>
      <c r="Y381" s="92">
        <f t="shared" ref="Y381" si="4125">IF(V381=I381,K381,R381)</f>
        <v>1448</v>
      </c>
      <c r="Z381" s="93">
        <f t="shared" ref="Z381" si="4126">(U381-V381)/(C381)</f>
        <v>9.4362737774377828E-3</v>
      </c>
      <c r="AA381" s="93">
        <f t="shared" ref="AA381" si="4127">LN(C381/N380)</f>
        <v>-2.1371611362916818E-3</v>
      </c>
      <c r="AB381" s="93">
        <f t="shared" ref="AB381" si="4128">LN(N381/U381)</f>
        <v>-7.4281780343848514E-3</v>
      </c>
      <c r="AC381" s="93">
        <f t="shared" ref="AC381" si="4129">LN(N381/V381)</f>
        <v>2.0519317497655057E-3</v>
      </c>
      <c r="AD381" s="93">
        <f t="shared" ref="AD381" si="4130">LN(U381/C381)</f>
        <v>1.0158866757268103E-4</v>
      </c>
      <c r="AE381" s="93">
        <f t="shared" ref="AE381" si="4131">LN(V381/C381)</f>
        <v>-9.3785211165776181E-3</v>
      </c>
      <c r="AF381" s="93">
        <f t="shared" ref="AF381" si="4132">LN(N381/C381)</f>
        <v>-7.3265893668121264E-3</v>
      </c>
      <c r="AG381" s="93">
        <f t="shared" ref="AG381" si="4133">LN(N381/N380)</f>
        <v>-9.4637505031038814E-3</v>
      </c>
      <c r="AH381" s="93">
        <f t="shared" ref="AH381" si="4134">LN(D381/C381)</f>
        <v>-1.7631071372312864E-4</v>
      </c>
      <c r="AI381" s="93">
        <f t="shared" ref="AI381" si="4135">LN(E381/C381)</f>
        <v>-3.706069556046973E-3</v>
      </c>
      <c r="AJ381" s="93">
        <f t="shared" ref="AJ381" si="4136">LN(F381/C381)</f>
        <v>-2.006996744940483E-3</v>
      </c>
      <c r="AK381" s="93">
        <f t="shared" ref="AK381" si="4137">+LN(G381/C381)</f>
        <v>-5.7866421786249298E-3</v>
      </c>
      <c r="AL381" s="93">
        <f t="shared" ref="AL381" si="4138">LN(H381/I381)</f>
        <v>7.4612888729199134E-3</v>
      </c>
      <c r="AM381" s="93">
        <f t="shared" ref="AM381" si="4139">LN(O381/P381)</f>
        <v>4.2198092372931865E-3</v>
      </c>
      <c r="AN381" s="93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3">
        <f t="shared" ref="AQ381" si="4143">LN(M381/L381)</f>
        <v>-8.2696450118862729E-4</v>
      </c>
      <c r="AR381" s="93">
        <f t="shared" ref="AR381" si="4144">LN(N381/L381)</f>
        <v>-1.371630921525575E-3</v>
      </c>
      <c r="AS381" s="93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3">
        <f t="shared" si="2682"/>
        <v>-7.3265893668121264E-3</v>
      </c>
      <c r="AX381" s="28">
        <f t="shared" si="2683"/>
        <v>-0.14439518682710437</v>
      </c>
      <c r="AY381" s="93">
        <f t="shared" si="2684"/>
        <v>1.5730580267223936E-3</v>
      </c>
      <c r="AZ381" s="93">
        <f t="shared" si="2685"/>
        <v>2.0519317497655057E-3</v>
      </c>
      <c r="BA381" s="93">
        <f t="shared" ref="BA381" si="4145">AV380</f>
        <v>0.79408099688474487</v>
      </c>
      <c r="BB381" s="93">
        <f t="shared" si="2742"/>
        <v>6.6623335355363291E-3</v>
      </c>
      <c r="BC381" s="93">
        <f t="shared" ref="BC381" si="4146">AS380</f>
        <v>4.0154217258043948E-3</v>
      </c>
      <c r="BD381" s="39">
        <f t="shared" si="2715"/>
        <v>0</v>
      </c>
    </row>
    <row r="382" spans="1:57" x14ac:dyDescent="0.15">
      <c r="A382" s="90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2">
        <f t="shared" si="176"/>
        <v>3397.2650000000003</v>
      </c>
      <c r="T382" s="92" t="str">
        <f t="shared" ref="T382" si="4147">IF(AVERAGE(N381)&lt;S381,"熊",IF(AVERAGE(N381)&gt;S381,"牛",""))</f>
        <v>熊</v>
      </c>
      <c r="U382" s="92">
        <f t="shared" ref="U382" si="4148">MAX(H382,O382)</f>
        <v>3333.73</v>
      </c>
      <c r="V382" s="92">
        <f t="shared" ref="V382" si="4149">MIN(I382,P382)</f>
        <v>3300.81</v>
      </c>
      <c r="W382" s="40">
        <f t="shared" ref="W382" si="4150">LN(U382/V382)</f>
        <v>9.9239043471469751E-3</v>
      </c>
      <c r="X382" s="92">
        <f t="shared" ref="X382" si="4151">IF(U382=H382,J382,Q382)</f>
        <v>1459</v>
      </c>
      <c r="Y382" s="92">
        <f t="shared" ref="Y382" si="4152">IF(V382=I382,K382,R382)</f>
        <v>1314</v>
      </c>
      <c r="Z382" s="93">
        <f t="shared" ref="Z382" si="4153">(U382-V382)/(C382)</f>
        <v>9.9419249040387028E-3</v>
      </c>
      <c r="AA382" s="93">
        <f t="shared" ref="AA382" si="4154">LN(C382/N381)</f>
        <v>-3.3165226240032034E-3</v>
      </c>
      <c r="AB382" s="93">
        <f t="shared" ref="AB382" si="4155">LN(N382/U382)</f>
        <v>-2.0997721747975867E-5</v>
      </c>
      <c r="AC382" s="93">
        <f t="shared" ref="AC382" si="4156">LN(N382/V382)</f>
        <v>9.9029066253989804E-3</v>
      </c>
      <c r="AD382" s="93">
        <f t="shared" ref="AD382" si="4157">LN(U382/C382)</f>
        <v>6.7720756751962017E-3</v>
      </c>
      <c r="AE382" s="93">
        <f t="shared" ref="AE382" si="4158">LN(V382/C382)</f>
        <v>-3.1518286719508246E-3</v>
      </c>
      <c r="AF382" s="93">
        <f t="shared" ref="AF382" si="4159">LN(N382/C382)</f>
        <v>6.7510779534481549E-3</v>
      </c>
      <c r="AG382" s="93">
        <f t="shared" ref="AG382" si="4160">LN(N382/N381)</f>
        <v>3.4345553294450599E-3</v>
      </c>
      <c r="AH382" s="93">
        <f t="shared" ref="AH382" si="4161">LN(D382/C382)</f>
        <v>6.2796815125358714E-4</v>
      </c>
      <c r="AI382" s="93">
        <f t="shared" ref="AI382" si="4162">LN(E382/C382)</f>
        <v>2.3016288974429637E-3</v>
      </c>
      <c r="AJ382" s="93">
        <f t="shared" ref="AJ382" si="4163">LN(F382/C382)</f>
        <v>1.0323157991746095E-3</v>
      </c>
      <c r="AK382" s="93">
        <f t="shared" ref="AK382" si="4164">+LN(G382/C382)</f>
        <v>-1.6049208918578054E-3</v>
      </c>
      <c r="AL382" s="93">
        <f t="shared" ref="AL382" si="4165">LN(H382/I382)</f>
        <v>6.4110129176869436E-3</v>
      </c>
      <c r="AM382" s="93">
        <f t="shared" ref="AM382" si="4166">LN(O382/P382)</f>
        <v>9.9239043471469751E-3</v>
      </c>
      <c r="AN382" s="93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3">
        <f t="shared" ref="AQ382" si="4170">LN(M382/L382)</f>
        <v>-6.1125806070686742E-4</v>
      </c>
      <c r="AR382" s="93">
        <f t="shared" ref="AR382" si="4171">LN(N382/L382)</f>
        <v>8.4316236194131988E-3</v>
      </c>
      <c r="AS382" s="93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3">
        <f t="shared" si="2682"/>
        <v>6.7510779534481549E-3</v>
      </c>
      <c r="AX382" s="28">
        <f t="shared" si="2683"/>
        <v>0.85024301336572661</v>
      </c>
      <c r="AY382" s="93">
        <f t="shared" si="2684"/>
        <v>1.1192669720532224E-4</v>
      </c>
      <c r="AZ382" s="93">
        <f t="shared" si="2685"/>
        <v>9.9029066253989804E-3</v>
      </c>
      <c r="BA382" s="93">
        <f t="shared" ref="BA382" si="4172">AV381</f>
        <v>0.21564281190626855</v>
      </c>
      <c r="BB382" s="93">
        <f t="shared" si="2742"/>
        <v>-1.371630921525575E-3</v>
      </c>
      <c r="BC382" s="93">
        <f t="shared" ref="BC382" si="4173">AS381</f>
        <v>-7.3265893668121264E-3</v>
      </c>
      <c r="BD382" s="39">
        <f t="shared" si="2715"/>
        <v>1</v>
      </c>
    </row>
    <row r="383" spans="1:57" x14ac:dyDescent="0.15">
      <c r="A383" s="90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2">
        <f t="shared" si="176"/>
        <v>3394.2810000000004</v>
      </c>
      <c r="T383" s="92" t="str">
        <f t="shared" ref="T383" si="4174">IF(AVERAGE(N382)&lt;S382,"熊",IF(AVERAGE(N382)&gt;S382,"牛",""))</f>
        <v>熊</v>
      </c>
      <c r="U383" s="92">
        <f t="shared" ref="U383" si="4175">MAX(H383,O383)</f>
        <v>3342.95</v>
      </c>
      <c r="V383" s="92">
        <f t="shared" ref="V383" si="4176">MIN(I383,P383)</f>
        <v>3305.61</v>
      </c>
      <c r="W383" s="40">
        <f t="shared" ref="W383" si="4177">LN(U383/V383)</f>
        <v>1.1232625592308742E-2</v>
      </c>
      <c r="X383" s="92">
        <f t="shared" ref="X383" si="4178">IF(U383=H383,J383,Q383)</f>
        <v>935</v>
      </c>
      <c r="Y383" s="92">
        <f t="shared" ref="Y383" si="4179">IF(V383=I383,K383,R383)</f>
        <v>1101</v>
      </c>
      <c r="Z383" s="93">
        <f t="shared" ref="Z383" si="4180">(U383-V383)/(C383)</f>
        <v>1.1194488498217603E-2</v>
      </c>
      <c r="AA383" s="93">
        <f t="shared" ref="AA383" si="4181">LN(C383/N382)</f>
        <v>5.7277978183974078E-4</v>
      </c>
      <c r="AB383" s="93">
        <f t="shared" ref="AB383" si="4182">LN(N383/U383)</f>
        <v>-1.5237676224465874E-3</v>
      </c>
      <c r="AC383" s="93">
        <f t="shared" ref="AC383" si="4183">LN(N383/V383)</f>
        <v>9.7088579698621346E-3</v>
      </c>
      <c r="AD383" s="93">
        <f t="shared" ref="AD383" si="4184">LN(U383/C383)</f>
        <v>2.2100713942355505E-3</v>
      </c>
      <c r="AE383" s="93">
        <f t="shared" ref="AE383" si="4185">LN(V383/C383)</f>
        <v>-9.0225541980731971E-3</v>
      </c>
      <c r="AF383" s="93">
        <f t="shared" ref="AF383" si="4186">LN(N383/C383)</f>
        <v>6.8630377178890045E-4</v>
      </c>
      <c r="AG383" s="93">
        <f t="shared" ref="AG383" si="4187">LN(N383/N382)</f>
        <v>1.2590835536286089E-3</v>
      </c>
      <c r="AH383" s="93">
        <f t="shared" ref="AH383" si="4188">LN(D383/C383)</f>
        <v>-1.7089993850229367E-4</v>
      </c>
      <c r="AI383" s="93">
        <f t="shared" ref="AI383" si="4189">LN(E383/C383)</f>
        <v>1.7762286628984862E-3</v>
      </c>
      <c r="AJ383" s="93">
        <f t="shared" ref="AJ383" si="4190">LN(F383/C383)</f>
        <v>2.6678537275131139E-4</v>
      </c>
      <c r="AK383" s="93">
        <f t="shared" ref="AK383" si="4191">+LN(G383/C383)</f>
        <v>-5.7607067328943181E-3</v>
      </c>
      <c r="AL383" s="93">
        <f t="shared" ref="AL383" si="4192">LN(H383/I383)</f>
        <v>1.1232625592308742E-2</v>
      </c>
      <c r="AM383" s="93">
        <f t="shared" ref="AM383" si="4193">LN(O383/P383)</f>
        <v>9.6720294410027972E-3</v>
      </c>
      <c r="AN383" s="93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3">
        <f t="shared" ref="AQ383" si="4197">LN(M383/L383)</f>
        <v>-1.1490770195840712E-3</v>
      </c>
      <c r="AR383" s="93">
        <f t="shared" ref="AR383" si="4198">LN(N383/L383)</f>
        <v>6.085238905234402E-3</v>
      </c>
      <c r="AS383" s="93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3">
        <f t="shared" si="2682"/>
        <v>6.8630377178890045E-4</v>
      </c>
      <c r="AX383" s="28">
        <f t="shared" si="2683"/>
        <v>0.5423138725227683</v>
      </c>
      <c r="AY383" s="93">
        <f t="shared" si="2684"/>
        <v>3.2618474651788291E-3</v>
      </c>
      <c r="AZ383" s="93">
        <f t="shared" si="2685"/>
        <v>9.3065925751402451E-3</v>
      </c>
      <c r="BA383" s="93">
        <f t="shared" ref="BA383" si="4199">AV382</f>
        <v>0.9978736330498128</v>
      </c>
      <c r="BB383" s="93">
        <f t="shared" si="2742"/>
        <v>8.4316236194131988E-3</v>
      </c>
      <c r="BC383" s="93">
        <f t="shared" ref="BC383" si="4200">AS382</f>
        <v>6.7510779534481549E-3</v>
      </c>
      <c r="BD383" s="39">
        <f t="shared" si="2715"/>
        <v>0</v>
      </c>
    </row>
    <row r="384" spans="1:57" x14ac:dyDescent="0.15">
      <c r="A384" s="90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2">
        <f t="shared" si="176"/>
        <v>3391.3785000000003</v>
      </c>
      <c r="T384" s="92" t="str">
        <f t="shared" ref="T384" si="4201">IF(AVERAGE(N383)&lt;S383,"熊",IF(AVERAGE(N383)&gt;S383,"牛",""))</f>
        <v>熊</v>
      </c>
      <c r="U384" s="92">
        <f t="shared" ref="U384" si="4202">MAX(H384,O384)</f>
        <v>3340.85</v>
      </c>
      <c r="V384" s="92">
        <f t="shared" ref="V384" si="4203">MIN(I384,P384)</f>
        <v>3306.31</v>
      </c>
      <c r="W384" s="40">
        <f t="shared" ref="W384" si="4204">LN(U384/V384)</f>
        <v>1.0392501721402393E-2</v>
      </c>
      <c r="X384" s="92">
        <f t="shared" ref="X384" si="4205">IF(U384=H384,J384,Q384)</f>
        <v>1003</v>
      </c>
      <c r="Y384" s="92">
        <f t="shared" ref="Y384" si="4206">IF(V384=I384,K384,R384)</f>
        <v>1438</v>
      </c>
      <c r="Z384" s="93">
        <f t="shared" ref="Z384" si="4207">(U384-V384)/(C384)</f>
        <v>1.0376610267256286E-2</v>
      </c>
      <c r="AA384" s="93">
        <f t="shared" ref="AA384" si="4208">LN(C384/N383)</f>
        <v>-2.7660709153624671E-3</v>
      </c>
      <c r="AB384" s="93">
        <f t="shared" ref="AB384" si="4209">LN(N384/U384)</f>
        <v>-7.1072266294778747E-3</v>
      </c>
      <c r="AC384" s="93">
        <f t="shared" ref="AC384" si="4210">LN(N384/V384)</f>
        <v>3.2852750919245884E-3</v>
      </c>
      <c r="AD384" s="93">
        <f t="shared" ref="AD384" si="4211">LN(U384/C384)</f>
        <v>3.6614534667111565E-3</v>
      </c>
      <c r="AE384" s="93">
        <f t="shared" ref="AE384" si="4212">LN(V384/C384)</f>
        <v>-6.7310482546912975E-3</v>
      </c>
      <c r="AF384" s="93">
        <f t="shared" ref="AF384" si="4213">LN(N384/C384)</f>
        <v>-3.4457731627666748E-3</v>
      </c>
      <c r="AG384" s="93">
        <f t="shared" ref="AG384" si="4214">LN(N384/N383)</f>
        <v>-6.2118440781290789E-3</v>
      </c>
      <c r="AH384" s="93">
        <f t="shared" ref="AH384" si="4215">LN(D384/C384)</f>
        <v>-1.5212969432405118E-3</v>
      </c>
      <c r="AI384" s="93">
        <f t="shared" ref="AI384" si="4216">LN(E384/C384)</f>
        <v>-3.2377874135621036E-3</v>
      </c>
      <c r="AJ384" s="93">
        <f t="shared" ref="AJ384" si="4217">LN(F384/C384)</f>
        <v>-3.7860463611905814E-4</v>
      </c>
      <c r="AK384" s="93">
        <f t="shared" ref="AK384" si="4218">+LN(G384/C384)</f>
        <v>1.4419264161869133E-4</v>
      </c>
      <c r="AL384" s="93">
        <f t="shared" ref="AL384" si="4219">LN(H384/I384)</f>
        <v>6.9293810622619474E-3</v>
      </c>
      <c r="AM384" s="93">
        <f t="shared" ref="AM384" si="4220">LN(O384/P384)</f>
        <v>9.0626147155400943E-3</v>
      </c>
      <c r="AN384" s="93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3">
        <f t="shared" ref="AQ384" si="4224">LN(M384/L384)</f>
        <v>-3.1539914022316089E-4</v>
      </c>
      <c r="AR384" s="93">
        <f t="shared" ref="AR384:AR389" si="4225">LN(N384/L384)</f>
        <v>-3.7461510403923844E-3</v>
      </c>
      <c r="AS384" s="93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3">
        <f t="shared" si="2682"/>
        <v>-3.4457731627666748E-3</v>
      </c>
      <c r="AX384" s="28">
        <f t="shared" si="2683"/>
        <v>-0.36045165026056258</v>
      </c>
      <c r="AY384" s="93">
        <f t="shared" si="2684"/>
        <v>3.4121202371695946E-3</v>
      </c>
      <c r="AZ384" s="93">
        <f t="shared" si="2685"/>
        <v>3.2852750919245884E-3</v>
      </c>
      <c r="BA384" s="93">
        <f t="shared" ref="BA384" si="4226">AV383</f>
        <v>0.86368505623996428</v>
      </c>
      <c r="BB384" s="93">
        <f t="shared" si="2742"/>
        <v>6.085238905234402E-3</v>
      </c>
      <c r="BC384" s="93">
        <f t="shared" ref="BC384" si="4227">AS383</f>
        <v>6.8630377178890045E-4</v>
      </c>
      <c r="BD384" s="39">
        <f t="shared" ref="BD384:BD385" si="4228">IF(AR383&lt;0,1,0)</f>
        <v>0</v>
      </c>
    </row>
    <row r="385" spans="1:57" x14ac:dyDescent="0.15">
      <c r="A385" s="90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2">
        <f t="shared" si="176"/>
        <v>3388.0725000000007</v>
      </c>
      <c r="T385" s="92" t="str">
        <f t="shared" ref="T385" si="4229">IF(AVERAGE(N384)&lt;S384,"熊",IF(AVERAGE(N384)&gt;S384,"牛",""))</f>
        <v>熊</v>
      </c>
      <c r="U385" s="92">
        <f t="shared" ref="U385" si="4230">MAX(H385,O385)</f>
        <v>3324.41</v>
      </c>
      <c r="V385" s="92">
        <f t="shared" ref="V385" si="4231">MIN(I385,P385)</f>
        <v>3302.62</v>
      </c>
      <c r="W385" s="40">
        <f t="shared" ref="W385" si="4232">LN(U385/V385)</f>
        <v>6.5761218906039412E-3</v>
      </c>
      <c r="X385" s="92">
        <f t="shared" ref="X385" si="4233">IF(U385=H385,J385,Q385)</f>
        <v>1032</v>
      </c>
      <c r="Y385" s="92">
        <f t="shared" ref="Y385" si="4234">IF(V385=I385,K385,R385)</f>
        <v>951</v>
      </c>
      <c r="Z385" s="93">
        <f t="shared" ref="Z385" si="4235">(U385-V385)/(C385)</f>
        <v>6.5729342314432889E-3</v>
      </c>
      <c r="AA385" s="93">
        <f t="shared" ref="AA385" si="4236">LN(C385/N384)</f>
        <v>-6.272334086796647E-4</v>
      </c>
      <c r="AB385" s="93">
        <f t="shared" ref="AB385" si="4237">LN(N385/U385)</f>
        <v>-2.0445563676473187E-3</v>
      </c>
      <c r="AC385" s="93">
        <f t="shared" ref="AC385" si="4238">LN(N385/V385)</f>
        <v>4.5315655229565934E-3</v>
      </c>
      <c r="AD385" s="93">
        <f t="shared" ref="AD385" si="4239">LN(U385/C385)</f>
        <v>2.8014091627455444E-3</v>
      </c>
      <c r="AE385" s="93">
        <f t="shared" ref="AE385" si="4240">LN(V385/C385)</f>
        <v>-3.7747127278582649E-3</v>
      </c>
      <c r="AF385" s="93">
        <f t="shared" ref="AF385" si="4241">LN(N385/C385)</f>
        <v>7.5685279509827338E-4</v>
      </c>
      <c r="AG385" s="93">
        <f t="shared" ref="AG385" si="4242">LN(N385/N384)</f>
        <v>1.2961938641849199E-4</v>
      </c>
      <c r="AH385" s="93">
        <f t="shared" ref="AH385" si="4243">LN(D385/C385)</f>
        <v>-1.1892043391861799E-3</v>
      </c>
      <c r="AI385" s="93">
        <f t="shared" ref="AI385" si="4244">LN(E385/C385)</f>
        <v>-4.8879100632227748E-4</v>
      </c>
      <c r="AJ385" s="93">
        <f t="shared" ref="AJ385" si="4245">LN(F385/C385)</f>
        <v>-1.5003210240441571E-3</v>
      </c>
      <c r="AK385" s="93">
        <f t="shared" ref="AK385" si="4246">+LN(G385/C385)</f>
        <v>-2.8849063987388805E-3</v>
      </c>
      <c r="AL385" s="93">
        <f t="shared" ref="AL385" si="4247">LN(H385/I385)</f>
        <v>6.5761218906039412E-3</v>
      </c>
      <c r="AM385" s="93">
        <f t="shared" ref="AM385" si="4248">LN(O385/P385)</f>
        <v>4.4182181892343944E-3</v>
      </c>
      <c r="AN385" s="93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93">
        <f t="shared" ref="AQ385" si="4252">LN(M385/L385)</f>
        <v>7.9216546491629465E-4</v>
      </c>
      <c r="AR385" s="93">
        <f t="shared" si="4225"/>
        <v>3.4844608530103277E-3</v>
      </c>
      <c r="AS385" s="93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93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93">
        <f t="shared" ref="AY385" si="4259">LN(G385/I385)</f>
        <v>8.898063291194971E-4</v>
      </c>
      <c r="AZ385" s="93">
        <f t="shared" ref="AZ385" si="4260">LN(N385/P385)</f>
        <v>4.1198560145222175E-3</v>
      </c>
      <c r="BA385" s="93">
        <f t="shared" ref="BA385" si="4261">AV384</f>
        <v>0.3149971048060255</v>
      </c>
      <c r="BB385" s="93">
        <f t="shared" ref="BB385" si="4262">AR384</f>
        <v>-3.7461510403923844E-3</v>
      </c>
      <c r="BC385" s="93">
        <f t="shared" ref="BC385" si="4263">AS384</f>
        <v>-3.4457731627666748E-3</v>
      </c>
      <c r="BD385" s="39">
        <f t="shared" si="4228"/>
        <v>1</v>
      </c>
    </row>
    <row r="386" spans="1:57" x14ac:dyDescent="0.15">
      <c r="A386" s="90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2">
        <f t="shared" si="176"/>
        <v>3385.3665000000001</v>
      </c>
      <c r="T386" s="92" t="str">
        <f t="shared" ref="T386" si="4264">IF(AVERAGE(N385)&lt;S385,"熊",IF(AVERAGE(N385)&gt;S385,"牛",""))</f>
        <v>熊</v>
      </c>
      <c r="U386" s="92">
        <f t="shared" ref="U386" si="4265">MAX(H386,O386)</f>
        <v>3323.77</v>
      </c>
      <c r="V386" s="92">
        <f t="shared" ref="V386" si="4266">MIN(I386,P386)</f>
        <v>3304.1</v>
      </c>
      <c r="W386" s="40">
        <f t="shared" ref="W386" si="4267">LN(U386/V386)</f>
        <v>5.9355593121845863E-3</v>
      </c>
      <c r="X386" s="92">
        <f t="shared" ref="X386" si="4268">IF(U386=H386,J386,Q386)</f>
        <v>1322</v>
      </c>
      <c r="Y386" s="92">
        <f t="shared" ref="Y386" si="4269">IF(V386=I386,K386,R386)</f>
        <v>935</v>
      </c>
      <c r="Z386" s="93">
        <f t="shared" ref="Z386" si="4270">(U386-V386)/(C386)</f>
        <v>5.9419160338088292E-3</v>
      </c>
      <c r="AA386" s="93">
        <f t="shared" ref="AA386" si="4271">LN(C386/N385)</f>
        <v>-2.1846719612503688E-3</v>
      </c>
      <c r="AB386" s="93">
        <f t="shared" ref="AB386" si="4272">LN(N386/U386)</f>
        <v>-4.2663016835721391E-3</v>
      </c>
      <c r="AC386" s="93">
        <f t="shared" ref="AC386" si="4273">LN(N386/V386)</f>
        <v>1.6692576286124641E-3</v>
      </c>
      <c r="AD386" s="93">
        <f t="shared" ref="AD386" si="4274">LN(U386/C386)</f>
        <v>4.0366944318079414E-3</v>
      </c>
      <c r="AE386" s="93">
        <f t="shared" ref="AE386" si="4275">LN(V386/C386)</f>
        <v>-1.89886488037655E-3</v>
      </c>
      <c r="AF386" s="93">
        <f t="shared" ref="AF386" si="4276">LN(N386/C386)</f>
        <v>-2.2960725176403621E-4</v>
      </c>
      <c r="AG386" s="93">
        <f t="shared" ref="AG386" si="4277">LN(N386/N385)</f>
        <v>-2.4142792130144547E-3</v>
      </c>
      <c r="AH386" s="93">
        <f t="shared" ref="AH386" si="4278">LN(D386/C386)</f>
        <v>-1.1122732018937402E-3</v>
      </c>
      <c r="AI386" s="93">
        <f t="shared" ref="AI386" si="4279">LN(E386/C386)</f>
        <v>-1.4722133770688874E-3</v>
      </c>
      <c r="AJ386" s="93">
        <f t="shared" ref="AJ386" si="4280">LN(F386/C386)</f>
        <v>1.4670327823312632E-3</v>
      </c>
      <c r="AK386" s="93">
        <f t="shared" ref="AK386" si="4281">+LN(G386/C386)</f>
        <v>3.398660997677814E-3</v>
      </c>
      <c r="AL386" s="93">
        <f t="shared" ref="AL386" si="4282">LN(H386/I386)</f>
        <v>5.4781426849393813E-3</v>
      </c>
      <c r="AM386" s="93">
        <f t="shared" ref="AM386" si="4283">LN(O386/P386)</f>
        <v>5.8992414583237873E-3</v>
      </c>
      <c r="AN386" s="93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93">
        <f t="shared" ref="AQ386" si="4287">LN(M386/L386)</f>
        <v>-1.5653974937441284E-4</v>
      </c>
      <c r="AR386" s="93">
        <f t="shared" si="4225"/>
        <v>-3.7637339128663988E-3</v>
      </c>
      <c r="AS386" s="93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93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93">
        <f t="shared" ref="AY386" si="4294">LN(G386/I386)</f>
        <v>5.2975258780545258E-3</v>
      </c>
      <c r="AZ386" s="93">
        <f t="shared" ref="AZ386" si="4295">LN(N386/P386)</f>
        <v>1.6329397747516059E-3</v>
      </c>
      <c r="BA386" s="93">
        <f t="shared" ref="BA386" si="4296">AV385</f>
        <v>0.68838916934373684</v>
      </c>
      <c r="BB386" s="93">
        <f t="shared" ref="BB386" si="4297">AR385</f>
        <v>3.4844608530103277E-3</v>
      </c>
      <c r="BC386" s="93">
        <f t="shared" ref="BC386" si="4298">AS385</f>
        <v>7.5685279509827338E-4</v>
      </c>
      <c r="BD386" s="39">
        <f t="shared" ref="BD386" si="4299">IF(AR385&lt;0,1,0)</f>
        <v>0</v>
      </c>
    </row>
    <row r="387" spans="1:57" x14ac:dyDescent="0.15">
      <c r="A387" s="90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2">
        <f t="shared" si="176"/>
        <v>3381.4390000000008</v>
      </c>
      <c r="T387" s="92" t="str">
        <f t="shared" ref="T387" si="4300">IF(AVERAGE(N386)&lt;S386,"熊",IF(AVERAGE(N386)&gt;S386,"牛",""))</f>
        <v>熊</v>
      </c>
      <c r="U387" s="92">
        <f t="shared" ref="U387" si="4301">MAX(H387,O387)</f>
        <v>3315.49</v>
      </c>
      <c r="V387" s="92">
        <f t="shared" ref="V387" si="4302">MIN(I387,P387)</f>
        <v>3300.98</v>
      </c>
      <c r="W387" s="40">
        <f t="shared" ref="W387" si="4303">LN(U387/V387)</f>
        <v>4.3860316032753354E-3</v>
      </c>
      <c r="X387" s="92">
        <f t="shared" ref="X387" si="4304">IF(U387=H387,J387,Q387)</f>
        <v>1117</v>
      </c>
      <c r="Y387" s="92">
        <f t="shared" ref="Y387" si="4305">IF(V387=I387,K387,R387)</f>
        <v>1355</v>
      </c>
      <c r="Z387" s="93">
        <f t="shared" ref="Z387" si="4306">(U387-V387)/(C387)</f>
        <v>4.3947190681135305E-3</v>
      </c>
      <c r="AA387" s="93">
        <f t="shared" ref="AA387" si="4307">LN(C387/N386)</f>
        <v>-2.3989205779115755E-3</v>
      </c>
      <c r="AB387" s="93">
        <f t="shared" ref="AB387" si="4308">LN(N387/U387)</f>
        <v>-3.5684270179046967E-3</v>
      </c>
      <c r="AC387" s="93">
        <f t="shared" ref="AC387" si="4309">LN(N387/V387)</f>
        <v>8.1760458537063997E-4</v>
      </c>
      <c r="AD387" s="93">
        <f t="shared" ref="AD387" si="4310">LN(U387/C387)</f>
        <v>4.1709670906657104E-3</v>
      </c>
      <c r="AE387" s="93">
        <f t="shared" ref="AE387" si="4311">LN(V387/C387)</f>
        <v>-2.1506451260979221E-4</v>
      </c>
      <c r="AF387" s="93">
        <f t="shared" ref="AF387" si="4312">LN(N387/C387)</f>
        <v>6.0254007276093263E-4</v>
      </c>
      <c r="AG387" s="93">
        <f t="shared" ref="AG387" si="4313">LN(N387/N386)</f>
        <v>-1.7963805051506541E-3</v>
      </c>
      <c r="AH387" s="93">
        <f t="shared" ref="AH387" si="4314">LN(D387/C387)</f>
        <v>7.5084852434461377E-4</v>
      </c>
      <c r="AI387" s="93">
        <f t="shared" ref="AI387" si="4315">LN(E387/C387)</f>
        <v>1.2833669557119265E-3</v>
      </c>
      <c r="AJ387" s="93">
        <f t="shared" ref="AJ387" si="4316">LN(F387/C387)</f>
        <v>3.3140147107218985E-3</v>
      </c>
      <c r="AK387" s="93">
        <f t="shared" ref="AK387" si="4317">+LN(G387/C387)</f>
        <v>2.9969976872721558E-3</v>
      </c>
      <c r="AL387" s="93">
        <f t="shared" ref="AL387" si="4318">LN(H387/I387)</f>
        <v>4.1709670906657104E-3</v>
      </c>
      <c r="AM387" s="93">
        <f t="shared" ref="AM387" si="4319">LN(O387/P387)</f>
        <v>3.3751120784086671E-3</v>
      </c>
      <c r="AN387" s="93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93">
        <f t="shared" ref="AQ387" si="4323">LN(M387/L387)</f>
        <v>-2.209471396668669E-3</v>
      </c>
      <c r="AR387" s="93">
        <f t="shared" si="4225"/>
        <v>-2.5575074930378667E-3</v>
      </c>
      <c r="AS387" s="93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93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93">
        <f t="shared" ref="AY387" si="4330">LN(G387/I387)</f>
        <v>2.9969976872721558E-3</v>
      </c>
      <c r="AZ387" s="93">
        <f t="shared" ref="AZ387" si="4331">LN(N387/P387)</f>
        <v>8.1760458537063997E-4</v>
      </c>
      <c r="BA387" s="93">
        <f t="shared" ref="BA387" si="4332">AV386</f>
        <v>0.28063040162684094</v>
      </c>
      <c r="BB387" s="93">
        <f t="shared" ref="BB387" si="4333">AR386</f>
        <v>-3.7637339128663988E-3</v>
      </c>
      <c r="BC387" s="93">
        <f t="shared" ref="BC387" si="4334">AS386</f>
        <v>-2.2960725176403621E-4</v>
      </c>
      <c r="BD387" s="39">
        <f t="shared" ref="BD387" si="4335">IF(AR386&lt;0,1,0)</f>
        <v>1</v>
      </c>
    </row>
    <row r="388" spans="1:57" x14ac:dyDescent="0.15">
      <c r="A388" s="90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2">
        <f t="shared" si="176"/>
        <v>3375.9445000000005</v>
      </c>
      <c r="T388" s="92" t="str">
        <f t="shared" ref="T388" si="4336">IF(AVERAGE(N387)&lt;S387,"熊",IF(AVERAGE(N387)&gt;S387,"牛",""))</f>
        <v>熊</v>
      </c>
      <c r="U388" s="92">
        <f t="shared" ref="U388" si="4337">MAX(H388,O388)</f>
        <v>3296.07</v>
      </c>
      <c r="V388" s="92">
        <f t="shared" ref="V388" si="4338">MIN(I388,P388)</f>
        <v>3254.61</v>
      </c>
      <c r="W388" s="40">
        <f t="shared" ref="W388" si="4339">LN(U388/V388)</f>
        <v>1.2658396871923465E-2</v>
      </c>
      <c r="X388" s="92">
        <f t="shared" ref="X388" si="4340">IF(U388=H388,J388,Q388)</f>
        <v>957</v>
      </c>
      <c r="Y388" s="92">
        <f t="shared" ref="Y388" si="4341">IF(V388=I388,K388,R388)</f>
        <v>1419</v>
      </c>
      <c r="Z388" s="93">
        <f t="shared" ref="Z388" si="4342">(U388-V388)/(C388)</f>
        <v>1.2596807957925579E-2</v>
      </c>
      <c r="AA388" s="93">
        <f t="shared" ref="AA388" si="4343">LN(C388/N387)</f>
        <v>-3.7513368500718203E-3</v>
      </c>
      <c r="AB388" s="93">
        <f t="shared" ref="AB388" si="4344">LN(N388/U388)</f>
        <v>-6.4036129489633358E-4</v>
      </c>
      <c r="AC388" s="93">
        <f t="shared" ref="AC388" si="4345">LN(N388/V388)</f>
        <v>1.2018035577027167E-2</v>
      </c>
      <c r="AD388" s="93">
        <f t="shared" ref="AD388" si="4346">LN(U388/C388)</f>
        <v>1.4451878678519076E-3</v>
      </c>
      <c r="AE388" s="93">
        <f t="shared" ref="AE388" si="4347">LN(V388/C388)</f>
        <v>-1.1213209004071497E-2</v>
      </c>
      <c r="AF388" s="93">
        <f t="shared" ref="AF388" si="4348">LN(N388/C388)</f>
        <v>8.0482657295571415E-4</v>
      </c>
      <c r="AG388" s="93">
        <f t="shared" ref="AG388" si="4349">LN(N388/N387)</f>
        <v>-2.9465102771161623E-3</v>
      </c>
      <c r="AH388" s="93">
        <f t="shared" ref="AH388" si="4350">LN(D388/C388)</f>
        <v>-1.5963830877514967E-3</v>
      </c>
      <c r="AI388" s="93">
        <f t="shared" ref="AI388" si="4351">LN(E388/C388)</f>
        <v>-2.1382119865747898E-3</v>
      </c>
      <c r="AJ388" s="93">
        <f t="shared" ref="AJ388" si="4352">LN(F388/C388)</f>
        <v>-9.5144159687675259E-4</v>
      </c>
      <c r="AK388" s="93">
        <f t="shared" ref="AK388" si="4353">+LN(G388/C388)</f>
        <v>-2.2935092212259442E-3</v>
      </c>
      <c r="AL388" s="93">
        <f t="shared" ref="AL388" si="4354">LN(H388/I388)</f>
        <v>5.9459141185806046E-3</v>
      </c>
      <c r="AM388" s="93">
        <f t="shared" ref="AM388" si="4355">LN(O388/P388)</f>
        <v>1.2069643858042586E-2</v>
      </c>
      <c r="AN388" s="93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93">
        <f t="shared" ref="AQ388" si="4359">LN(M388/L388)</f>
        <v>-2.2774990293676928E-3</v>
      </c>
      <c r="AR388" s="93">
        <f t="shared" si="4225"/>
        <v>3.134879825174945E-3</v>
      </c>
      <c r="AS388" s="93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93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93">
        <f t="shared" ref="AY388" si="4366">LN(G388/I388)</f>
        <v>2.2072170295026751E-3</v>
      </c>
      <c r="AZ388" s="93">
        <f t="shared" ref="AZ388" si="4367">LN(N388/P388)</f>
        <v>1.2018035577027167E-2</v>
      </c>
      <c r="BA388" s="93">
        <f t="shared" ref="BA388" si="4368">AV387</f>
        <v>0.18607856650584853</v>
      </c>
      <c r="BB388" s="93">
        <f t="shared" ref="BB388" si="4369">AR387</f>
        <v>-2.5575074930378667E-3</v>
      </c>
      <c r="BC388" s="93">
        <f t="shared" ref="BC388" si="4370">AS387</f>
        <v>6.0254007276093263E-4</v>
      </c>
      <c r="BD388" s="39">
        <f t="shared" ref="BD388" si="4371">IF(AR387&lt;0,1,0)</f>
        <v>1</v>
      </c>
    </row>
    <row r="389" spans="1:57" x14ac:dyDescent="0.15">
      <c r="A389" s="90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92">
        <f t="shared" si="176"/>
        <v>3369.8695000000007</v>
      </c>
      <c r="T389" s="92" t="str">
        <f t="shared" ref="T389" si="4372">IF(AVERAGE(N388)&lt;S388,"熊",IF(AVERAGE(N388)&gt;S388,"牛",""))</f>
        <v>熊</v>
      </c>
      <c r="U389" s="92">
        <f t="shared" ref="U389" si="4373">MAX(H389,O389)</f>
        <v>3291.25</v>
      </c>
      <c r="V389" s="92">
        <f t="shared" ref="V389" si="4374">MIN(I389,P389)</f>
        <v>3259.31</v>
      </c>
      <c r="W389" s="40">
        <f t="shared" ref="W389" si="4375">LN(U389/V389)</f>
        <v>9.7519152938695137E-3</v>
      </c>
      <c r="X389" s="92">
        <f t="shared" ref="X389" si="4376">IF(U389=H389,J389,Q389)</f>
        <v>947</v>
      </c>
      <c r="Y389" s="92">
        <f t="shared" ref="Y389" si="4377">IF(V389=I389,K389,R389)</f>
        <v>1443</v>
      </c>
      <c r="Z389" s="93">
        <f t="shared" ref="Z389" si="4378">(U389-V389)/(C389)</f>
        <v>9.7280768012475496E-3</v>
      </c>
      <c r="AA389" s="93">
        <f t="shared" ref="AA389" si="4379">LN(C389/N388)</f>
        <v>-3.2475656617504938E-3</v>
      </c>
      <c r="AB389" s="93">
        <f t="shared" ref="AB389" si="4380">LN(N389/U389)</f>
        <v>-5.8507320310431854E-3</v>
      </c>
      <c r="AC389" s="93">
        <f t="shared" ref="AC389" si="4381">LN(N389/V389)</f>
        <v>3.9011832628262268E-3</v>
      </c>
      <c r="AD389" s="93">
        <f t="shared" ref="AD389" si="4382">LN(U389/C389)</f>
        <v>2.4245090992461825E-3</v>
      </c>
      <c r="AE389" s="93">
        <f t="shared" ref="AE389" si="4383">LN(V389/C389)</f>
        <v>-7.3274061946232384E-3</v>
      </c>
      <c r="AF389" s="93">
        <f t="shared" ref="AF389" si="4384">LN(N389/C389)</f>
        <v>-3.4262229317970996E-3</v>
      </c>
      <c r="AG389" s="93">
        <f t="shared" ref="AG389" si="4385">LN(N389/N388)</f>
        <v>-6.67378859354758E-3</v>
      </c>
      <c r="AH389" s="93">
        <f t="shared" ref="AH389" si="4386">LN(D389/C389)</f>
        <v>-2.2845620060952163E-4</v>
      </c>
      <c r="AI389" s="93">
        <f t="shared" ref="AI389" si="4387">LN(E389/C389)</f>
        <v>-1.6143697215855723E-4</v>
      </c>
      <c r="AJ389" s="93">
        <f t="shared" ref="AJ389" si="4388">LN(F389/C389)</f>
        <v>9.4413320266745421E-5</v>
      </c>
      <c r="AK389" s="93">
        <f t="shared" ref="AK389" si="4389">+LN(G389/C389)</f>
        <v>-2.9923383749470992E-3</v>
      </c>
      <c r="AL389" s="93">
        <f t="shared" ref="AL389" si="4390">LN(H389/I389)</f>
        <v>6.2450580214710094E-3</v>
      </c>
      <c r="AM389" s="93">
        <f t="shared" ref="AM389" si="4391">LN(O389/P389)</f>
        <v>7.9637622405468803E-3</v>
      </c>
      <c r="AN389" s="93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93">
        <f t="shared" ref="AQ389" si="4395">LN(M389/L389)</f>
        <v>1.2220905080385575E-5</v>
      </c>
      <c r="AR389" s="93">
        <f t="shared" si="4225"/>
        <v>-3.0862735936192619E-4</v>
      </c>
      <c r="AS389" s="93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93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93">
        <f t="shared" ref="AY389" si="4402">LN(G389/I389)</f>
        <v>8.282105472777443E-4</v>
      </c>
      <c r="AZ389" s="93">
        <f t="shared" ref="AZ389" si="4403">LN(N389/P389)</f>
        <v>3.9011832628262268E-3</v>
      </c>
      <c r="BA389" s="93">
        <f t="shared" ref="BA389" si="4404">AV388</f>
        <v>0.94910757356487874</v>
      </c>
      <c r="BB389" s="93">
        <f t="shared" ref="BB389" si="4405">AR388</f>
        <v>3.134879825174945E-3</v>
      </c>
      <c r="BC389" s="93">
        <f t="shared" ref="BC389" si="4406">AS388</f>
        <v>8.0482657295571415E-4</v>
      </c>
      <c r="BD389" s="39">
        <f t="shared" ref="BD389:BD390" si="4407">IF(AR388&lt;0,1,0)</f>
        <v>0</v>
      </c>
      <c r="BE389" t="s">
        <v>617</v>
      </c>
    </row>
    <row r="390" spans="1:57" x14ac:dyDescent="0.15">
      <c r="A390" s="90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92">
        <f t="shared" si="176"/>
        <v>3362.0825000000013</v>
      </c>
      <c r="T390" s="92" t="str">
        <f t="shared" ref="T390" si="4408">IF(AVERAGE(N389)&lt;S389,"熊",IF(AVERAGE(N389)&gt;S389,"牛",""))</f>
        <v>熊</v>
      </c>
      <c r="U390" s="92">
        <f t="shared" ref="U390" si="4409">MAX(H390,O390)</f>
        <v>3297.13</v>
      </c>
      <c r="V390" s="92">
        <f t="shared" ref="V390" si="4410">MIN(I390,P390)</f>
        <v>3258.85</v>
      </c>
      <c r="W390" s="40">
        <f t="shared" ref="W390" si="4411">LN(U390/V390)</f>
        <v>1.1678020689198248E-2</v>
      </c>
      <c r="X390" s="92">
        <f t="shared" ref="X390" si="4412">IF(U390=H390,J390,Q390)</f>
        <v>1415</v>
      </c>
      <c r="Y390" s="92">
        <f t="shared" ref="Y390" si="4413">IF(V390=I390,K390,R390)</f>
        <v>945</v>
      </c>
      <c r="Z390" s="93">
        <f t="shared" ref="Z390" si="4414">(U390-V390)/(C390)</f>
        <v>1.1726216732833469E-2</v>
      </c>
      <c r="AA390" s="93">
        <f t="shared" ref="AA390" si="4415">LN(C390/N389)</f>
        <v>-2.3162146840376235E-3</v>
      </c>
      <c r="AB390" s="93">
        <f t="shared" ref="AB390" si="4416">LN(N390/U390)</f>
        <v>-2.1678678379299064E-3</v>
      </c>
      <c r="AC390" s="93">
        <f t="shared" ref="AC390" si="4417">LN(N390/V390)</f>
        <v>9.5101528512683726E-3</v>
      </c>
      <c r="AD390" s="93">
        <f t="shared" ref="AD390" si="4418">LN(U390/C390)</f>
        <v>9.9519079836119344E-3</v>
      </c>
      <c r="AE390" s="93">
        <f t="shared" ref="AE390" si="4419">LN(V390/C390)</f>
        <v>-1.7261127055861604E-3</v>
      </c>
      <c r="AF390" s="93">
        <f t="shared" ref="AF390" si="4420">LN(N390/C390)</f>
        <v>7.7840401456821919E-3</v>
      </c>
      <c r="AG390" s="93">
        <f t="shared" ref="AG390" si="4421">LN(N390/N389)</f>
        <v>5.4678254616443798E-3</v>
      </c>
      <c r="AH390" s="93">
        <f t="shared" ref="AH390" si="4422">LN(D390/C390)</f>
        <v>-1.9606882078392266E-4</v>
      </c>
      <c r="AI390" s="93">
        <f t="shared" ref="AI390" si="4423">LN(E390/C390)</f>
        <v>7.7776931119726369E-4</v>
      </c>
      <c r="AJ390" s="93">
        <f t="shared" ref="AJ390" si="4424">LN(F390/C390)</f>
        <v>-7.7837470718766853E-4</v>
      </c>
      <c r="AK390" s="93">
        <f t="shared" ref="AK390" si="4425">+LN(G390/C390)</f>
        <v>4.3892161942371234E-3</v>
      </c>
      <c r="AL390" s="93">
        <f t="shared" ref="AL390" si="4426">LN(H390/I390)</f>
        <v>7.3771741041499103E-3</v>
      </c>
      <c r="AM390" s="93">
        <f t="shared" ref="AM390" si="4427">LN(O390/P390)</f>
        <v>5.6358910866944221E-3</v>
      </c>
      <c r="AN390" s="93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93">
        <f t="shared" ref="AQ390" si="4431">LN(M390/L390)</f>
        <v>6.0991229461240893E-6</v>
      </c>
      <c r="AR390" s="93">
        <f t="shared" ref="AR390" si="4432">LN(N390/L390)</f>
        <v>3.3002827886098509E-3</v>
      </c>
      <c r="AS390" s="93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93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93">
        <f t="shared" ref="AY390" si="4439">LN(G390/I390)</f>
        <v>6.1153288998233761E-3</v>
      </c>
      <c r="AZ390" s="93">
        <f t="shared" ref="AZ390" si="4440">LN(N390/P390)</f>
        <v>3.4680232487644164E-3</v>
      </c>
      <c r="BA390" s="93">
        <f t="shared" ref="BA390" si="4441">AV389</f>
        <v>0.39887288666249887</v>
      </c>
      <c r="BB390" s="93">
        <f t="shared" ref="BB390" si="4442">AR389</f>
        <v>-3.0862735936192619E-4</v>
      </c>
      <c r="BC390" s="93">
        <f t="shared" ref="BC390" si="4443">AS389</f>
        <v>-3.4262229317970996E-3</v>
      </c>
      <c r="BD390" s="39">
        <f t="shared" si="4407"/>
        <v>1</v>
      </c>
    </row>
    <row r="391" spans="1:57" x14ac:dyDescent="0.15">
      <c r="A391" s="90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92">
        <f t="shared" si="176"/>
        <v>3354.9485000000009</v>
      </c>
      <c r="T391" s="92" t="str">
        <f t="shared" ref="T391" si="4444">IF(AVERAGE(N390)&lt;S390,"熊",IF(AVERAGE(N390)&gt;S390,"牛",""))</f>
        <v>熊</v>
      </c>
      <c r="U391" s="92">
        <f t="shared" ref="U391" si="4445">MAX(H391,O391)</f>
        <v>3322.66</v>
      </c>
      <c r="V391" s="92">
        <f t="shared" ref="V391" si="4446">MIN(I391,P391)</f>
        <v>3288.59</v>
      </c>
      <c r="W391" s="40">
        <f t="shared" ref="W391" si="4447">LN(U391/V391)</f>
        <v>1.0306765468701974E-2</v>
      </c>
      <c r="X391" s="92">
        <f t="shared" ref="X391" si="4448">IF(U391=H391,J391,Q391)</f>
        <v>1459</v>
      </c>
      <c r="Y391" s="92">
        <f t="shared" ref="Y391" si="4449">IF(V391=I391,K391,R391)</f>
        <v>934</v>
      </c>
      <c r="Z391" s="93">
        <f t="shared" ref="Z391" si="4450">(U391-V391)/(C391)</f>
        <v>1.0354081003133184E-2</v>
      </c>
      <c r="AA391" s="93">
        <f t="shared" ref="AA391" si="4451">LN(C391/N390)</f>
        <v>1.5196459861965266E-4</v>
      </c>
      <c r="AB391" s="93">
        <f t="shared" ref="AB391" si="4452">LN(N391/U391)</f>
        <v>-1.3845287958961044E-4</v>
      </c>
      <c r="AC391" s="93">
        <f t="shared" ref="AC391" si="4453">LN(N391/V391)</f>
        <v>1.016831258911252E-2</v>
      </c>
      <c r="AD391" s="93">
        <f t="shared" ref="AD391" si="4454">LN(U391/C391)</f>
        <v>9.7291770968261221E-3</v>
      </c>
      <c r="AE391" s="93">
        <f t="shared" ref="AE391" si="4455">LN(V391/C391)</f>
        <v>-5.7758837187602116E-4</v>
      </c>
      <c r="AF391" s="93">
        <f t="shared" ref="AF391" si="4456">LN(N391/C391)</f>
        <v>9.5907242172363454E-3</v>
      </c>
      <c r="AG391" s="93">
        <f t="shared" ref="AG391" si="4457">LN(N391/N390)</f>
        <v>9.7426888158561147E-3</v>
      </c>
      <c r="AH391" s="93">
        <f t="shared" ref="AH391" si="4458">LN(D391/C391)</f>
        <v>3.4639295892478322E-4</v>
      </c>
      <c r="AI391" s="93">
        <f t="shared" ref="AI391" si="4459">LN(E391/C391)</f>
        <v>-2.2491580949007202E-4</v>
      </c>
      <c r="AJ391" s="93">
        <f t="shared" ref="AJ391" si="4460">LN(F391/C391)</f>
        <v>1.8885116130141042E-3</v>
      </c>
      <c r="AK391" s="93">
        <f t="shared" ref="AK391" si="4461">+LN(G391/C391)</f>
        <v>3.8612604486132776E-3</v>
      </c>
      <c r="AL391" s="93">
        <f t="shared" ref="AL391" si="4462">LN(H391/I391)</f>
        <v>6.1961935957875339E-3</v>
      </c>
      <c r="AM391" s="93">
        <f t="shared" ref="AM391" si="4463">LN(O391/P391)</f>
        <v>6.0798535402552881E-3</v>
      </c>
      <c r="AN391" s="93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93">
        <f t="shared" ref="AQ391" si="4467">LN(M391/L391)</f>
        <v>2.4814421542777583E-4</v>
      </c>
      <c r="AR391" s="93">
        <f t="shared" ref="AR391" si="4468">LN(N391/L391)</f>
        <v>5.4570394630581174E-3</v>
      </c>
      <c r="AS391" s="93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93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93">
        <f t="shared" ref="AY391" si="4475">LN(G391/I391)</f>
        <v>4.4388488204892742E-3</v>
      </c>
      <c r="AZ391" s="93">
        <f t="shared" ref="AZ391" si="4476">LN(N391/P391)</f>
        <v>5.9414006606655356E-3</v>
      </c>
      <c r="BA391" s="93">
        <f t="shared" ref="BA391" si="4477">AV390</f>
        <v>0.81347962382444383</v>
      </c>
      <c r="BB391" s="93">
        <f t="shared" ref="BB391" si="4478">AR390</f>
        <v>3.3002827886098509E-3</v>
      </c>
      <c r="BC391" s="93">
        <f t="shared" ref="BC391" si="4479">AS390</f>
        <v>7.7840401456821919E-3</v>
      </c>
      <c r="BD391" s="39">
        <f t="shared" ref="BD391" si="4480">IF(AR390&lt;0,1,0)</f>
        <v>0</v>
      </c>
    </row>
    <row r="392" spans="1:57" x14ac:dyDescent="0.15">
      <c r="A392" s="90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92">
        <f t="shared" si="176"/>
        <v>3348.6670000000004</v>
      </c>
      <c r="T392" s="92" t="str">
        <f t="shared" ref="T392" si="4481">IF(AVERAGE(N391)&lt;S391,"熊",IF(AVERAGE(N391)&gt;S391,"牛",""))</f>
        <v>熊</v>
      </c>
      <c r="U392" s="92">
        <f t="shared" ref="U392" si="4482">MAX(H392,O392)</f>
        <v>3320.31</v>
      </c>
      <c r="V392" s="92">
        <f t="shared" ref="V392" si="4483">MIN(I392,P392)</f>
        <v>3280.44</v>
      </c>
      <c r="W392" s="40">
        <f t="shared" ref="W392" si="4484">LN(U392/V392)</f>
        <v>1.2080592322639725E-2</v>
      </c>
      <c r="X392" s="92">
        <f t="shared" ref="X392" si="4485">IF(U392=H392,J392,Q392)</f>
        <v>930</v>
      </c>
      <c r="Y392" s="92">
        <f t="shared" ref="Y392" si="4486">IF(V392=I392,K392,R392)</f>
        <v>1459</v>
      </c>
      <c r="Z392" s="93">
        <f t="shared" ref="Z392" si="4487">(U392-V392)/(C392)</f>
        <v>1.2007914923606498E-2</v>
      </c>
      <c r="AA392" s="93">
        <f t="shared" ref="AA392" si="4488">LN(C392/N391)</f>
        <v>-5.6906201149964993E-4</v>
      </c>
      <c r="AB392" s="93">
        <f t="shared" ref="AB392" si="4489">LN(N392/U392)</f>
        <v>-1.1967808935208407E-2</v>
      </c>
      <c r="AC392" s="93">
        <f t="shared" ref="AC392" si="4490">LN(N392/V392)</f>
        <v>1.1278338743131889E-4</v>
      </c>
      <c r="AD392" s="93">
        <f t="shared" ref="AD392" si="4491">LN(U392/C392)</f>
        <v>0</v>
      </c>
      <c r="AE392" s="93">
        <f t="shared" ref="AE392" si="4492">LN(V392/C392)</f>
        <v>-1.2080592322639836E-2</v>
      </c>
      <c r="AF392" s="93">
        <f t="shared" ref="AF392" si="4493">LN(N392/C392)</f>
        <v>-1.1967808935208407E-2</v>
      </c>
      <c r="AG392" s="93">
        <f t="shared" ref="AG392" si="4494">LN(N392/N391)</f>
        <v>-1.2536870946708066E-2</v>
      </c>
      <c r="AH392" s="93">
        <f t="shared" ref="AH392" si="4495">LN(D392/C392)</f>
        <v>-6.2965749015270103E-4</v>
      </c>
      <c r="AI392" s="93">
        <f t="shared" ref="AI392" si="4496">LN(E392/C392)</f>
        <v>-2.8917143549212214E-4</v>
      </c>
      <c r="AJ392" s="93">
        <f t="shared" ref="AJ392" si="4497">LN(F392/C392)</f>
        <v>-1.9203382319186398E-3</v>
      </c>
      <c r="AK392" s="93">
        <f t="shared" ref="AK392" si="4498">+LN(G392/C392)</f>
        <v>-5.1876482699499266E-3</v>
      </c>
      <c r="AL392" s="93">
        <f t="shared" ref="AL392" si="4499">LN(H392/I392)</f>
        <v>5.3238919707818515E-3</v>
      </c>
      <c r="AM392" s="93">
        <f t="shared" ref="AM392" si="4500">LN(O392/P392)</f>
        <v>7.9731534823237436E-3</v>
      </c>
      <c r="AN392" s="93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93">
        <f t="shared" ref="AQ392" si="4504">LN(M392/L392)</f>
        <v>5.7204516781963631E-4</v>
      </c>
      <c r="AR392" s="93">
        <f t="shared" ref="AR392" si="4505">LN(N392/L392)</f>
        <v>-6.7377757252267273E-3</v>
      </c>
      <c r="AS392" s="93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93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93">
        <f t="shared" ref="AY392" si="4512">LN(G392/I392)</f>
        <v>1.3624370083195386E-4</v>
      </c>
      <c r="AZ392" s="93">
        <f t="shared" ref="AZ392" si="4513">LN(N392/P392)</f>
        <v>1.1278338743131889E-4</v>
      </c>
      <c r="BA392" s="93">
        <f t="shared" ref="BA392" si="4514">AV391</f>
        <v>0.98649838567654713</v>
      </c>
      <c r="BB392" s="93">
        <f t="shared" ref="BB392" si="4515">AR391</f>
        <v>5.4570394630581174E-3</v>
      </c>
      <c r="BC392" s="93">
        <f t="shared" ref="BC392" si="4516">AS391</f>
        <v>9.5907242172363454E-3</v>
      </c>
      <c r="BD392" s="39">
        <f t="shared" ref="BD392" si="4517">IF(AR391&lt;0,1,0)</f>
        <v>0</v>
      </c>
    </row>
    <row r="393" spans="1:57" x14ac:dyDescent="0.15">
      <c r="A393" s="90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92">
        <f t="shared" si="176"/>
        <v>3341.2305000000001</v>
      </c>
      <c r="T393" s="92" t="str">
        <f t="shared" ref="T393" si="4518">IF(AVERAGE(N392)&lt;S392,"熊",IF(AVERAGE(N392)&gt;S392,"牛",""))</f>
        <v>熊</v>
      </c>
      <c r="U393" s="92">
        <f t="shared" ref="U393" si="4519">MAX(H393,O393)</f>
        <v>3303.92</v>
      </c>
      <c r="V393" s="92">
        <f t="shared" ref="V393" si="4520">MIN(I393,P393)</f>
        <v>3273.49</v>
      </c>
      <c r="W393" s="40">
        <f t="shared" ref="W393" si="4521">LN(U393/V393)</f>
        <v>9.2529482304620995E-3</v>
      </c>
      <c r="X393" s="92">
        <f t="shared" ref="X393" si="4522">IF(U393=H393,J393,Q393)</f>
        <v>1450</v>
      </c>
      <c r="Y393" s="92">
        <f t="shared" ref="Y393" si="4523">IF(V393=I393,K393,R393)</f>
        <v>1113</v>
      </c>
      <c r="Z393" s="93">
        <f t="shared" ref="Z393" si="4524">(U393-V393)/(C393)</f>
        <v>9.2819668130796392E-3</v>
      </c>
      <c r="AA393" s="93">
        <f t="shared" ref="AA393" si="4525">LN(C393/N392)</f>
        <v>-7.3484462563296797E-4</v>
      </c>
      <c r="AB393" s="93">
        <f t="shared" ref="AB393" si="4526">LN(N393/U393)</f>
        <v>-2.6638575235935695E-4</v>
      </c>
      <c r="AC393" s="93">
        <f t="shared" ref="AC393" si="4527">LN(N393/V393)</f>
        <v>8.9865624781029704E-3</v>
      </c>
      <c r="AD393" s="93">
        <f t="shared" ref="AD393" si="4528">LN(U393/C393)</f>
        <v>7.7541437880316103E-3</v>
      </c>
      <c r="AE393" s="93">
        <f t="shared" ref="AE393" si="4529">LN(V393/C393)</f>
        <v>-1.498804442430643E-3</v>
      </c>
      <c r="AF393" s="93">
        <f t="shared" ref="AF393" si="4530">LN(N393/C393)</f>
        <v>7.4877580356723459E-3</v>
      </c>
      <c r="AG393" s="93">
        <f t="shared" ref="AG393" si="4531">LN(N393/N392)</f>
        <v>6.7529134100392648E-3</v>
      </c>
      <c r="AH393" s="93">
        <f t="shared" ref="AH393" si="4532">LN(D393/C393)</f>
        <v>1.8299936001293324E-4</v>
      </c>
      <c r="AI393" s="93">
        <f t="shared" ref="AI393" si="4533">LN(E393/C393)</f>
        <v>2.2242205357992234E-3</v>
      </c>
      <c r="AJ393" s="93">
        <f t="shared" ref="AJ393" si="4534">LN(F393/C393)</f>
        <v>5.4903324410080673E-5</v>
      </c>
      <c r="AK393" s="93">
        <f t="shared" ref="AK393" si="4535">+LN(G393/C393)</f>
        <v>-4.7900684797319511E-4</v>
      </c>
      <c r="AL393" s="93">
        <f t="shared" ref="AL393" si="4536">LN(H393/I393)</f>
        <v>3.9786455899464271E-3</v>
      </c>
      <c r="AM393" s="93">
        <f t="shared" ref="AM393" si="4537">LN(O393/P393)</f>
        <v>8.3460710165748214E-3</v>
      </c>
      <c r="AN393" s="93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93">
        <f t="shared" ref="AQ393" si="4541">LN(M393/L393)</f>
        <v>6.8634496560660897E-4</v>
      </c>
      <c r="AR393" s="93">
        <f t="shared" ref="AR393" si="4542">LN(N393/L393)</f>
        <v>7.8813200977089666E-3</v>
      </c>
      <c r="AS393" s="93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93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93">
        <f t="shared" ref="AY393" si="4549">LN(G393/I393)</f>
        <v>1.0197975944573889E-3</v>
      </c>
      <c r="AZ393" s="93">
        <f t="shared" ref="AZ393" si="4550">LN(N393/P393)</f>
        <v>8.0796852642155016E-3</v>
      </c>
      <c r="BA393" s="93">
        <f t="shared" ref="BA393" si="4551">AV392</f>
        <v>9.2801605216927992E-3</v>
      </c>
      <c r="BB393" s="93">
        <f t="shared" ref="BB393" si="4552">AR392</f>
        <v>-6.7377757252267273E-3</v>
      </c>
      <c r="BC393" s="93">
        <f t="shared" ref="BC393" si="4553">AS392</f>
        <v>-1.1967808935208407E-2</v>
      </c>
      <c r="BD393" s="39">
        <f t="shared" ref="BD393" si="4554">IF(AR392&lt;0,1,0)</f>
        <v>1</v>
      </c>
      <c r="BE393" t="s">
        <v>622</v>
      </c>
    </row>
    <row r="394" spans="1:57" x14ac:dyDescent="0.15">
      <c r="A394" s="90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92">
        <f t="shared" si="176"/>
        <v>3336.2564999999995</v>
      </c>
      <c r="T394" s="92" t="str">
        <f t="shared" ref="T394" si="4555">IF(AVERAGE(N393)&lt;S393,"熊",IF(AVERAGE(N393)&gt;S393,"牛",""))</f>
        <v>熊</v>
      </c>
      <c r="U394" s="92">
        <f t="shared" ref="U394" si="4556">MAX(H394,O394)</f>
        <v>3309.53</v>
      </c>
      <c r="V394" s="92">
        <f t="shared" ref="V394" si="4557">MIN(I394,P394)</f>
        <v>3282.57</v>
      </c>
      <c r="W394" s="40">
        <f t="shared" ref="W394" si="4558">LN(U394/V394)</f>
        <v>8.1795331722921121E-3</v>
      </c>
      <c r="X394" s="92">
        <f t="shared" ref="X394" si="4559">IF(U394=H394,J394,Q394)</f>
        <v>938</v>
      </c>
      <c r="Y394" s="92">
        <f t="shared" ref="Y394" si="4560">IF(V394=I394,K394,R394)</f>
        <v>1411</v>
      </c>
      <c r="Z394" s="93">
        <f t="shared" ref="Z394" si="4561">(U394-V394)/(C394)</f>
        <v>8.1624497037478955E-3</v>
      </c>
      <c r="AA394" s="93">
        <f t="shared" ref="AA394" si="4562">LN(C394/N393)</f>
        <v>-3.3303209070103077E-5</v>
      </c>
      <c r="AB394" s="93">
        <f t="shared" ref="AB394" si="4563">LN(N394/U394)</f>
        <v>-5.177254114541484E-3</v>
      </c>
      <c r="AC394" s="93">
        <f t="shared" ref="AC394" si="4564">LN(N394/V394)</f>
        <v>3.0022790577505314E-3</v>
      </c>
      <c r="AD394" s="93">
        <f t="shared" ref="AD394" si="4565">LN(U394/C394)</f>
        <v>1.9962320200707026E-3</v>
      </c>
      <c r="AE394" s="93">
        <f t="shared" ref="AE394" si="4566">LN(V394/C394)</f>
        <v>-6.1833011522213306E-3</v>
      </c>
      <c r="AF394" s="93">
        <f t="shared" ref="AF394" si="4567">LN(N394/C394)</f>
        <v>-3.1810220944707823E-3</v>
      </c>
      <c r="AG394" s="93">
        <f t="shared" ref="AG394" si="4568">LN(N394/N393)</f>
        <v>-3.2143253035407712E-3</v>
      </c>
      <c r="AH394" s="93">
        <f t="shared" ref="AH394" si="4569">LN(D394/C394)</f>
        <v>-5.6935364758376622E-4</v>
      </c>
      <c r="AI394" s="93">
        <f t="shared" ref="AI394" si="4570">LN(E394/C394)</f>
        <v>4.782487711173255E-4</v>
      </c>
      <c r="AJ394" s="93">
        <f t="shared" ref="AJ394" si="4571">LN(F394/C394)</f>
        <v>9.5324420405689888E-4</v>
      </c>
      <c r="AK394" s="93">
        <f t="shared" ref="AK394" si="4572">+LN(G394/C394)</f>
        <v>-2.0062923065605909E-3</v>
      </c>
      <c r="AL394" s="93">
        <f t="shared" ref="AL394" si="4573">LN(H394/I394)</f>
        <v>6.821763845337077E-3</v>
      </c>
      <c r="AM394" s="93">
        <f t="shared" ref="AM394" si="4574">LN(O394/P394)</f>
        <v>4.313515814553511E-3</v>
      </c>
      <c r="AN394" s="93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93">
        <f t="shared" ref="AQ394" si="4578">LN(M394/L394)</f>
        <v>-1.4269495459586631E-3</v>
      </c>
      <c r="AR394" s="93">
        <f t="shared" ref="AR394" si="4579">LN(N394/L394)</f>
        <v>-1.1079862650410428E-3</v>
      </c>
      <c r="AS394" s="93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93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93">
        <f t="shared" ref="AY394" si="4586">LN(G394/I394)</f>
        <v>2.8192395187058741E-3</v>
      </c>
      <c r="AZ394" s="93">
        <f t="shared" ref="AZ394" si="4587">LN(N394/P394)</f>
        <v>3.0022790577505314E-3</v>
      </c>
      <c r="BA394" s="93">
        <f t="shared" ref="BA394" si="4588">AV393</f>
        <v>0.97108116989812354</v>
      </c>
      <c r="BB394" s="93">
        <f t="shared" ref="BB394" si="4589">AR393</f>
        <v>7.8813200977089666E-3</v>
      </c>
      <c r="BC394" s="93">
        <f t="shared" ref="BC394" si="4590">AS393</f>
        <v>7.4877580356723459E-3</v>
      </c>
      <c r="BD394" s="39">
        <f t="shared" ref="BD394:BD395" si="4591">IF(AR393&lt;0,1,0)</f>
        <v>0</v>
      </c>
      <c r="BE394" t="s">
        <v>624</v>
      </c>
    </row>
    <row r="395" spans="1:57" x14ac:dyDescent="0.15">
      <c r="A395" s="90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92">
        <f t="shared" si="176"/>
        <v>3330.9159999999997</v>
      </c>
      <c r="T395" s="92" t="str">
        <f t="shared" ref="T395" si="4592">IF(AVERAGE(N394)&lt;S394,"熊",IF(AVERAGE(N394)&gt;S394,"牛",""))</f>
        <v>熊</v>
      </c>
      <c r="U395" s="92">
        <f t="shared" ref="U395" si="4593">MAX(H395,O395)</f>
        <v>3287.53</v>
      </c>
      <c r="V395" s="92">
        <f t="shared" ref="V395" si="4594">MIN(I395,P395)</f>
        <v>3259.54</v>
      </c>
      <c r="W395" s="40">
        <f t="shared" ref="W395" si="4595">LN(U395/V395)</f>
        <v>8.5504418095411882E-3</v>
      </c>
      <c r="X395" s="92">
        <f t="shared" ref="X395" si="4596">IF(U395=H395,J395,Q395)</f>
        <v>930</v>
      </c>
      <c r="Y395" s="92">
        <f t="shared" ref="Y395" si="4597">IF(V395=I395,K395,R395)</f>
        <v>1430</v>
      </c>
      <c r="Z395" s="93">
        <f t="shared" ref="Z395" si="4598">(U395-V395)/(C395)</f>
        <v>8.5139907468525719E-3</v>
      </c>
      <c r="AA395" s="93">
        <f t="shared" ref="AA395" si="4599">LN(C395/N394)</f>
        <v>-1.4924082970985352E-3</v>
      </c>
      <c r="AB395" s="93">
        <f t="shared" ref="AB395" si="4600">LN(N395/U395)</f>
        <v>-6.5276634169758648E-3</v>
      </c>
      <c r="AC395" s="93">
        <f t="shared" ref="AC395" si="4601">LN(N395/V395)</f>
        <v>2.0227783925653351E-3</v>
      </c>
      <c r="AD395" s="93">
        <f t="shared" ref="AD395" si="4602">LN(U395/C395)</f>
        <v>0</v>
      </c>
      <c r="AE395" s="93">
        <f t="shared" ref="AE395" si="4603">LN(V395/C395)</f>
        <v>-8.5504418095410581E-3</v>
      </c>
      <c r="AF395" s="93">
        <f t="shared" ref="AF395" si="4604">LN(N395/C395)</f>
        <v>-6.5276634169758648E-3</v>
      </c>
      <c r="AG395" s="93">
        <f t="shared" ref="AG395" si="4605">LN(N395/N394)</f>
        <v>-8.020071714074338E-3</v>
      </c>
      <c r="AH395" s="93">
        <f t="shared" ref="AH395" si="4606">LN(D395/C395)</f>
        <v>-6.0854459314869285E-4</v>
      </c>
      <c r="AI395" s="93">
        <f t="shared" ref="AI395" si="4607">LN(E395/C395)</f>
        <v>-1.6743895435841142E-3</v>
      </c>
      <c r="AJ395" s="93">
        <f t="shared" ref="AJ395" si="4608">LN(F395/C395)</f>
        <v>-1.2844630458802527E-3</v>
      </c>
      <c r="AK395" s="93">
        <f t="shared" ref="AK395" si="4609">+LN(G395/C395)</f>
        <v>-7.072797799972619E-3</v>
      </c>
      <c r="AL395" s="93">
        <f t="shared" ref="AL395" si="4610">LN(H395/I395)</f>
        <v>7.6611412624301659E-3</v>
      </c>
      <c r="AM395" s="93">
        <f t="shared" ref="AM395" si="4611">LN(O395/P395)</f>
        <v>4.9638221059225742E-3</v>
      </c>
      <c r="AN395" s="93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93">
        <f t="shared" ref="AQ395" si="4615">LN(M395/L395)</f>
        <v>-2.0529256560634544E-4</v>
      </c>
      <c r="AR395" s="93">
        <f t="shared" ref="AR395" si="4616">LN(N395/L395)</f>
        <v>6.6461363740464923E-4</v>
      </c>
      <c r="AS395" s="93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93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93">
        <f t="shared" ref="AY395" si="4623">LN(G395/I395)</f>
        <v>5.8834346245758282E-4</v>
      </c>
      <c r="AZ395" s="93">
        <f t="shared" ref="AZ395" si="4624">LN(N395/P395)</f>
        <v>2.0227783925653351E-3</v>
      </c>
      <c r="BA395" s="93">
        <f t="shared" ref="BA395" si="4625">AV394</f>
        <v>0.36609792284866016</v>
      </c>
      <c r="BB395" s="93">
        <f t="shared" ref="BB395" si="4626">AR394</f>
        <v>-1.1079862650410428E-3</v>
      </c>
      <c r="BC395" s="93">
        <f t="shared" ref="BC395" si="4627">AS394</f>
        <v>-3.1810220944707823E-3</v>
      </c>
      <c r="BD395" s="39">
        <f t="shared" si="4591"/>
        <v>1</v>
      </c>
      <c r="BE395" t="s">
        <v>627</v>
      </c>
    </row>
    <row r="396" spans="1:57" x14ac:dyDescent="0.15">
      <c r="A396" s="90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92">
        <f t="shared" si="176"/>
        <v>3325.078</v>
      </c>
      <c r="T396" s="92" t="str">
        <f t="shared" ref="T396" si="4628">IF(AVERAGE(N395)&lt;S395,"熊",IF(AVERAGE(N395)&gt;S395,"牛",""))</f>
        <v>熊</v>
      </c>
      <c r="U396" s="92">
        <f t="shared" ref="U396" si="4629">MAX(H396,O396)</f>
        <v>3280.21</v>
      </c>
      <c r="V396" s="92">
        <f t="shared" ref="V396" si="4630">MIN(I396,P396)</f>
        <v>3254.18</v>
      </c>
      <c r="W396" s="40">
        <f t="shared" ref="W396" si="4631">LN(U396/V396)</f>
        <v>7.9671209363822923E-3</v>
      </c>
      <c r="X396" s="92">
        <f t="shared" ref="X396" si="4632">IF(U396=H396,J396,Q396)</f>
        <v>952</v>
      </c>
      <c r="Y396" s="92">
        <f t="shared" ref="Y396" si="4633">IF(V396=I396,K396,R396)</f>
        <v>1337</v>
      </c>
      <c r="Z396" s="93">
        <f t="shared" ref="Z396" si="4634">(U396-V396)/(C396)</f>
        <v>7.9650431605585627E-3</v>
      </c>
      <c r="AA396" s="93">
        <f t="shared" ref="AA396" si="4635">LN(C396/N395)</f>
        <v>5.784973616264873E-4</v>
      </c>
      <c r="AB396" s="93">
        <f t="shared" ref="AB396" si="4636">LN(N396/U396)</f>
        <v>-3.7537478428628316E-3</v>
      </c>
      <c r="AC396" s="93">
        <f t="shared" ref="AC396" si="4637">LN(N396/V396)</f>
        <v>4.2133730935193592E-3</v>
      </c>
      <c r="AD396" s="93">
        <f t="shared" ref="AD396" si="4638">LN(U396/C396)</f>
        <v>3.7200878546407509E-3</v>
      </c>
      <c r="AE396" s="93">
        <f t="shared" ref="AE396" si="4639">LN(V396/C396)</f>
        <v>-4.2470330817416307E-3</v>
      </c>
      <c r="AF396" s="93">
        <f t="shared" ref="AF396" si="4640">LN(N396/C396)</f>
        <v>-3.3659988222216715E-5</v>
      </c>
      <c r="AG396" s="93">
        <f t="shared" ref="AG396" si="4641">LN(N396/N395)</f>
        <v>5.4483737340419846E-4</v>
      </c>
      <c r="AH396" s="93">
        <f t="shared" ref="AH396" si="4642">LN(D396/C396)</f>
        <v>7.9832753101727533E-4</v>
      </c>
      <c r="AI396" s="93">
        <f t="shared" ref="AI396" si="4643">LN(E396/C396)</f>
        <v>1.9275810905843618E-4</v>
      </c>
      <c r="AJ396" s="93">
        <f t="shared" ref="AJ396" si="4644">LN(F396/C396)</f>
        <v>-2.0001446281681869E-3</v>
      </c>
      <c r="AK396" s="93">
        <f t="shared" ref="AK396" si="4645">+LN(G396/C396)</f>
        <v>-1.8437870841346263E-3</v>
      </c>
      <c r="AL396" s="93">
        <f t="shared" ref="AL396" si="4646">LN(H396/I396)</f>
        <v>5.9502144685670989E-3</v>
      </c>
      <c r="AM396" s="93">
        <f t="shared" ref="AM396" si="4647">LN(O396/P396)</f>
        <v>4.3449466058193727E-3</v>
      </c>
      <c r="AN396" s="93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93">
        <f t="shared" ref="AQ396" si="4651">LN(M396/L396)</f>
        <v>-3.003573662237904E-4</v>
      </c>
      <c r="AR396" s="93">
        <f t="shared" ref="AR396" si="4652">LN(N396/L396)</f>
        <v>1.4239367667128087E-3</v>
      </c>
      <c r="AS396" s="93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93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93">
        <f t="shared" ref="AY396" si="4659">LN(G396/I396)</f>
        <v>3.863395297916837E-4</v>
      </c>
      <c r="AZ396" s="93">
        <f t="shared" ref="AZ396" si="4660">LN(N396/P396)</f>
        <v>4.2133730935193592E-3</v>
      </c>
      <c r="BA396" s="93">
        <f t="shared" ref="BA396" si="4661">AV395</f>
        <v>0.23579849946408907</v>
      </c>
      <c r="BB396" s="93">
        <f t="shared" ref="BB396" si="4662">AR395</f>
        <v>6.6461363740464923E-4</v>
      </c>
      <c r="BC396" s="93">
        <f t="shared" ref="BC396" si="4663">AS395</f>
        <v>-6.5276634169758648E-3</v>
      </c>
      <c r="BD396" s="39">
        <f t="shared" ref="BD396" si="4664">IF(AR395&lt;0,1,0)</f>
        <v>0</v>
      </c>
      <c r="BE396" t="s">
        <v>628</v>
      </c>
    </row>
    <row r="397" spans="1:57" x14ac:dyDescent="0.15">
      <c r="A397" s="90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92">
        <f t="shared" si="176"/>
        <v>3318.8544999999999</v>
      </c>
      <c r="T397" s="92" t="str">
        <f t="shared" ref="T397" si="4665">IF(AVERAGE(N396)&lt;S396,"熊",IF(AVERAGE(N396)&gt;S396,"牛",""))</f>
        <v>熊</v>
      </c>
      <c r="U397" s="92">
        <f t="shared" ref="U397" si="4666">MAX(H397,O397)</f>
        <v>3296.74</v>
      </c>
      <c r="V397" s="92">
        <f t="shared" ref="V397" si="4667">MIN(I397,P397)</f>
        <v>3266.02</v>
      </c>
      <c r="W397" s="40">
        <f t="shared" ref="W397" si="4668">LN(U397/V397)</f>
        <v>9.3619831824716688E-3</v>
      </c>
      <c r="X397" s="92">
        <f t="shared" ref="X397" si="4669">IF(U397=H397,J397,Q397)</f>
        <v>1459</v>
      </c>
      <c r="Y397" s="92">
        <f t="shared" ref="Y397" si="4670">IF(V397=I397,K397,R397)</f>
        <v>930</v>
      </c>
      <c r="Z397" s="93">
        <f t="shared" ref="Z397" si="4671">(U397-V397)/(C397)</f>
        <v>9.4059436255747968E-3</v>
      </c>
      <c r="AA397" s="93">
        <f t="shared" ref="AA397" si="4672">LN(C397/N396)</f>
        <v>-5.8157866572194417E-4</v>
      </c>
      <c r="AB397" s="93">
        <f t="shared" ref="AB397" si="4673">LN(N397/U397)</f>
        <v>-6.0667831507548614E-5</v>
      </c>
      <c r="AC397" s="93">
        <f t="shared" ref="AC397" si="4674">LN(N397/V397)</f>
        <v>9.3013153509639568E-3</v>
      </c>
      <c r="AD397" s="93">
        <f t="shared" ref="AD397" si="4675">LN(U397/C397)</f>
        <v>9.3619831824716688E-3</v>
      </c>
      <c r="AE397" s="93">
        <f t="shared" ref="AE397" si="4676">LN(V397/C397)</f>
        <v>0</v>
      </c>
      <c r="AF397" s="93">
        <f t="shared" ref="AF397" si="4677">LN(N397/C397)</f>
        <v>9.3013153509639568E-3</v>
      </c>
      <c r="AG397" s="93">
        <f t="shared" ref="AG397" si="4678">LN(N397/N396)</f>
        <v>8.7197366852418932E-3</v>
      </c>
      <c r="AH397" s="93">
        <f t="shared" ref="AH397" si="4679">LN(D397/C397)</f>
        <v>3.5510929167636193E-4</v>
      </c>
      <c r="AI397" s="93">
        <f t="shared" ref="AI397" si="4680">LN(E397/C397)</f>
        <v>1.1689358202208425E-3</v>
      </c>
      <c r="AJ397" s="93">
        <f t="shared" ref="AJ397" si="4681">LN(F397/C397)</f>
        <v>2.2051467436342669E-3</v>
      </c>
      <c r="AK397" s="93">
        <f t="shared" ref="AK397" si="4682">+LN(G397/C397)</f>
        <v>5.9041167449918695E-3</v>
      </c>
      <c r="AL397" s="93">
        <f t="shared" ref="AL397" si="4683">LN(H397/I397)</f>
        <v>7.1573793458346354E-3</v>
      </c>
      <c r="AM397" s="93">
        <f t="shared" ref="AM397" si="4684">LN(O397/P397)</f>
        <v>3.7988308830626304E-3</v>
      </c>
      <c r="AN397" s="93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93">
        <f t="shared" ref="AQ397" si="4688">LN(M397/L397)</f>
        <v>7.4539796291528686E-4</v>
      </c>
      <c r="AR397" s="93">
        <f t="shared" ref="AR397" si="4689">LN(N397/L397)</f>
        <v>3.3211063394968658E-3</v>
      </c>
      <c r="AS397" s="93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93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93">
        <f t="shared" ref="AY397" si="4696">LN(G397/I397)</f>
        <v>5.9041167449918695E-3</v>
      </c>
      <c r="AZ397" s="93">
        <f t="shared" ref="AZ397" si="4697">LN(N397/P397)</f>
        <v>3.738163051555173E-3</v>
      </c>
      <c r="BA397" s="93">
        <f t="shared" ref="BA397" si="4698">AV396</f>
        <v>0.52785247791010881</v>
      </c>
      <c r="BB397" s="93">
        <f t="shared" ref="BB397" si="4699">AR396</f>
        <v>1.4239367667128087E-3</v>
      </c>
      <c r="BC397" s="93">
        <f t="shared" ref="BC397" si="4700">AS396</f>
        <v>-3.3659988222216715E-5</v>
      </c>
      <c r="BD397" s="39">
        <f t="shared" ref="BD397:BD398" si="4701">IF(AR396&lt;0,1,0)</f>
        <v>0</v>
      </c>
      <c r="BE397" t="s">
        <v>629</v>
      </c>
    </row>
    <row r="398" spans="1:57" x14ac:dyDescent="0.15">
      <c r="A398" s="90">
        <v>43089</v>
      </c>
      <c r="B398" s="41">
        <f t="shared" si="2744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92">
        <f t="shared" si="176"/>
        <v>3313.1569999999992</v>
      </c>
      <c r="T398" s="92" t="str">
        <f t="shared" ref="T398" si="4702">IF(AVERAGE(N397)&lt;S397,"熊",IF(AVERAGE(N397)&gt;S397,"牛",""))</f>
        <v>熊</v>
      </c>
      <c r="U398" s="92">
        <f t="shared" ref="U398" si="4703">MAX(H398,O398)</f>
        <v>3300.09</v>
      </c>
      <c r="V398" s="92">
        <f t="shared" ref="V398" si="4704">MIN(I398,P398)</f>
        <v>3276.55</v>
      </c>
      <c r="W398" s="40">
        <f t="shared" ref="W398" si="4705">LN(U398/V398)</f>
        <v>7.1587012606598556E-3</v>
      </c>
      <c r="X398" s="92">
        <f t="shared" ref="X398" si="4706">IF(U398=H398,J398,Q398)</f>
        <v>1115</v>
      </c>
      <c r="Y398" s="92">
        <f t="shared" ref="Y398" si="4707">IF(V398=I398,K398,R398)</f>
        <v>1424</v>
      </c>
      <c r="Z398" s="93">
        <f t="shared" ref="Z398" si="4708">(U398-V398)/(C398)</f>
        <v>7.1403871703561595E-3</v>
      </c>
      <c r="AA398" s="93">
        <f t="shared" ref="AA398" si="4709">LN(C398/N397)</f>
        <v>6.0667831507603766E-5</v>
      </c>
      <c r="AB398" s="93">
        <f t="shared" ref="AB398" si="4710">LN(N398/U398)</f>
        <v>-3.7888838076605043E-3</v>
      </c>
      <c r="AC398" s="93">
        <f t="shared" ref="AC398" si="4711">LN(N398/V398)</f>
        <v>3.3698174529993978E-3</v>
      </c>
      <c r="AD398" s="93">
        <f t="shared" ref="AD398" si="4712">LN(U398/C398)</f>
        <v>1.0156394171039981E-3</v>
      </c>
      <c r="AE398" s="93">
        <f t="shared" ref="AE398" si="4713">LN(V398/C398)</f>
        <v>-6.1430618435558684E-3</v>
      </c>
      <c r="AF398" s="93">
        <f t="shared" ref="AF398" si="4714">LN(N398/C398)</f>
        <v>-2.7732443905564398E-3</v>
      </c>
      <c r="AG398" s="93">
        <f t="shared" ref="AG398" si="4715">LN(N398/N397)</f>
        <v>-2.7125765590488553E-3</v>
      </c>
      <c r="AH398" s="93">
        <f t="shared" ref="AH398" si="4716">LN(D398/C398)</f>
        <v>-1.2717608618631534E-3</v>
      </c>
      <c r="AI398" s="93">
        <f t="shared" ref="AI398" si="4717">LN(E398/C398)</f>
        <v>3.2147807402179671E-4</v>
      </c>
      <c r="AJ398" s="93">
        <f t="shared" ref="AJ398" si="4718">LN(F398/C398)</f>
        <v>-1.5208389704003244E-3</v>
      </c>
      <c r="AK398" s="93">
        <f t="shared" ref="AK398" si="4719">+LN(G398/C398)</f>
        <v>-4.5813316092469485E-4</v>
      </c>
      <c r="AL398" s="93">
        <f t="shared" ref="AL398" si="4720">LN(H398/I398)</f>
        <v>4.5435158538667305E-3</v>
      </c>
      <c r="AM398" s="93">
        <f t="shared" ref="AM398" si="4721">LN(O398/P398)</f>
        <v>5.96104730615892E-3</v>
      </c>
      <c r="AN398" s="93">
        <f t="shared" ref="AN398" si="4722">LN(L398/G398)</f>
        <v>3.0346849314467743E-6</v>
      </c>
      <c r="AO398" s="40">
        <f t="shared" ref="AO398" si="4723">(C398-I398)/(H398-I398)</f>
        <v>0.77606951871655372</v>
      </c>
      <c r="AP398" s="40">
        <f t="shared" ref="AP398" si="4724">(N397-I398)/(H398-I398)</f>
        <v>0.76270053475934674</v>
      </c>
      <c r="AQ398" s="93">
        <f t="shared" ref="AQ398" si="4725">LN(M398/L398)</f>
        <v>-9.1993114594681737E-4</v>
      </c>
      <c r="AR398" s="93">
        <f t="shared" ref="AR398" si="4726">LN(N398/L398)</f>
        <v>-2.3181459145631307E-3</v>
      </c>
      <c r="AS398" s="93">
        <f t="shared" ref="AS398" si="4727">LN(N398/C398)</f>
        <v>-2.7732443905564398E-3</v>
      </c>
      <c r="AT398" s="28">
        <f t="shared" ref="AT398" si="4728">+(G398-I398)/(H398-I398)</f>
        <v>0.67513368983956445</v>
      </c>
      <c r="AU398" s="28">
        <f t="shared" ref="AU398" si="4729">+(N398-P398)/(O398-P398)</f>
        <v>0.56457376212353849</v>
      </c>
      <c r="AV398" s="40">
        <f t="shared" ref="AV398" si="4730">+(N398-V398)/(U398-V398)</f>
        <v>0.46983857264230938</v>
      </c>
      <c r="AW398" s="93">
        <f t="shared" ref="AW398" si="4731">LN(N398/C398)</f>
        <v>-2.7732443905564398E-3</v>
      </c>
      <c r="AX398" s="28">
        <f t="shared" ref="AX398" si="4732">(N398-L398)/(U398-V398)</f>
        <v>-0.32412914188613706</v>
      </c>
      <c r="AY398" s="93">
        <f t="shared" ref="AY398" si="4733">LN(G398/I398)</f>
        <v>3.0697432758378476E-3</v>
      </c>
      <c r="AZ398" s="93">
        <f t="shared" ref="AZ398" si="4734">LN(N398/P398)</f>
        <v>3.3698174529993978E-3</v>
      </c>
      <c r="BA398" s="93">
        <f t="shared" ref="BA398" si="4735">AV397</f>
        <v>0.99348958333333925</v>
      </c>
      <c r="BB398" s="93">
        <f t="shared" ref="BB398" si="4736">AR397</f>
        <v>3.3211063394968658E-3</v>
      </c>
      <c r="BC398" s="93">
        <f t="shared" ref="BC398" si="4737">AS397</f>
        <v>9.3013153509639568E-3</v>
      </c>
      <c r="BD398" s="39">
        <f t="shared" si="4701"/>
        <v>0</v>
      </c>
    </row>
    <row r="399" spans="1:57" x14ac:dyDescent="0.15">
      <c r="A399" s="90">
        <v>43090</v>
      </c>
      <c r="B399" s="41">
        <f t="shared" si="2744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92">
        <f t="shared" si="176"/>
        <v>3306.0144999999998</v>
      </c>
      <c r="T399" s="92" t="str">
        <f t="shared" ref="T399" si="4738">IF(AVERAGE(N398)&lt;S398,"熊",IF(AVERAGE(N398)&gt;S398,"牛",""))</f>
        <v>熊</v>
      </c>
      <c r="U399" s="92">
        <f t="shared" ref="U399" si="4739">MAX(H399,O399)</f>
        <v>3309.13</v>
      </c>
      <c r="V399" s="92">
        <f t="shared" ref="V399" si="4740">MIN(I399,P399)</f>
        <v>3267.4</v>
      </c>
      <c r="W399" s="40">
        <f t="shared" ref="W399" si="4741">LN(U399/V399)</f>
        <v>1.2690753351091398E-2</v>
      </c>
      <c r="X399" s="92">
        <f t="shared" ref="X399" si="4742">IF(U399=H399,J399,Q399)</f>
        <v>1351</v>
      </c>
      <c r="Y399" s="92">
        <f t="shared" ref="Y399" si="4743">IF(V399=I399,K399,R399)</f>
        <v>1011</v>
      </c>
      <c r="Z399" s="93">
        <f t="shared" ref="Z399" si="4744">(U399-V399)/(C399)</f>
        <v>1.2718218169405575E-2</v>
      </c>
      <c r="AA399" s="93">
        <f t="shared" ref="AA399" si="4745">LN(C399/N398)</f>
        <v>-1.9760294948301671E-3</v>
      </c>
      <c r="AB399" s="93">
        <f t="shared" ref="AB399" si="4746">LN(N399/U399)</f>
        <v>-2.7446648360334265E-3</v>
      </c>
      <c r="AC399" s="93">
        <f t="shared" ref="AC399" si="4747">LN(N399/V399)</f>
        <v>9.9460885150578424E-3</v>
      </c>
      <c r="AD399" s="93">
        <f t="shared" ref="AD399" si="4748">LN(U399/C399)</f>
        <v>8.5004874360400731E-3</v>
      </c>
      <c r="AE399" s="93">
        <f t="shared" ref="AE399" si="4749">LN(V399/C399)</f>
        <v>-4.1902659150513466E-3</v>
      </c>
      <c r="AF399" s="93">
        <f t="shared" ref="AF399" si="4750">LN(N399/C399)</f>
        <v>5.7558226000064897E-3</v>
      </c>
      <c r="AG399" s="93">
        <f t="shared" ref="AG399" si="4751">LN(N399/N398)</f>
        <v>3.7797931051763087E-3</v>
      </c>
      <c r="AH399" s="93">
        <f t="shared" ref="AH399" si="4752">LN(D399/C399)</f>
        <v>-5.3349674841568864E-4</v>
      </c>
      <c r="AI399" s="93">
        <f t="shared" ref="AI399" si="4753">LN(E399/C399)</f>
        <v>-2.0776676586368018E-3</v>
      </c>
      <c r="AJ399" s="93">
        <f t="shared" ref="AJ399" si="4754">LN(F399/C399)</f>
        <v>-1.4304125167711702E-3</v>
      </c>
      <c r="AK399" s="93">
        <f t="shared" ref="AK399" si="4755">+LN(G399/C399)</f>
        <v>6.7341139998586931E-3</v>
      </c>
      <c r="AL399" s="93">
        <f t="shared" ref="AL399" si="4756">LN(H399/I399)</f>
        <v>1.0924379914910135E-2</v>
      </c>
      <c r="AM399" s="93">
        <f t="shared" ref="AM399" si="4757">LN(O399/P399)</f>
        <v>3.6359548098183437E-3</v>
      </c>
      <c r="AN399" s="93">
        <f t="shared" ref="AN399" si="4758">LN(L399/G399)</f>
        <v>-3.0272895010913044E-6</v>
      </c>
      <c r="AO399" s="40">
        <f t="shared" ref="AO399" si="4759">(C399-I399)/(H399-I399)</f>
        <v>0.38227918640289354</v>
      </c>
      <c r="AP399" s="40">
        <f t="shared" ref="AP399" si="4760">(N398-I399)/(H399-I399)</f>
        <v>0.56310950125383419</v>
      </c>
      <c r="AQ399" s="93">
        <f t="shared" ref="AQ399" si="4761">LN(M399/L399)</f>
        <v>-1.8163929463979465E-5</v>
      </c>
      <c r="AR399" s="93">
        <f t="shared" ref="AR399" si="4762">LN(N399/L399)</f>
        <v>-9.7526411035102172E-4</v>
      </c>
      <c r="AS399" s="93">
        <f t="shared" ref="AS399" si="4763">LN(N399/C399)</f>
        <v>5.7558226000064897E-3</v>
      </c>
      <c r="AT399" s="28">
        <f t="shared" ref="AT399" si="4764">+(G399-I399)/(H399-I399)</f>
        <v>1</v>
      </c>
      <c r="AU399" s="28">
        <f t="shared" ref="AU399" si="4765">+(N399-P399)/(O399-P399)</f>
        <v>0.24479600333055795</v>
      </c>
      <c r="AV399" s="40">
        <f t="shared" ref="AV399" si="4766">+(N399-V399)/(U399-V399)</f>
        <v>0.78265037143541438</v>
      </c>
      <c r="AW399" s="93">
        <f t="shared" ref="AW399" si="4767">LN(N399/C399)</f>
        <v>5.7558226000064897E-3</v>
      </c>
      <c r="AX399" s="28">
        <f t="shared" ref="AX399" si="4768">(N399-L399)/(U399-V399)</f>
        <v>-7.7162712676737438E-2</v>
      </c>
      <c r="AY399" s="93">
        <f t="shared" ref="AY399" si="4769">LN(G399/I399)</f>
        <v>1.0924379914910135E-2</v>
      </c>
      <c r="AZ399" s="93">
        <f t="shared" ref="AZ399" si="4770">LN(N399/P399)</f>
        <v>8.9128997378507587E-4</v>
      </c>
      <c r="BA399" s="93">
        <f t="shared" ref="BA399" si="4771">AV398</f>
        <v>0.46983857264230938</v>
      </c>
      <c r="BB399" s="93">
        <f t="shared" ref="BB399" si="4772">AR398</f>
        <v>-2.3181459145631307E-3</v>
      </c>
      <c r="BC399" s="93">
        <f t="shared" ref="BC399" si="4773">AS398</f>
        <v>-2.7732443905564398E-3</v>
      </c>
      <c r="BD399" s="39">
        <f t="shared" ref="BD399:BD405" si="4774">IF(AR398&lt;0,1,0)</f>
        <v>1</v>
      </c>
    </row>
    <row r="400" spans="1:57" x14ac:dyDescent="0.15">
      <c r="A400" s="90">
        <v>43091</v>
      </c>
      <c r="B400" s="41">
        <f t="shared" si="2744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92">
        <f t="shared" si="176"/>
        <v>3303.4219999999996</v>
      </c>
      <c r="T400" s="92" t="str">
        <f t="shared" ref="T400" si="4775">IF(AVERAGE(N399)&lt;S399,"熊",IF(AVERAGE(N399)&gt;S399,"牛",""))</f>
        <v>熊</v>
      </c>
      <c r="U400" s="92">
        <f t="shared" ref="U400" si="4776">MAX(H400,O400)</f>
        <v>3307.18</v>
      </c>
      <c r="V400" s="92">
        <f t="shared" ref="V400" si="4777">MIN(I400,P400)</f>
        <v>3293.89</v>
      </c>
      <c r="W400" s="40">
        <f t="shared" ref="W400" si="4778">LN(U400/V400)</f>
        <v>4.0266253673059459E-3</v>
      </c>
      <c r="X400" s="92">
        <f t="shared" ref="X400" si="4779">IF(U400=H400,J400,Q400)</f>
        <v>1322</v>
      </c>
      <c r="Y400" s="92">
        <f t="shared" ref="Y400" si="4780">IF(V400=I400,K400,R400)</f>
        <v>1444</v>
      </c>
      <c r="Z400" s="93">
        <f t="shared" ref="Z400" si="4781">(U400-V400)/(C400)</f>
        <v>4.0300937929277653E-3</v>
      </c>
      <c r="AA400" s="93">
        <f t="shared" ref="AA400" si="4782">LN(C400/N399)</f>
        <v>-7.1842676728792871E-4</v>
      </c>
      <c r="AB400" s="93">
        <f t="shared" ref="AB400" si="4783">LN(N400/U400)</f>
        <v>-3.0647002292200787E-3</v>
      </c>
      <c r="AC400" s="93">
        <f t="shared" ref="AC400" si="4784">LN(N400/V400)</f>
        <v>9.61925138085775E-4</v>
      </c>
      <c r="AD400" s="93">
        <f t="shared" ref="AD400" si="4785">LN(U400/C400)</f>
        <v>2.8736391573320422E-3</v>
      </c>
      <c r="AE400" s="93">
        <f t="shared" ref="AE400" si="4786">LN(V400/C400)</f>
        <v>-1.1529862099738297E-3</v>
      </c>
      <c r="AF400" s="93">
        <f t="shared" ref="AF400" si="4787">LN(N400/C400)</f>
        <v>-1.9106107188800485E-4</v>
      </c>
      <c r="AG400" s="93">
        <f t="shared" ref="AG400" si="4788">LN(N400/N399)</f>
        <v>-9.0948783917591729E-4</v>
      </c>
      <c r="AH400" s="93">
        <f t="shared" ref="AH400" si="4789">LN(D400/C400)</f>
        <v>3.9413766222661965E-4</v>
      </c>
      <c r="AI400" s="93">
        <f t="shared" ref="AI400" si="4790">LN(E400/C400)</f>
        <v>9.9111189945744194E-4</v>
      </c>
      <c r="AJ400" s="93">
        <f t="shared" ref="AJ400" si="4791">LN(F400/C400)</f>
        <v>2.6984947717439555E-4</v>
      </c>
      <c r="AK400" s="93">
        <f t="shared" ref="AK400" si="4792">+LN(G400/C400)</f>
        <v>1.8541245938852838E-3</v>
      </c>
      <c r="AL400" s="93">
        <f t="shared" ref="AL400" si="4793">LN(H400/I400)</f>
        <v>2.9233453566146692E-3</v>
      </c>
      <c r="AM400" s="93">
        <f t="shared" ref="AM400" si="4794">LN(O400/P400)</f>
        <v>4.0266253673059459E-3</v>
      </c>
      <c r="AN400" s="93">
        <f t="shared" ref="AN400" si="4795">LN(L400/G400)</f>
        <v>1.029061920169735E-4</v>
      </c>
      <c r="AO400" s="40">
        <f t="shared" ref="AO400" si="4796">(C400-I400)/(H400-I400)</f>
        <v>0.15544041450777055</v>
      </c>
      <c r="AP400" s="40">
        <f t="shared" ref="AP400" si="4797">(N399-I400)/(H400-I400)</f>
        <v>0.40103626943003673</v>
      </c>
      <c r="AQ400" s="93">
        <f t="shared" ref="AQ400" si="4798">LN(M400/L400)</f>
        <v>-1.6344419325214931E-4</v>
      </c>
      <c r="AR400" s="93">
        <f t="shared" ref="AR400" si="4799">LN(N400/L400)</f>
        <v>-2.1480918577901583E-3</v>
      </c>
      <c r="AS400" s="93">
        <f t="shared" ref="AS400" si="4800">LN(N400/C400)</f>
        <v>-1.9106107188800485E-4</v>
      </c>
      <c r="AT400" s="28">
        <f t="shared" ref="AT400" si="4801">+(G400-I400)/(H400-I400)</f>
        <v>0.78963730569946311</v>
      </c>
      <c r="AU400" s="28">
        <f t="shared" ref="AU400" si="4802">+(N400-P400)/(O400-P400)</f>
        <v>0.23852520692250426</v>
      </c>
      <c r="AV400" s="40">
        <f t="shared" ref="AV400" si="4803">+(N400-V400)/(U400-V400)</f>
        <v>0.23852520692250426</v>
      </c>
      <c r="AW400" s="93">
        <f t="shared" ref="AW400" si="4804">LN(N400/C400)</f>
        <v>-1.9106107188800485E-4</v>
      </c>
      <c r="AX400" s="28">
        <f t="shared" ref="AX400" si="4805">(N400-L400)/(U400-V400)</f>
        <v>-0.53348382242288672</v>
      </c>
      <c r="AY400" s="93">
        <f t="shared" ref="AY400" si="4806">LN(G400/I400)</f>
        <v>2.3090919350786184E-3</v>
      </c>
      <c r="AZ400" s="93">
        <f t="shared" ref="AZ400" si="4807">LN(N400/P400)</f>
        <v>9.61925138085775E-4</v>
      </c>
      <c r="BA400" s="93">
        <f t="shared" ref="BA400" si="4808">AV399</f>
        <v>0.78265037143541438</v>
      </c>
      <c r="BB400" s="93">
        <f t="shared" ref="BB400" si="4809">AR399</f>
        <v>-9.7526411035102172E-4</v>
      </c>
      <c r="BC400" s="93">
        <f t="shared" ref="BC400" si="4810">AS399</f>
        <v>5.7558226000064897E-3</v>
      </c>
      <c r="BD400" s="39">
        <f t="shared" si="4774"/>
        <v>1</v>
      </c>
    </row>
    <row r="401" spans="1:57" x14ac:dyDescent="0.15">
      <c r="A401" s="90">
        <v>43094</v>
      </c>
      <c r="B401" s="41">
        <f t="shared" si="2744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92">
        <f t="shared" si="176"/>
        <v>3300.5839999999998</v>
      </c>
      <c r="T401" s="92" t="str">
        <f t="shared" ref="T401" si="4811">IF(AVERAGE(N400)&lt;S400,"熊",IF(AVERAGE(N400)&gt;S400,"牛",""))</f>
        <v>熊</v>
      </c>
      <c r="U401" s="92">
        <f t="shared" ref="U401" si="4812">MAX(H401,O401)</f>
        <v>3312.07</v>
      </c>
      <c r="V401" s="92">
        <f t="shared" ref="V401" si="4813">MIN(I401,P401)</f>
        <v>3270.73</v>
      </c>
      <c r="W401" s="40">
        <f t="shared" ref="W401" si="4814">LN(U401/V401)</f>
        <v>1.2560169980686882E-2</v>
      </c>
      <c r="X401" s="92">
        <f t="shared" ref="X401" si="4815">IF(U401=H401,J401,Q401)</f>
        <v>1000</v>
      </c>
      <c r="Y401" s="92">
        <f t="shared" ref="Y401" si="4816">IF(V401=I401,K401,R401)</f>
        <v>1431</v>
      </c>
      <c r="Z401" s="93">
        <f t="shared" ref="Z401" si="4817">(U401-V401)/(C401)</f>
        <v>1.2541676652883204E-2</v>
      </c>
      <c r="AA401" s="93">
        <f t="shared" ref="AA401" si="4818">LN(C401/N400)</f>
        <v>-2.5783867631964274E-4</v>
      </c>
      <c r="AB401" s="93">
        <f t="shared" ref="AB401" si="4819">LN(N401/U401)</f>
        <v>-9.5897151001325502E-3</v>
      </c>
      <c r="AC401" s="93">
        <f t="shared" ref="AC401" si="4820">LN(N401/V401)</f>
        <v>2.9704548805544492E-3</v>
      </c>
      <c r="AD401" s="93">
        <f t="shared" ref="AD401" si="4821">LN(U401/C401)</f>
        <v>4.8000479555336669E-3</v>
      </c>
      <c r="AE401" s="93">
        <f t="shared" ref="AE401" si="4822">LN(V401/C401)</f>
        <v>-7.7601220251533086E-3</v>
      </c>
      <c r="AF401" s="93">
        <f t="shared" ref="AF401" si="4823">LN(N401/C401)</f>
        <v>-4.7896671445989258E-3</v>
      </c>
      <c r="AG401" s="93">
        <f t="shared" ref="AG401" si="4824">LN(N401/N400)</f>
        <v>-5.0475058209185544E-3</v>
      </c>
      <c r="AH401" s="93">
        <f t="shared" ref="AH401" si="4825">LN(D401/C401)</f>
        <v>1.1218717634206253E-3</v>
      </c>
      <c r="AI401" s="93">
        <f t="shared" ref="AI401" si="4826">LN(E401/C401)</f>
        <v>2.2848633265282366E-3</v>
      </c>
      <c r="AJ401" s="93">
        <f t="shared" ref="AJ401" si="4827">LN(F401/C401)</f>
        <v>2.2394593445913308E-3</v>
      </c>
      <c r="AK401" s="93">
        <f t="shared" ref="AK401" si="4828">+LN(G401/C401)</f>
        <v>-3.842078473397759E-3</v>
      </c>
      <c r="AL401" s="93">
        <f t="shared" ref="AL401" si="4829">LN(H401/I401)</f>
        <v>8.7060832550499966E-3</v>
      </c>
      <c r="AM401" s="93">
        <f t="shared" ref="AM401" si="4830">LN(O401/P401)</f>
        <v>5.6402932471763785E-3</v>
      </c>
      <c r="AN401" s="93">
        <f t="shared" ref="AN401" si="4831">LN(L401/G401)</f>
        <v>1.2181788834909559E-5</v>
      </c>
      <c r="AO401" s="40">
        <f t="shared" ref="AO401" si="4832">(C401-I401)/(H401-I401)</f>
        <v>0.44757924068268523</v>
      </c>
      <c r="AP401" s="40">
        <f t="shared" ref="AP401" si="4833">(N400-I401)/(H401-I401)</f>
        <v>0.47718564959943577</v>
      </c>
      <c r="AQ401" s="93">
        <f t="shared" ref="AQ401" si="4834">LN(M401/L401)</f>
        <v>9.5276514547148897E-4</v>
      </c>
      <c r="AR401" s="93">
        <f t="shared" ref="AR401" si="4835">LN(N401/L401)</f>
        <v>-9.5977046003608798E-4</v>
      </c>
      <c r="AS401" s="93">
        <f t="shared" ref="AS401" si="4836">LN(N401/C401)</f>
        <v>-4.7896671445989258E-3</v>
      </c>
      <c r="AT401" s="28">
        <f t="shared" ref="AT401" si="4837">+(G401-I401)/(H401-I401)</f>
        <v>7.3145245559051242E-3</v>
      </c>
      <c r="AU401" s="28">
        <f t="shared" ref="AU401" si="4838">+(N401-P401)/(O401-P401)</f>
        <v>0.5259459459459469</v>
      </c>
      <c r="AV401" s="40">
        <f t="shared" ref="AV401" si="4839">+(N401-V401)/(U401-V401)</f>
        <v>0.23536526366715008</v>
      </c>
      <c r="AW401" s="93">
        <f t="shared" ref="AW401" si="4840">LN(N401/C401)</f>
        <v>-4.7896671445989258E-3</v>
      </c>
      <c r="AX401" s="28">
        <f t="shared" ref="AX401" si="4841">(N401-L401)/(U401-V401)</f>
        <v>-7.6197387518144172E-2</v>
      </c>
      <c r="AY401" s="93">
        <f t="shared" ref="AY401" si="4842">LN(G401/I401)</f>
        <v>6.3956826118576212E-5</v>
      </c>
      <c r="AZ401" s="93">
        <f t="shared" ref="AZ401" si="4843">LN(N401/P401)</f>
        <v>2.9704548805544492E-3</v>
      </c>
      <c r="BA401" s="93">
        <f t="shared" ref="BA401" si="4844">AV400</f>
        <v>0.23852520692250426</v>
      </c>
      <c r="BB401" s="93">
        <f t="shared" ref="BB401" si="4845">AR400</f>
        <v>-2.1480918577901583E-3</v>
      </c>
      <c r="BC401" s="93">
        <f t="shared" ref="BC401" si="4846">AS400</f>
        <v>-1.9106107188800485E-4</v>
      </c>
      <c r="BD401" s="39">
        <f t="shared" si="4774"/>
        <v>1</v>
      </c>
      <c r="BE401" t="s">
        <v>639</v>
      </c>
    </row>
    <row r="402" spans="1:57" x14ac:dyDescent="0.15">
      <c r="A402" s="90">
        <v>43095</v>
      </c>
      <c r="B402" s="41">
        <f t="shared" si="2744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92">
        <f t="shared" si="176"/>
        <v>3298.4954999999995</v>
      </c>
      <c r="T402" s="92" t="str">
        <f t="shared" ref="T402" si="4847">IF(AVERAGE(N401)&lt;S401,"熊",IF(AVERAGE(N401)&gt;S401,"牛",""))</f>
        <v>熊</v>
      </c>
      <c r="U402" s="92">
        <f t="shared" ref="U402" si="4848">MAX(H402,O402)</f>
        <v>3307.3</v>
      </c>
      <c r="V402" s="92">
        <f t="shared" ref="V402" si="4849">MIN(I402,P402)</f>
        <v>3274.4</v>
      </c>
      <c r="W402" s="40">
        <f t="shared" ref="W402" si="4850">LN(U402/V402)</f>
        <v>9.9975003507188701E-3</v>
      </c>
      <c r="X402" s="92">
        <f t="shared" ref="X402" si="4851">IF(U402=H402,J402,Q402)</f>
        <v>1441</v>
      </c>
      <c r="Y402" s="92">
        <f t="shared" ref="Y402" si="4852">IF(V402=I402,K402,R402)</f>
        <v>1056</v>
      </c>
      <c r="Z402" s="93">
        <f t="shared" ref="Z402" si="4853">(U402-V402)/(C402)</f>
        <v>1.003709760085913E-2</v>
      </c>
      <c r="AA402" s="93">
        <f t="shared" ref="AA402" si="4854">LN(C402/N401)</f>
        <v>-7.9898758500826722E-4</v>
      </c>
      <c r="AB402" s="93">
        <f t="shared" ref="AB402" si="4855">LN(N402/U402)</f>
        <v>-3.5685016603280754E-4</v>
      </c>
      <c r="AC402" s="93">
        <f t="shared" ref="AC402" si="4856">LN(N402/V402)</f>
        <v>9.6406501846860587E-3</v>
      </c>
      <c r="AD402" s="93">
        <f t="shared" ref="AD402" si="4857">LN(U402/C402)</f>
        <v>8.9474776665487733E-3</v>
      </c>
      <c r="AE402" s="93">
        <f t="shared" ref="AE402" si="4858">LN(V402/C402)</f>
        <v>-1.0500226841702442E-3</v>
      </c>
      <c r="AF402" s="93">
        <f t="shared" ref="AF402" si="4859">LN(N402/C402)</f>
        <v>8.5906275005158059E-3</v>
      </c>
      <c r="AG402" s="93">
        <f t="shared" ref="AG402" si="4860">LN(N402/N401)</f>
        <v>7.7916399155076544E-3</v>
      </c>
      <c r="AH402" s="93">
        <f t="shared" ref="AH402" si="4861">LN(D402/C402)</f>
        <v>-8.2405261508179683E-4</v>
      </c>
      <c r="AI402" s="93">
        <f t="shared" ref="AI402" si="4862">LN(E402/C402)</f>
        <v>6.5570473069052578E-4</v>
      </c>
      <c r="AJ402" s="93">
        <f t="shared" ref="AJ402" si="4863">LN(F402/C402)</f>
        <v>-5.2487352363679443E-4</v>
      </c>
      <c r="AK402" s="93">
        <f t="shared" ref="AK402" si="4864">+LN(G402/C402)</f>
        <v>2.6111147104787629E-3</v>
      </c>
      <c r="AL402" s="93">
        <f t="shared" ref="AL402" si="4865">LN(H402/I402)</f>
        <v>6.3231137507415705E-3</v>
      </c>
      <c r="AM402" s="93">
        <f t="shared" ref="AM402" si="4866">LN(O402/P402)</f>
        <v>6.8081134787984828E-3</v>
      </c>
      <c r="AN402" s="93">
        <f t="shared" ref="AN402" si="4867">LN(L402/G402)</f>
        <v>1.2170595248404295E-4</v>
      </c>
      <c r="AO402" s="40">
        <f t="shared" ref="AO402" si="4868">(C402-I402)/(H402-I402)</f>
        <v>0.16562349542609811</v>
      </c>
      <c r="AP402" s="40">
        <f t="shared" ref="AP402" si="4869">(N401-I402)/(H402-I402)</f>
        <v>0.29176697159364229</v>
      </c>
      <c r="AQ402" s="93">
        <f t="shared" ref="AQ402" si="4870">LN(M402/L402)</f>
        <v>1.8253116009682915E-4</v>
      </c>
      <c r="AR402" s="93">
        <f t="shared" ref="AR402" si="4871">LN(N402/L402)</f>
        <v>5.857806837552916E-3</v>
      </c>
      <c r="AS402" s="93">
        <f t="shared" ref="AS402" si="4872">LN(N402/C402)</f>
        <v>8.5906275005158059E-3</v>
      </c>
      <c r="AT402" s="28">
        <f t="shared" ref="AT402" si="4873">+(G402-I402)/(H402-I402)</f>
        <v>0.57823784304283943</v>
      </c>
      <c r="AU402" s="28">
        <f t="shared" ref="AU402" si="4874">+(N402-P402)/(O402-P402)</f>
        <v>0.94741532976825815</v>
      </c>
      <c r="AV402" s="40">
        <f t="shared" ref="AV402" si="4875">+(N402-V402)/(U402-V402)</f>
        <v>0.96413373860181495</v>
      </c>
      <c r="AW402" s="93">
        <f t="shared" ref="AW402" si="4876">LN(N402/C402)</f>
        <v>8.5906275005158059E-3</v>
      </c>
      <c r="AX402" s="28">
        <f t="shared" ref="AX402" si="4877">(N402-L402)/(U402-V402)</f>
        <v>0.58693009118540707</v>
      </c>
      <c r="AY402" s="93">
        <f t="shared" ref="AY402" si="4878">LN(G402/I402)</f>
        <v>3.661137394648959E-3</v>
      </c>
      <c r="AZ402" s="93">
        <f t="shared" ref="AZ402" si="4879">LN(N402/P402)</f>
        <v>6.4512633127657123E-3</v>
      </c>
      <c r="BA402" s="93">
        <f t="shared" ref="BA402" si="4880">AV401</f>
        <v>0.23536526366715008</v>
      </c>
      <c r="BB402" s="93">
        <f t="shared" ref="BB402" si="4881">AR401</f>
        <v>-9.5977046003608798E-4</v>
      </c>
      <c r="BC402" s="93">
        <f t="shared" ref="BC402" si="4882">AS401</f>
        <v>-4.7896671445989258E-3</v>
      </c>
      <c r="BD402" s="39">
        <f t="shared" si="4774"/>
        <v>1</v>
      </c>
      <c r="BE402" t="s">
        <v>640</v>
      </c>
    </row>
    <row r="403" spans="1:57" x14ac:dyDescent="0.15">
      <c r="A403" s="90">
        <v>43096</v>
      </c>
      <c r="B403" s="41">
        <f t="shared" si="2744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92">
        <f t="shared" si="176"/>
        <v>3297.1184999999996</v>
      </c>
      <c r="T403" s="92" t="str">
        <f t="shared" ref="T403" si="4883">IF(AVERAGE(N402)&lt;S402,"熊",IF(AVERAGE(N402)&gt;S402,"牛",""))</f>
        <v>牛</v>
      </c>
      <c r="U403" s="92">
        <f t="shared" ref="U403" si="4884">MAX(H403,O403)</f>
        <v>3306.89</v>
      </c>
      <c r="V403" s="92">
        <f t="shared" ref="V403" si="4885">MIN(I403,P403)</f>
        <v>3270.35</v>
      </c>
      <c r="W403" s="40">
        <f t="shared" ref="W403" si="4886">LN(U403/V403)</f>
        <v>1.1111157849892967E-2</v>
      </c>
      <c r="X403" s="92">
        <f t="shared" ref="X403" si="4887">IF(U403=H403,J403,Q403)</f>
        <v>1045</v>
      </c>
      <c r="Y403" s="92">
        <f t="shared" ref="Y403" si="4888">IF(V403=I403,K403,R403)</f>
        <v>1440</v>
      </c>
      <c r="Z403" s="93">
        <f t="shared" ref="Z403" si="4889">(U403-V403)/(C403)</f>
        <v>1.1064479206409756E-2</v>
      </c>
      <c r="AA403" s="93">
        <f t="shared" ref="AA403" si="4890">LN(C403/N402)</f>
        <v>-1.1076510760863851E-3</v>
      </c>
      <c r="AB403" s="93">
        <f t="shared" ref="AB403" si="4891">LN(N403/U403)</f>
        <v>-9.4521620018419069E-3</v>
      </c>
      <c r="AC403" s="93">
        <f t="shared" ref="AC403" si="4892">LN(N403/V403)</f>
        <v>1.6589958480510627E-3</v>
      </c>
      <c r="AD403" s="93">
        <f t="shared" ref="AD403" si="4893">LN(U403/C403)</f>
        <v>1.3405253658514168E-3</v>
      </c>
      <c r="AE403" s="93">
        <f t="shared" ref="AE403" si="4894">LN(V403/C403)</f>
        <v>-9.7706324840414298E-3</v>
      </c>
      <c r="AF403" s="93">
        <f t="shared" ref="AF403" si="4895">LN(N403/C403)</f>
        <v>-8.111636635990415E-3</v>
      </c>
      <c r="AG403" s="93">
        <f t="shared" ref="AG403" si="4896">LN(N403/N402)</f>
        <v>-9.2192877120767982E-3</v>
      </c>
      <c r="AH403" s="93">
        <f t="shared" ref="AH403" si="4897">LN(D403/C403)</f>
        <v>-1.1810075825325041E-4</v>
      </c>
      <c r="AI403" s="93">
        <f t="shared" ref="AI403" si="4898">LN(E403/C403)</f>
        <v>3.9356849053791921E-4</v>
      </c>
      <c r="AJ403" s="93">
        <f t="shared" ref="AJ403" si="4899">LN(F403/C403)</f>
        <v>-5.6337517732561043E-4</v>
      </c>
      <c r="AK403" s="93">
        <f t="shared" ref="AK403" si="4900">+LN(G403/C403)</f>
        <v>-2.0289964865004512E-4</v>
      </c>
      <c r="AL403" s="93">
        <f t="shared" ref="AL403" si="4901">LN(H403/I403)</f>
        <v>3.4199252112095059E-3</v>
      </c>
      <c r="AM403" s="93">
        <f t="shared" ref="AM403" si="4902">LN(O403/P403)</f>
        <v>9.7585202276489671E-3</v>
      </c>
      <c r="AN403" s="93">
        <f t="shared" ref="AN403" si="4903">LN(L403/G403)</f>
        <v>2.7257570413331823E-5</v>
      </c>
      <c r="AO403" s="40">
        <f t="shared" ref="AO403" si="4904">(C403-I403)/(H403-I403)</f>
        <v>0.60761736049602744</v>
      </c>
      <c r="AP403" s="40">
        <f t="shared" ref="AP403" si="4905">(N402-I403)/(H403-I403)</f>
        <v>0.93179805137289773</v>
      </c>
      <c r="AQ403" s="93">
        <f t="shared" ref="AQ403" si="4906">LN(M403/L403)</f>
        <v>-9.8477246838436436E-4</v>
      </c>
      <c r="AR403" s="93">
        <f t="shared" ref="AR403" si="4907">LN(N403/L403)</f>
        <v>-7.9359945577536489E-3</v>
      </c>
      <c r="AS403" s="93">
        <f t="shared" ref="AS403" si="4908">LN(N403/C403)</f>
        <v>-8.111636635990415E-3</v>
      </c>
      <c r="AT403" s="28">
        <f t="shared" ref="AT403" si="4909">+(G403-I403)/(H403-I403)</f>
        <v>0.54827280779451504</v>
      </c>
      <c r="AU403" s="28">
        <f t="shared" ref="AU403" si="4910">+(N403-P403)/(O403-P403)</f>
        <v>0.16931711880262748</v>
      </c>
      <c r="AV403" s="40">
        <f t="shared" ref="AV403" si="4911">+(N403-V403)/(U403-V403)</f>
        <v>0.14860426929393258</v>
      </c>
      <c r="AW403" s="93">
        <f t="shared" ref="AW403" si="4912">LN(N403/C403)</f>
        <v>-8.111636635990415E-3</v>
      </c>
      <c r="AX403" s="28">
        <f t="shared" ref="AX403" si="4913">(N403-L403)/(U403-V403)</f>
        <v>-0.71428571428571253</v>
      </c>
      <c r="AY403" s="93">
        <f t="shared" ref="AY403" si="4914">LN(G403/I403)</f>
        <v>1.8765001967079157E-3</v>
      </c>
      <c r="AZ403" s="93">
        <f t="shared" ref="AZ403" si="4915">LN(N403/P403)</f>
        <v>1.6589958480510627E-3</v>
      </c>
      <c r="BA403" s="93">
        <f t="shared" ref="BA403" si="4916">AV402</f>
        <v>0.96413373860181495</v>
      </c>
      <c r="BB403" s="93">
        <f t="shared" ref="BB403" si="4917">AR402</f>
        <v>5.857806837552916E-3</v>
      </c>
      <c r="BC403" s="93">
        <f t="shared" ref="BC403" si="4918">AS402</f>
        <v>8.5906275005158059E-3</v>
      </c>
      <c r="BD403" s="39">
        <f t="shared" si="4774"/>
        <v>0</v>
      </c>
    </row>
    <row r="404" spans="1:57" x14ac:dyDescent="0.15">
      <c r="A404" s="90">
        <v>43097</v>
      </c>
      <c r="B404" s="41">
        <f t="shared" si="2744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92">
        <f t="shared" si="176"/>
        <v>3294.0145000000002</v>
      </c>
      <c r="T404" s="92" t="str">
        <f t="shared" ref="T404" si="4919">IF(AVERAGE(N403)&lt;S403,"熊",IF(AVERAGE(N403)&gt;S403,"牛",""))</f>
        <v>熊</v>
      </c>
      <c r="U404" s="92">
        <f t="shared" ref="U404" si="4920">MAX(H404,O404)</f>
        <v>3304.06</v>
      </c>
      <c r="V404" s="92">
        <f t="shared" ref="V404" si="4921">MIN(I404,P404)</f>
        <v>3263.79</v>
      </c>
      <c r="W404" s="40">
        <f t="shared" ref="W404" si="4922">LN(U404/V404)</f>
        <v>1.2262918503366339E-2</v>
      </c>
      <c r="X404" s="92">
        <f t="shared" ref="X404" si="4923">IF(U404=H404,J404,Q404)</f>
        <v>1329</v>
      </c>
      <c r="Y404" s="92">
        <f t="shared" ref="Y404" si="4924">IF(V404=I404,K404,R404)</f>
        <v>940</v>
      </c>
      <c r="Z404" s="93">
        <f t="shared" ref="Z404" si="4925">(U404-V404)/(C404)</f>
        <v>1.2306366489522623E-2</v>
      </c>
      <c r="AA404" s="93">
        <f t="shared" ref="AA404" si="4926">LN(C404/N403)</f>
        <v>-1.0659630487968833E-3</v>
      </c>
      <c r="AB404" s="93">
        <f t="shared" ref="AB404" si="4927">LN(N404/U404)</f>
        <v>-2.3271186363053092E-3</v>
      </c>
      <c r="AC404" s="93">
        <f t="shared" ref="AC404" si="4928">LN(N404/V404)</f>
        <v>9.9357998670611142E-3</v>
      </c>
      <c r="AD404" s="93">
        <f t="shared" ref="AD404" si="4929">LN(U404/C404)</f>
        <v>9.6619696802711496E-3</v>
      </c>
      <c r="AE404" s="93">
        <f t="shared" ref="AE404" si="4930">LN(V404/C404)</f>
        <v>-2.6009488230953168E-3</v>
      </c>
      <c r="AF404" s="93">
        <f t="shared" ref="AF404" si="4931">LN(N404/C404)</f>
        <v>7.334851043965653E-3</v>
      </c>
      <c r="AG404" s="93">
        <f t="shared" ref="AG404" si="4932">LN(N404/N403)</f>
        <v>6.2688879951690174E-3</v>
      </c>
      <c r="AH404" s="93">
        <f t="shared" ref="AH404" si="4933">LN(D404/C404)</f>
        <v>-6.3890050151974216E-4</v>
      </c>
      <c r="AI404" s="93">
        <f t="shared" ref="AI404" si="4934">LN(E404/C404)</f>
        <v>-3.1481382690020699E-4</v>
      </c>
      <c r="AJ404" s="93">
        <f t="shared" ref="AJ404" si="4935">LN(F404/C404)</f>
        <v>-2.4447009769296133E-3</v>
      </c>
      <c r="AK404" s="93">
        <f t="shared" ref="AK404" si="4936">+LN(G404/C404)</f>
        <v>5.8928371966590377E-3</v>
      </c>
      <c r="AL404" s="93">
        <f t="shared" ref="AL404" si="4937">LN(H404/I404)</f>
        <v>9.4472659899619716E-3</v>
      </c>
      <c r="AM404" s="93">
        <f t="shared" ref="AM404" si="4938">LN(O404/P404)</f>
        <v>3.7660944797020669E-3</v>
      </c>
      <c r="AN404" s="93">
        <f t="shared" ref="AN404" si="4939">LN(L404/G404)</f>
        <v>3.0380039097866307E-6</v>
      </c>
      <c r="AO404" s="40">
        <f t="shared" ref="AO404" si="4940">(C404-I404)/(H404-I404)</f>
        <v>0.27437056165267898</v>
      </c>
      <c r="AP404" s="40">
        <f t="shared" ref="AP404" si="4941">(N403-I404)/(H404-I404)</f>
        <v>0.38702388637831597</v>
      </c>
      <c r="AQ404" s="93">
        <f t="shared" ref="AQ404" si="4942">LN(M404/L404)</f>
        <v>4.1308257378955455E-4</v>
      </c>
      <c r="AR404" s="93">
        <f t="shared" ref="AR404" si="4943">LN(N404/L404)</f>
        <v>1.4389758433969004E-3</v>
      </c>
      <c r="AS404" s="93">
        <f t="shared" ref="AS404" si="4944">LN(N404/C404)</f>
        <v>7.334851043965653E-3</v>
      </c>
      <c r="AT404" s="28">
        <f t="shared" ref="AT404" si="4945">+(G404-I404)/(H404-I404)</f>
        <v>0.89864428663654383</v>
      </c>
      <c r="AU404" s="28">
        <f t="shared" ref="AU404" si="4946">+(N404-P404)/(O404-P404)</f>
        <v>0.38164251207731148</v>
      </c>
      <c r="AV404" s="40">
        <f t="shared" ref="AV404" si="4947">+(N404-V404)/(U404-V404)</f>
        <v>0.80928731065309556</v>
      </c>
      <c r="AW404" s="93">
        <f t="shared" ref="AW404" si="4948">LN(N404/C404)</f>
        <v>7.334851043965653E-3</v>
      </c>
      <c r="AX404" s="28">
        <f t="shared" ref="AX404" si="4949">(N404-L404)/(U404-V404)</f>
        <v>0.11770548795630094</v>
      </c>
      <c r="AY404" s="93">
        <f t="shared" ref="AY404" si="4950">LN(G404/I404)</f>
        <v>8.4937860197543333E-3</v>
      </c>
      <c r="AZ404" s="93">
        <f t="shared" ref="AZ404" si="4951">LN(N404/P404)</f>
        <v>1.4389758433969004E-3</v>
      </c>
      <c r="BA404" s="93">
        <f t="shared" ref="BA404" si="4952">AV403</f>
        <v>0.14860426929393258</v>
      </c>
      <c r="BB404" s="93">
        <f t="shared" ref="BB404" si="4953">AR403</f>
        <v>-7.9359945577536489E-3</v>
      </c>
      <c r="BC404" s="93">
        <f t="shared" ref="BC404" si="4954">AS403</f>
        <v>-8.111636635990415E-3</v>
      </c>
      <c r="BD404" s="39">
        <f t="shared" si="4774"/>
        <v>1</v>
      </c>
    </row>
    <row r="405" spans="1:57" x14ac:dyDescent="0.15">
      <c r="A405" s="90">
        <v>43098</v>
      </c>
      <c r="B405" s="41">
        <f t="shared" si="2744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92">
        <f t="shared" si="176"/>
        <v>3292.9739999999997</v>
      </c>
      <c r="T405" s="92" t="str">
        <f t="shared" ref="T405" si="4955">IF(AVERAGE(N404)&lt;S404,"熊",IF(AVERAGE(N404)&gt;S404,"牛",""))</f>
        <v>牛</v>
      </c>
      <c r="U405" s="92">
        <f t="shared" ref="U405" si="4956">MAX(H405,O405)</f>
        <v>3308.11</v>
      </c>
      <c r="V405" s="92">
        <f t="shared" ref="V405" si="4957">MIN(I405,P405)</f>
        <v>3292.8</v>
      </c>
      <c r="W405" s="40">
        <f t="shared" ref="W405" si="4958">LN(U405/V405)</f>
        <v>4.6387626716691459E-3</v>
      </c>
      <c r="X405" s="92">
        <f t="shared" ref="X405" si="4959">IF(U405=H405,J405,Q405)</f>
        <v>1459</v>
      </c>
      <c r="Y405" s="92">
        <f t="shared" ref="Y405" si="4960">IF(V405=I405,K405,R405)</f>
        <v>1338</v>
      </c>
      <c r="Z405" s="93">
        <f t="shared" ref="Z405" si="4961">(U405-V405)/(C405)</f>
        <v>4.6460814809194889E-3</v>
      </c>
      <c r="AA405" s="93">
        <f t="shared" ref="AA405" si="4962">LN(C405/N404)</f>
        <v>-3.4285905339635189E-4</v>
      </c>
      <c r="AB405" s="93">
        <f t="shared" ref="AB405" si="4963">LN(N405/U405)</f>
        <v>-2.8419054260028998E-4</v>
      </c>
      <c r="AC405" s="93">
        <f t="shared" ref="AC405" si="4964">LN(N405/V405)</f>
        <v>4.354572129068735E-3</v>
      </c>
      <c r="AD405" s="93">
        <f t="shared" ref="AD405" si="4965">LN(U405/C405)</f>
        <v>3.8949917188244869E-3</v>
      </c>
      <c r="AE405" s="93">
        <f t="shared" ref="AE405" si="4966">LN(V405/C405)</f>
        <v>-7.4377095284454138E-4</v>
      </c>
      <c r="AF405" s="93">
        <f t="shared" ref="AF405" si="4967">LN(N405/C405)</f>
        <v>3.6108011762242031E-3</v>
      </c>
      <c r="AG405" s="93">
        <f t="shared" ref="AG405" si="4968">LN(N405/N404)</f>
        <v>3.2679421228277539E-3</v>
      </c>
      <c r="AH405" s="93">
        <f t="shared" ref="AH405" si="4969">LN(D405/C405)</f>
        <v>6.3707795741489313E-4</v>
      </c>
      <c r="AI405" s="93">
        <f t="shared" ref="AI405" si="4970">LN(E405/C405)</f>
        <v>6.5830690095746791E-4</v>
      </c>
      <c r="AJ405" s="93">
        <f t="shared" ref="AJ405" si="4971">LN(F405/C405)</f>
        <v>2.412685342124138E-3</v>
      </c>
      <c r="AK405" s="93">
        <f t="shared" ref="AK405" si="4972">+LN(G405/C405)</f>
        <v>1.1009793154447727E-3</v>
      </c>
      <c r="AL405" s="93">
        <f t="shared" ref="AL405" si="4973">LN(H405/I405)</f>
        <v>3.536061934008405E-3</v>
      </c>
      <c r="AM405" s="93">
        <f t="shared" ref="AM405" si="4974">LN(O405/P405)</f>
        <v>4.6387626716691459E-3</v>
      </c>
      <c r="AN405" s="93">
        <f t="shared" ref="AN405" si="4975">LN(L405/G405)</f>
        <v>-4.2439546388332512E-5</v>
      </c>
      <c r="AO405" s="40">
        <f t="shared" ref="AO405" si="4976">(C405-I405)/(H405-I405)</f>
        <v>6.8551842330777796E-2</v>
      </c>
      <c r="AP405" s="40">
        <f t="shared" ref="AP405" si="4977">(N404-I405)/(H405-I405)</f>
        <v>0.16538131962298877</v>
      </c>
      <c r="AQ405" s="93">
        <f t="shared" ref="AQ405" si="4978">LN(M405/L405)</f>
        <v>5.2733506090780861E-4</v>
      </c>
      <c r="AR405" s="93">
        <f t="shared" ref="AR405" si="4979">LN(N405/L405)</f>
        <v>2.5522614071677614E-3</v>
      </c>
      <c r="AS405" s="93">
        <f t="shared" ref="AS405" si="4980">LN(N405/C405)</f>
        <v>3.6108011762242031E-3</v>
      </c>
      <c r="AT405" s="28">
        <f t="shared" ref="AT405" si="4981">+(G405-I405)/(H405-I405)</f>
        <v>0.3796058269066207</v>
      </c>
      <c r="AU405" s="28">
        <f t="shared" ref="AU405" si="4982">+(N405-P405)/(O405-P405)</f>
        <v>0.9386022207707343</v>
      </c>
      <c r="AV405" s="40">
        <f t="shared" ref="AV405" si="4983">+(N405-V405)/(U405-V405)</f>
        <v>0.9386022207707343</v>
      </c>
      <c r="AW405" s="93">
        <f t="shared" ref="AW405" si="4984">LN(N405/C405)</f>
        <v>3.6108011762242031E-3</v>
      </c>
      <c r="AX405" s="28">
        <f t="shared" ref="AX405" si="4985">(N405-L405)/(U405-V405)</f>
        <v>0.55062050947095498</v>
      </c>
      <c r="AY405" s="93">
        <f t="shared" ref="AY405" si="4986">LN(G405/I405)</f>
        <v>1.3437824791489182E-3</v>
      </c>
      <c r="AZ405" s="93">
        <f t="shared" ref="AZ405" si="4987">LN(N405/P405)</f>
        <v>4.354572129068735E-3</v>
      </c>
      <c r="BA405" s="93">
        <f t="shared" ref="BA405" si="4988">AV404</f>
        <v>0.80928731065309556</v>
      </c>
      <c r="BB405" s="93">
        <f t="shared" ref="BB405" si="4989">AR404</f>
        <v>1.4389758433969004E-3</v>
      </c>
      <c r="BC405" s="93">
        <f t="shared" ref="BC405" si="4990">AS404</f>
        <v>7.334851043965653E-3</v>
      </c>
      <c r="BD405" s="39">
        <f t="shared" si="4774"/>
        <v>0</v>
      </c>
    </row>
    <row r="406" spans="1:57" x14ac:dyDescent="0.15">
      <c r="A406" s="90">
        <v>43102</v>
      </c>
      <c r="B406" s="41">
        <f t="shared" si="2744"/>
        <v>2</v>
      </c>
      <c r="C406" s="39">
        <v>3314.03</v>
      </c>
      <c r="D406" s="39">
        <v>3318.91</v>
      </c>
      <c r="E406" s="39">
        <v>3325.84</v>
      </c>
      <c r="F406" s="39">
        <v>3323.18</v>
      </c>
      <c r="G406" s="39">
        <v>3342.98</v>
      </c>
      <c r="H406" s="39">
        <v>3347.32</v>
      </c>
      <c r="I406" s="39">
        <v>3314.03</v>
      </c>
      <c r="J406" s="39">
        <v>1120</v>
      </c>
      <c r="K406" s="39">
        <v>930</v>
      </c>
      <c r="L406" s="39">
        <v>3343.15</v>
      </c>
      <c r="M406" s="39">
        <v>3341.96</v>
      </c>
      <c r="N406" s="39">
        <v>3348.33</v>
      </c>
      <c r="O406" s="39">
        <v>3349.05</v>
      </c>
      <c r="P406" s="39">
        <v>3334.13</v>
      </c>
      <c r="Q406" s="39">
        <v>1459</v>
      </c>
      <c r="R406" s="39">
        <v>1415</v>
      </c>
      <c r="S406" s="92">
        <f t="shared" si="176"/>
        <v>3292.4515000000001</v>
      </c>
      <c r="T406" s="92" t="str">
        <f t="shared" ref="T406" si="4991">IF(AVERAGE(N405)&lt;S405,"熊",IF(AVERAGE(N405)&gt;S405,"牛",""))</f>
        <v>牛</v>
      </c>
      <c r="U406" s="92">
        <f t="shared" ref="U406" si="4992">MAX(H406,O406)</f>
        <v>3349.05</v>
      </c>
      <c r="V406" s="92">
        <f t="shared" ref="V406" si="4993">MIN(I406,P406)</f>
        <v>3314.03</v>
      </c>
      <c r="W406" s="40">
        <f t="shared" ref="W406" si="4994">LN(U406/V406)</f>
        <v>1.0511752062494915E-2</v>
      </c>
      <c r="X406" s="92">
        <f t="shared" ref="X406" si="4995">IF(U406=H406,J406,Q406)</f>
        <v>1459</v>
      </c>
      <c r="Y406" s="92">
        <f t="shared" ref="Y406" si="4996">IF(V406=I406,K406,R406)</f>
        <v>930</v>
      </c>
      <c r="Z406" s="93">
        <f t="shared" ref="Z406" si="4997">(U406-V406)/(C406)</f>
        <v>1.0567194624067971E-2</v>
      </c>
      <c r="AA406" s="93">
        <f t="shared" ref="AA406" si="4998">LN(C406/N405)</f>
        <v>2.072132681261597E-3</v>
      </c>
      <c r="AB406" s="93">
        <f t="shared" ref="AB406" si="4999">LN(N406/U406)</f>
        <v>-2.1500945228551145E-4</v>
      </c>
      <c r="AC406" s="93">
        <f t="shared" ref="AC406" si="5000">LN(N406/V406)</f>
        <v>1.0296742610209445E-2</v>
      </c>
      <c r="AD406" s="93">
        <f t="shared" ref="AD406" si="5001">LN(U406/C406)</f>
        <v>1.0511752062494915E-2</v>
      </c>
      <c r="AE406" s="93">
        <f t="shared" ref="AE406" si="5002">LN(V406/C406)</f>
        <v>0</v>
      </c>
      <c r="AF406" s="93">
        <f t="shared" ref="AF406" si="5003">LN(N406/C406)</f>
        <v>1.0296742610209445E-2</v>
      </c>
      <c r="AG406" s="93">
        <f t="shared" ref="AG406" si="5004">LN(N406/N405)</f>
        <v>1.236887529147087E-2</v>
      </c>
      <c r="AH406" s="93">
        <f t="shared" ref="AH406" si="5005">LN(D406/C406)</f>
        <v>1.4714443008661002E-3</v>
      </c>
      <c r="AI406" s="93">
        <f t="shared" ref="AI406" si="5006">LN(E406/C406)</f>
        <v>3.5573023128571456E-3</v>
      </c>
      <c r="AJ406" s="93">
        <f t="shared" ref="AJ406" si="5007">LN(F406/C406)</f>
        <v>2.7571843580582621E-3</v>
      </c>
      <c r="AK406" s="93">
        <f t="shared" ref="AK406" si="5008">+LN(G406/C406)</f>
        <v>8.6976533018274411E-3</v>
      </c>
      <c r="AL406" s="93">
        <f t="shared" ref="AL406" si="5009">LN(H406/I406)</f>
        <v>9.9950541982822168E-3</v>
      </c>
      <c r="AM406" s="93">
        <f t="shared" ref="AM406" si="5010">LN(O406/P406)</f>
        <v>4.4649477604328707E-3</v>
      </c>
      <c r="AN406" s="93">
        <f t="shared" ref="AN406" si="5011">LN(L406/G406)</f>
        <v>5.085153894311267E-5</v>
      </c>
      <c r="AO406" s="40">
        <f t="shared" ref="AO406" si="5012">(C406-I406)/(H406-I406)</f>
        <v>0</v>
      </c>
      <c r="AP406" s="40">
        <f t="shared" ref="AP406" si="5013">(N405-I406)/(H406-I406)</f>
        <v>-0.20606788825473521</v>
      </c>
      <c r="AQ406" s="93">
        <f t="shared" ref="AQ406" si="5014">LN(M406/L406)</f>
        <v>-3.5601508802966786E-4</v>
      </c>
      <c r="AR406" s="93">
        <f t="shared" ref="AR406" si="5015">LN(N406/L406)</f>
        <v>1.5482377694386903E-3</v>
      </c>
      <c r="AS406" s="93">
        <f t="shared" ref="AS406" si="5016">LN(N406/C406)</f>
        <v>1.0296742610209445E-2</v>
      </c>
      <c r="AT406" s="28">
        <f t="shared" ref="AT406" si="5017">+(G406-I406)/(H406-I406)</f>
        <v>0.8696305196755737</v>
      </c>
      <c r="AU406" s="28">
        <f t="shared" ref="AU406" si="5018">+(N406-P406)/(O406-P406)</f>
        <v>0.95174262734582771</v>
      </c>
      <c r="AV406" s="40">
        <f t="shared" ref="AV406" si="5019">+(N406-V406)/(U406-V406)</f>
        <v>0.97944031981724</v>
      </c>
      <c r="AW406" s="93">
        <f t="shared" ref="AW406" si="5020">LN(N406/C406)</f>
        <v>1.0296742610209445E-2</v>
      </c>
      <c r="AX406" s="28">
        <f t="shared" ref="AX406" si="5021">(N406-L406)/(U406-V406)</f>
        <v>0.14791547687035519</v>
      </c>
      <c r="AY406" s="93">
        <f t="shared" ref="AY406" si="5022">LN(G406/I406)</f>
        <v>8.6976533018274411E-3</v>
      </c>
      <c r="AZ406" s="93">
        <f t="shared" ref="AZ406" si="5023">LN(N406/P406)</f>
        <v>4.249938308147341E-3</v>
      </c>
      <c r="BA406" s="93">
        <f t="shared" ref="BA406" si="5024">AV405</f>
        <v>0.9386022207707343</v>
      </c>
      <c r="BB406" s="93">
        <f t="shared" ref="BB406" si="5025">AR405</f>
        <v>2.5522614071677614E-3</v>
      </c>
      <c r="BC406" s="93">
        <f t="shared" ref="BC406" si="5026">AS405</f>
        <v>3.6108011762242031E-3</v>
      </c>
      <c r="BD406" s="39">
        <f t="shared" ref="BD406" si="5027">IF(AR405&lt;0,1,0)</f>
        <v>0</v>
      </c>
    </row>
    <row r="407" spans="1:57" x14ac:dyDescent="0.15">
      <c r="A407" s="90">
        <v>43103</v>
      </c>
      <c r="B407" s="41">
        <f t="shared" ref="B407:B414" si="5028">WEEKDAY(A407,2)</f>
        <v>3</v>
      </c>
      <c r="C407" s="39">
        <v>3347.74</v>
      </c>
      <c r="D407" s="39">
        <v>3346.73</v>
      </c>
      <c r="E407" s="39">
        <v>3349.12</v>
      </c>
      <c r="F407" s="39">
        <v>3348.9</v>
      </c>
      <c r="G407" s="39">
        <v>3378.79</v>
      </c>
      <c r="H407" s="39">
        <v>3379.42</v>
      </c>
      <c r="I407" s="39">
        <v>3345.32</v>
      </c>
      <c r="J407" s="39">
        <v>1128</v>
      </c>
      <c r="K407" s="39">
        <v>931</v>
      </c>
      <c r="L407" s="39">
        <v>3379.11</v>
      </c>
      <c r="M407" s="39">
        <v>3375.81</v>
      </c>
      <c r="N407" s="39">
        <v>3369.11</v>
      </c>
      <c r="O407" s="39">
        <v>3379.84</v>
      </c>
      <c r="P407" s="39">
        <v>3362.74</v>
      </c>
      <c r="Q407" s="39">
        <v>1300</v>
      </c>
      <c r="R407" s="39">
        <v>1449</v>
      </c>
      <c r="S407" s="92">
        <f t="shared" si="176"/>
        <v>3294.3869999999997</v>
      </c>
      <c r="T407" s="92" t="str">
        <f t="shared" ref="T407" si="5029">IF(AVERAGE(N406)&lt;S406,"熊",IF(AVERAGE(N406)&gt;S406,"牛",""))</f>
        <v>牛</v>
      </c>
      <c r="U407" s="92">
        <f t="shared" ref="U407" si="5030">MAX(H407,O407)</f>
        <v>3379.84</v>
      </c>
      <c r="V407" s="92">
        <f t="shared" ref="V407" si="5031">MIN(I407,P407)</f>
        <v>3345.32</v>
      </c>
      <c r="W407" s="40">
        <f t="shared" ref="W407" si="5032">LN(U407/V407)</f>
        <v>1.0266016919907287E-2</v>
      </c>
      <c r="X407" s="92">
        <f t="shared" ref="X407" si="5033">IF(U407=H407,J407,Q407)</f>
        <v>1300</v>
      </c>
      <c r="Y407" s="92">
        <f t="shared" ref="Y407" si="5034">IF(V407=I407,K407,R407)</f>
        <v>931</v>
      </c>
      <c r="Z407" s="93">
        <f t="shared" ref="Z407" si="5035">(U407-V407)/(C407)</f>
        <v>1.0311433982328371E-2</v>
      </c>
      <c r="AA407" s="93">
        <f t="shared" ref="AA407" si="5036">LN(C407/N406)</f>
        <v>-1.7622276993128138E-4</v>
      </c>
      <c r="AB407" s="93">
        <f t="shared" ref="AB407" si="5037">LN(N407/U407)</f>
        <v>-3.1797565668096562E-3</v>
      </c>
      <c r="AC407" s="93">
        <f t="shared" ref="AC407" si="5038">LN(N407/V407)</f>
        <v>7.0862603530975942E-3</v>
      </c>
      <c r="AD407" s="93">
        <f t="shared" ref="AD407" si="5039">LN(U407/C407)</f>
        <v>9.5428797881747639E-3</v>
      </c>
      <c r="AE407" s="93">
        <f t="shared" ref="AE407" si="5040">LN(V407/C407)</f>
        <v>-7.2313713173243377E-4</v>
      </c>
      <c r="AF407" s="93">
        <f t="shared" ref="AF407" si="5041">LN(N407/C407)</f>
        <v>6.3631232213649837E-3</v>
      </c>
      <c r="AG407" s="93">
        <f t="shared" ref="AG407" si="5042">LN(N407/N406)</f>
        <v>6.1869004514337866E-3</v>
      </c>
      <c r="AH407" s="93">
        <f t="shared" ref="AH407" si="5043">LN(D407/C407)</f>
        <v>-3.0174158900197204E-4</v>
      </c>
      <c r="AI407" s="93">
        <f t="shared" ref="AI407" si="5044">LN(E407/C407)</f>
        <v>4.1213345344935171E-4</v>
      </c>
      <c r="AJ407" s="93">
        <f t="shared" ref="AJ407" si="5045">LN(F407/C407)</f>
        <v>3.4644239845718736E-4</v>
      </c>
      <c r="AK407" s="93">
        <f t="shared" ref="AK407" si="5046">+LN(G407/C407)</f>
        <v>9.2321659279849221E-3</v>
      </c>
      <c r="AL407" s="93">
        <f t="shared" ref="AL407" si="5047">LN(H407/I407)</f>
        <v>1.0141742960763664E-2</v>
      </c>
      <c r="AM407" s="93">
        <f t="shared" ref="AM407" si="5048">LN(O407/P407)</f>
        <v>5.0722532508424454E-3</v>
      </c>
      <c r="AN407" s="93">
        <f t="shared" ref="AN407" si="5049">LN(L407/G407)</f>
        <v>9.4703976158120229E-5</v>
      </c>
      <c r="AO407" s="40">
        <f t="shared" ref="AO407" si="5050">(C407-I407)/(H407-I407)</f>
        <v>7.0967741935472853E-2</v>
      </c>
      <c r="AP407" s="40">
        <f t="shared" ref="AP407" si="5051">(N406-I407)/(H407-I407)</f>
        <v>8.8269794721400924E-2</v>
      </c>
      <c r="AQ407" s="93">
        <f t="shared" ref="AQ407" si="5052">LN(M407/L407)</f>
        <v>-9.7706568324454628E-4</v>
      </c>
      <c r="AR407" s="93">
        <f t="shared" ref="AR407" si="5053">LN(N407/L407)</f>
        <v>-2.9637466827778622E-3</v>
      </c>
      <c r="AS407" s="93">
        <f t="shared" ref="AS407" si="5054">LN(N407/C407)</f>
        <v>6.3631232213649837E-3</v>
      </c>
      <c r="AT407" s="28">
        <f t="shared" ref="AT407" si="5055">+(G407-I407)/(H407-I407)</f>
        <v>0.98152492668621372</v>
      </c>
      <c r="AU407" s="28">
        <f t="shared" ref="AU407" si="5056">+(N407-P407)/(O407-P407)</f>
        <v>0.37251461988305323</v>
      </c>
      <c r="AV407" s="40">
        <f t="shared" ref="AV407" si="5057">+(N407-V407)/(U407-V407)</f>
        <v>0.689165701042873</v>
      </c>
      <c r="AW407" s="93">
        <f t="shared" ref="AW407" si="5058">LN(N407/C407)</f>
        <v>6.3631232213649837E-3</v>
      </c>
      <c r="AX407" s="28">
        <f t="shared" ref="AX407" si="5059">(N407-L407)/(U407-V407)</f>
        <v>-0.28968713789107781</v>
      </c>
      <c r="AY407" s="93">
        <f t="shared" ref="AY407" si="5060">LN(G407/I407)</f>
        <v>9.955303059717183E-3</v>
      </c>
      <c r="AZ407" s="93">
        <f t="shared" ref="AZ407" si="5061">LN(N407/P407)</f>
        <v>1.8924966840327159E-3</v>
      </c>
      <c r="BA407" s="93">
        <f t="shared" ref="BA407" si="5062">AV406</f>
        <v>0.97944031981724</v>
      </c>
      <c r="BB407" s="93">
        <f t="shared" ref="BB407" si="5063">AR406</f>
        <v>1.5482377694386903E-3</v>
      </c>
      <c r="BC407" s="93">
        <f t="shared" ref="BC407" si="5064">AS406</f>
        <v>1.0296742610209445E-2</v>
      </c>
      <c r="BD407" s="39">
        <f t="shared" ref="BD407" si="5065">IF(AR406&lt;0,1,0)</f>
        <v>0</v>
      </c>
      <c r="BE407" t="s">
        <v>648</v>
      </c>
    </row>
    <row r="408" spans="1:57" x14ac:dyDescent="0.15">
      <c r="A408" s="90">
        <v>43104</v>
      </c>
      <c r="B408" s="41">
        <f t="shared" si="5028"/>
        <v>4</v>
      </c>
      <c r="C408" s="39">
        <v>3371</v>
      </c>
      <c r="D408" s="39">
        <v>3367.07</v>
      </c>
      <c r="E408" s="39">
        <v>3365.79</v>
      </c>
      <c r="F408" s="39">
        <v>3372.43</v>
      </c>
      <c r="G408" s="39">
        <v>3382.9</v>
      </c>
      <c r="H408" s="39">
        <v>3384.02</v>
      </c>
      <c r="I408" s="39">
        <v>3365.48</v>
      </c>
      <c r="J408" s="39">
        <v>1103</v>
      </c>
      <c r="K408" s="39">
        <v>936</v>
      </c>
      <c r="L408" s="39">
        <v>3382.94</v>
      </c>
      <c r="M408" s="39">
        <v>3385.09</v>
      </c>
      <c r="N408" s="39">
        <v>3385.71</v>
      </c>
      <c r="O408" s="39">
        <v>3392.8</v>
      </c>
      <c r="P408" s="39">
        <v>3375</v>
      </c>
      <c r="Q408" s="39">
        <v>1348</v>
      </c>
      <c r="R408" s="39">
        <v>1433</v>
      </c>
      <c r="S408" s="92">
        <f t="shared" si="176"/>
        <v>3297.6585</v>
      </c>
      <c r="T408" s="92" t="str">
        <f t="shared" ref="T408" si="5066">IF(AVERAGE(N407)&lt;S407,"熊",IF(AVERAGE(N407)&gt;S407,"牛",""))</f>
        <v>牛</v>
      </c>
      <c r="U408" s="92">
        <f t="shared" ref="U408" si="5067">MAX(H408,O408)</f>
        <v>3392.8</v>
      </c>
      <c r="V408" s="92">
        <f t="shared" ref="V408" si="5068">MIN(I408,P408)</f>
        <v>3365.48</v>
      </c>
      <c r="W408" s="40">
        <f t="shared" ref="W408" si="5069">LN(U408/V408)</f>
        <v>8.0849413806655147E-3</v>
      </c>
      <c r="X408" s="92">
        <f t="shared" ref="X408" si="5070">IF(U408=H408,J408,Q408)</f>
        <v>1348</v>
      </c>
      <c r="Y408" s="92">
        <f t="shared" ref="Y408" si="5071">IF(V408=I408,K408,R408)</f>
        <v>936</v>
      </c>
      <c r="Z408" s="93">
        <f t="shared" ref="Z408" si="5072">(U408-V408)/(C408)</f>
        <v>8.1044200533966666E-3</v>
      </c>
      <c r="AA408" s="93">
        <f t="shared" ref="AA408" si="5073">LN(C408/N407)</f>
        <v>5.6082172235675121E-4</v>
      </c>
      <c r="AB408" s="93">
        <f t="shared" ref="AB408" si="5074">LN(N408/U408)</f>
        <v>-2.0919059160577603E-3</v>
      </c>
      <c r="AC408" s="93">
        <f t="shared" ref="AC408" si="5075">LN(N408/V408)</f>
        <v>5.9930354646079752E-3</v>
      </c>
      <c r="AD408" s="93">
        <f t="shared" ref="AD408" si="5076">LN(U408/C408)</f>
        <v>6.4461029263202839E-3</v>
      </c>
      <c r="AE408" s="93">
        <f t="shared" ref="AE408" si="5077">LN(V408/C408)</f>
        <v>-1.638838454345254E-3</v>
      </c>
      <c r="AF408" s="93">
        <f t="shared" ref="AF408" si="5078">LN(N408/C408)</f>
        <v>4.354197010262675E-3</v>
      </c>
      <c r="AG408" s="93">
        <f t="shared" ref="AG408" si="5079">LN(N408/N407)</f>
        <v>4.915018732619323E-3</v>
      </c>
      <c r="AH408" s="93">
        <f t="shared" ref="AH408" si="5080">LN(D408/C408)</f>
        <v>-1.1665062683056907E-3</v>
      </c>
      <c r="AI408" s="93">
        <f t="shared" ref="AI408" si="5081">LN(E408/C408)</f>
        <v>-1.5467310213589701E-3</v>
      </c>
      <c r="AJ408" s="93">
        <f t="shared" ref="AJ408" si="5082">LN(F408/C408)</f>
        <v>4.2411651679785434E-4</v>
      </c>
      <c r="AK408" s="93">
        <f t="shared" ref="AK408" si="5083">+LN(G408/C408)</f>
        <v>3.5238935472369282E-3</v>
      </c>
      <c r="AL408" s="93">
        <f t="shared" ref="AL408" si="5084">LN(H408/I408)</f>
        <v>5.4937540944180289E-3</v>
      </c>
      <c r="AM408" s="93">
        <f t="shared" ref="AM408" si="5085">LN(O408/P408)</f>
        <v>5.2602148537508938E-3</v>
      </c>
      <c r="AN408" s="93">
        <f t="shared" ref="AN408" si="5086">LN(L408/G408)</f>
        <v>1.182410461983209E-5</v>
      </c>
      <c r="AO408" s="40">
        <f t="shared" ref="AO408" si="5087">(C408-I408)/(H408-I408)</f>
        <v>0.29773462783171484</v>
      </c>
      <c r="AP408" s="40">
        <f t="shared" ref="AP408" si="5088">(N407-I408)/(H408-I408)</f>
        <v>0.19579288025890595</v>
      </c>
      <c r="AQ408" s="93">
        <f t="shared" ref="AQ408" si="5089">LN(M408/L408)</f>
        <v>6.3533999474645736E-4</v>
      </c>
      <c r="AR408" s="93">
        <f t="shared" ref="AR408" si="5090">LN(N408/L408)</f>
        <v>8.1847935840593611E-4</v>
      </c>
      <c r="AS408" s="93">
        <f t="shared" ref="AS408" si="5091">LN(N408/C408)</f>
        <v>4.354197010262675E-3</v>
      </c>
      <c r="AT408" s="28">
        <f t="shared" ref="AT408" si="5092">+(G408-I408)/(H408-I408)</f>
        <v>0.93959007551241136</v>
      </c>
      <c r="AU408" s="28">
        <f t="shared" ref="AU408" si="5093">+(N408-P408)/(O408-P408)</f>
        <v>0.60168539325842285</v>
      </c>
      <c r="AV408" s="40">
        <f t="shared" ref="AV408" si="5094">+(N408-V408)/(U408-V408)</f>
        <v>0.74048316251829782</v>
      </c>
      <c r="AW408" s="93">
        <f t="shared" ref="AW408" si="5095">LN(N408/C408)</f>
        <v>4.354197010262675E-3</v>
      </c>
      <c r="AX408" s="28">
        <f t="shared" ref="AX408" si="5096">(N408-L408)/(U408-V408)</f>
        <v>0.10139092240117004</v>
      </c>
      <c r="AY408" s="93">
        <f t="shared" ref="AY408" si="5097">LN(G408/I408)</f>
        <v>5.1627320015820953E-3</v>
      </c>
      <c r="AZ408" s="93">
        <f t="shared" ref="AZ408" si="5098">LN(N408/P408)</f>
        <v>3.1683089376930034E-3</v>
      </c>
      <c r="BA408" s="93">
        <f t="shared" ref="BA408" si="5099">AV407</f>
        <v>0.689165701042873</v>
      </c>
      <c r="BB408" s="93">
        <f t="shared" ref="BB408" si="5100">AR407</f>
        <v>-2.9637466827778622E-3</v>
      </c>
      <c r="BC408" s="93">
        <f t="shared" ref="BC408" si="5101">AS407</f>
        <v>6.3631232213649837E-3</v>
      </c>
      <c r="BD408" s="39">
        <f t="shared" ref="BD408:BD409" si="5102">IF(AR407&lt;0,1,0)</f>
        <v>1</v>
      </c>
    </row>
    <row r="409" spans="1:57" x14ac:dyDescent="0.15">
      <c r="A409" s="90">
        <v>43105</v>
      </c>
      <c r="B409" s="41">
        <f t="shared" si="5028"/>
        <v>5</v>
      </c>
      <c r="C409" s="39">
        <v>3386.46</v>
      </c>
      <c r="D409" s="39">
        <v>3383.93</v>
      </c>
      <c r="E409" s="39">
        <v>3381.55</v>
      </c>
      <c r="F409" s="39">
        <v>3388.53</v>
      </c>
      <c r="G409" s="39">
        <v>3393.66</v>
      </c>
      <c r="H409" s="39">
        <v>3393.66</v>
      </c>
      <c r="I409" s="39">
        <v>3380.25</v>
      </c>
      <c r="J409" s="39">
        <v>1129</v>
      </c>
      <c r="K409" s="39">
        <v>1016</v>
      </c>
      <c r="L409" s="39">
        <v>3393.8</v>
      </c>
      <c r="M409" s="39">
        <v>3394.3</v>
      </c>
      <c r="N409" s="39">
        <v>3391.75</v>
      </c>
      <c r="O409" s="39">
        <v>3401.85</v>
      </c>
      <c r="P409" s="39">
        <v>3387.93</v>
      </c>
      <c r="Q409" s="39">
        <v>1432</v>
      </c>
      <c r="R409" s="39">
        <v>1353</v>
      </c>
      <c r="S409" s="92">
        <f t="shared" si="176"/>
        <v>3302.2460000000001</v>
      </c>
      <c r="T409" s="92" t="str">
        <f t="shared" ref="T409" si="5103">IF(AVERAGE(N408)&lt;S408,"熊",IF(AVERAGE(N408)&gt;S408,"牛",""))</f>
        <v>牛</v>
      </c>
      <c r="U409" s="92">
        <f t="shared" ref="U409" si="5104">MAX(H409,O409)</f>
        <v>3401.85</v>
      </c>
      <c r="V409" s="92">
        <f t="shared" ref="V409" si="5105">MIN(I409,P409)</f>
        <v>3380.25</v>
      </c>
      <c r="W409" s="40">
        <f t="shared" ref="W409" si="5106">LN(U409/V409)</f>
        <v>6.3697300341132978E-3</v>
      </c>
      <c r="X409" s="92">
        <f t="shared" ref="X409" si="5107">IF(U409=H409,J409,Q409)</f>
        <v>1432</v>
      </c>
      <c r="Y409" s="92">
        <f t="shared" ref="Y409" si="5108">IF(V409=I409,K409,R409)</f>
        <v>1016</v>
      </c>
      <c r="Z409" s="93">
        <f t="shared" ref="Z409" si="5109">(U409-V409)/(C409)</f>
        <v>6.3783419854360921E-3</v>
      </c>
      <c r="AA409" s="93">
        <f t="shared" ref="AA409" si="5110">LN(C409/N408)</f>
        <v>2.2149473597572151E-4</v>
      </c>
      <c r="AB409" s="93">
        <f t="shared" ref="AB409" si="5111">LN(N409/U409)</f>
        <v>-2.9733889075626492E-3</v>
      </c>
      <c r="AC409" s="93">
        <f t="shared" ref="AC409" si="5112">LN(N409/V409)</f>
        <v>3.3963411265505992E-3</v>
      </c>
      <c r="AD409" s="93">
        <f t="shared" ref="AD409" si="5113">LN(U409/C409)</f>
        <v>4.5342732926817045E-3</v>
      </c>
      <c r="AE409" s="93">
        <f t="shared" ref="AE409" si="5114">LN(V409/C409)</f>
        <v>-1.8354567414316577E-3</v>
      </c>
      <c r="AF409" s="93">
        <f t="shared" ref="AF409" si="5115">LN(N409/C409)</f>
        <v>1.5608843851190293E-3</v>
      </c>
      <c r="AG409" s="93">
        <f t="shared" ref="AG409" si="5116">LN(N409/N408)</f>
        <v>1.7823791210946956E-3</v>
      </c>
      <c r="AH409" s="93">
        <f t="shared" ref="AH409" si="5117">LN(D409/C409)</f>
        <v>-7.4737204733091593E-4</v>
      </c>
      <c r="AI409" s="93">
        <f t="shared" ref="AI409" si="5118">LN(E409/C409)</f>
        <v>-1.4509437371969126E-3</v>
      </c>
      <c r="AJ409" s="93">
        <f t="shared" ref="AJ409" si="5119">LN(F409/C409)</f>
        <v>6.1107103166591569E-4</v>
      </c>
      <c r="AK409" s="93">
        <f t="shared" ref="AK409" si="5120">+LN(G409/C409)</f>
        <v>2.1238570132862075E-3</v>
      </c>
      <c r="AL409" s="93">
        <f t="shared" ref="AL409" si="5121">LN(H409/I409)</f>
        <v>3.9593137547178064E-3</v>
      </c>
      <c r="AM409" s="93">
        <f t="shared" ref="AM409" si="5122">LN(O409/P409)</f>
        <v>4.1002858715050864E-3</v>
      </c>
      <c r="AN409" s="93">
        <f t="shared" ref="AN409" si="5123">LN(L409/G409)</f>
        <v>4.1252545140613339E-5</v>
      </c>
      <c r="AO409" s="40">
        <f t="shared" ref="AO409" si="5124">(C409-I409)/(H409-I409)</f>
        <v>0.46308724832215536</v>
      </c>
      <c r="AP409" s="40">
        <f t="shared" ref="AP409" si="5125">(N408-I409)/(H409-I409)</f>
        <v>0.40715883668904518</v>
      </c>
      <c r="AQ409" s="93">
        <f t="shared" ref="AQ409" si="5126">LN(M409/L409)</f>
        <v>1.473166278941019E-4</v>
      </c>
      <c r="AR409" s="93">
        <f t="shared" ref="AR409" si="5127">LN(N409/L409)</f>
        <v>-6.0422517330776789E-4</v>
      </c>
      <c r="AS409" s="93">
        <f t="shared" ref="AS409" si="5128">LN(N409/C409)</f>
        <v>1.5608843851190293E-3</v>
      </c>
      <c r="AT409" s="28">
        <f t="shared" ref="AT409" si="5129">+(G409-I409)/(H409-I409)</f>
        <v>1</v>
      </c>
      <c r="AU409" s="28">
        <f t="shared" ref="AU409" si="5130">+(N409-P409)/(O409-P409)</f>
        <v>0.27442528735633215</v>
      </c>
      <c r="AV409" s="40">
        <f t="shared" ref="AV409" si="5131">+(N409-V409)/(U409-V409)</f>
        <v>0.53240740740740966</v>
      </c>
      <c r="AW409" s="93">
        <f t="shared" ref="AW409" si="5132">LN(N409/C409)</f>
        <v>1.5608843851190293E-3</v>
      </c>
      <c r="AX409" s="28">
        <f t="shared" ref="AX409" si="5133">(N409-L409)/(U409-V409)</f>
        <v>-9.4907407407416225E-2</v>
      </c>
      <c r="AY409" s="93">
        <f t="shared" ref="AY409" si="5134">LN(G409/I409)</f>
        <v>3.9593137547178064E-3</v>
      </c>
      <c r="AZ409" s="93">
        <f t="shared" ref="AZ409" si="5135">LN(N409/P409)</f>
        <v>1.1268969639425413E-3</v>
      </c>
      <c r="BA409" s="93">
        <f t="shared" ref="BA409" si="5136">AV408</f>
        <v>0.74048316251829782</v>
      </c>
      <c r="BB409" s="93">
        <f t="shared" ref="BB409" si="5137">AR408</f>
        <v>8.1847935840593611E-4</v>
      </c>
      <c r="BC409" s="93">
        <f t="shared" ref="BC409" si="5138">AS408</f>
        <v>4.354197010262675E-3</v>
      </c>
      <c r="BD409" s="39">
        <f t="shared" si="5102"/>
        <v>0</v>
      </c>
    </row>
    <row r="410" spans="1:57" x14ac:dyDescent="0.15">
      <c r="A410" s="90">
        <v>43108</v>
      </c>
      <c r="B410" s="41">
        <f t="shared" si="5028"/>
        <v>1</v>
      </c>
      <c r="C410" s="39">
        <v>3391.55</v>
      </c>
      <c r="D410" s="39">
        <v>3388.52</v>
      </c>
      <c r="E410" s="39">
        <v>3392.18</v>
      </c>
      <c r="F410" s="39">
        <v>3391.85</v>
      </c>
      <c r="G410" s="39">
        <v>3403.46</v>
      </c>
      <c r="H410" s="39">
        <v>3408.06</v>
      </c>
      <c r="I410" s="39">
        <v>3384.56</v>
      </c>
      <c r="J410" s="39">
        <v>1107</v>
      </c>
      <c r="K410" s="39">
        <v>951</v>
      </c>
      <c r="L410" s="39">
        <v>3403.26</v>
      </c>
      <c r="M410" s="39">
        <v>3407.09</v>
      </c>
      <c r="N410" s="39">
        <v>3409.48</v>
      </c>
      <c r="O410" s="39">
        <v>3412.73</v>
      </c>
      <c r="P410" s="39">
        <v>3399.53</v>
      </c>
      <c r="Q410" s="39">
        <v>1346</v>
      </c>
      <c r="R410" s="39">
        <v>1443</v>
      </c>
      <c r="S410" s="92">
        <f t="shared" si="176"/>
        <v>3308.2309999999998</v>
      </c>
      <c r="T410" s="92" t="str">
        <f t="shared" ref="T410" si="5139">IF(AVERAGE(N409)&lt;S409,"熊",IF(AVERAGE(N409)&gt;S409,"牛",""))</f>
        <v>牛</v>
      </c>
      <c r="U410" s="92">
        <f t="shared" ref="U410" si="5140">MAX(H410,O410)</f>
        <v>3412.73</v>
      </c>
      <c r="V410" s="92">
        <f t="shared" ref="V410" si="5141">MIN(I410,P410)</f>
        <v>3384.56</v>
      </c>
      <c r="W410" s="40">
        <f t="shared" ref="W410" si="5142">LN(U410/V410)</f>
        <v>8.2886448207737749E-3</v>
      </c>
      <c r="X410" s="92">
        <f t="shared" ref="X410" si="5143">IF(U410=H410,J410,Q410)</f>
        <v>1346</v>
      </c>
      <c r="Y410" s="92">
        <f t="shared" ref="Y410" si="5144">IF(V410=I410,K410,R410)</f>
        <v>951</v>
      </c>
      <c r="Z410" s="93">
        <f t="shared" ref="Z410" si="5145">(U410-V410)/(C410)</f>
        <v>8.3059368135513477E-3</v>
      </c>
      <c r="AA410" s="93">
        <f t="shared" ref="AA410" si="5146">LN(C410/N409)</f>
        <v>-5.8968348755821845E-5</v>
      </c>
      <c r="AB410" s="93">
        <f t="shared" ref="AB410" si="5147">LN(N410/U410)</f>
        <v>-9.5277050863424488E-4</v>
      </c>
      <c r="AC410" s="93">
        <f t="shared" ref="AC410" si="5148">LN(N410/V410)</f>
        <v>7.335874312139618E-3</v>
      </c>
      <c r="AD410" s="93">
        <f t="shared" ref="AD410" si="5149">LN(U410/C410)</f>
        <v>6.2255134727236946E-3</v>
      </c>
      <c r="AE410" s="93">
        <f t="shared" ref="AE410" si="5150">LN(V410/C410)</f>
        <v>-2.0631313480500603E-3</v>
      </c>
      <c r="AF410" s="93">
        <f t="shared" ref="AF410" si="5151">LN(N410/C410)</f>
        <v>5.2727429640894554E-3</v>
      </c>
      <c r="AG410" s="93">
        <f t="shared" ref="AG410" si="5152">LN(N410/N409)</f>
        <v>5.2137746153335671E-3</v>
      </c>
      <c r="AH410" s="93">
        <f t="shared" ref="AH410" si="5153">LN(D410/C410)</f>
        <v>-8.9379614125380908E-4</v>
      </c>
      <c r="AI410" s="93">
        <f t="shared" ref="AI410" si="5154">LN(E410/C410)</f>
        <v>1.8573852491499541E-4</v>
      </c>
      <c r="AJ410" s="93">
        <f t="shared" ref="AJ410" si="5155">LN(F410/C410)</f>
        <v>8.8451219210218781E-5</v>
      </c>
      <c r="AK410" s="93">
        <f t="shared" ref="AK410" si="5156">+LN(G410/C410)</f>
        <v>3.5055171946717445E-3</v>
      </c>
      <c r="AL410" s="93">
        <f t="shared" ref="AL410" si="5157">LN(H410/I410)</f>
        <v>6.9193017594198049E-3</v>
      </c>
      <c r="AM410" s="93">
        <f t="shared" ref="AM410" si="5158">LN(O410/P410)</f>
        <v>3.875370734629542E-3</v>
      </c>
      <c r="AN410" s="93">
        <f t="shared" ref="AN410" si="5159">LN(L410/G410)</f>
        <v>-5.8765455331628586E-5</v>
      </c>
      <c r="AO410" s="40">
        <f t="shared" ref="AO410" si="5160">(C410-I410)/(H410-I410)</f>
        <v>0.29744680851064836</v>
      </c>
      <c r="AP410" s="40">
        <f t="shared" ref="AP410" si="5161">(N409-I410)/(H410-I410)</f>
        <v>0.30595744680851295</v>
      </c>
      <c r="AQ410" s="93">
        <f t="shared" ref="AQ410" si="5162">LN(M410/L410)</f>
        <v>1.1247587579998875E-3</v>
      </c>
      <c r="AR410" s="93">
        <f t="shared" ref="AR410" si="5163">LN(N410/L410)</f>
        <v>1.8259912247494707E-3</v>
      </c>
      <c r="AS410" s="93">
        <f t="shared" ref="AS410" si="5164">LN(N410/C410)</f>
        <v>5.2727429640894554E-3</v>
      </c>
      <c r="AT410" s="28">
        <f t="shared" ref="AT410" si="5165">+(G410-I410)/(H410-I410)</f>
        <v>0.80425531914894</v>
      </c>
      <c r="AU410" s="28">
        <f t="shared" ref="AU410" si="5166">+(N410-P410)/(O410-P410)</f>
        <v>0.75378787878787534</v>
      </c>
      <c r="AV410" s="40">
        <f t="shared" ref="AV410" si="5167">+(N410-V410)/(U410-V410)</f>
        <v>0.88462903798367087</v>
      </c>
      <c r="AW410" s="93">
        <f t="shared" ref="AW410" si="5168">LN(N410/C410)</f>
        <v>5.2727429640894554E-3</v>
      </c>
      <c r="AX410" s="28">
        <f t="shared" ref="AX410" si="5169">(N410-L410)/(U410-V410)</f>
        <v>0.22080227192047511</v>
      </c>
      <c r="AY410" s="93">
        <f t="shared" ref="AY410" si="5170">LN(G410/I410)</f>
        <v>5.5686485427217085E-3</v>
      </c>
      <c r="AZ410" s="93">
        <f t="shared" ref="AZ410" si="5171">LN(N410/P410)</f>
        <v>2.9226002259954147E-3</v>
      </c>
      <c r="BA410" s="93">
        <f t="shared" ref="BA410" si="5172">AV409</f>
        <v>0.53240740740740966</v>
      </c>
      <c r="BB410" s="93">
        <f t="shared" ref="BB410" si="5173">AR409</f>
        <v>-6.0422517330776789E-4</v>
      </c>
      <c r="BC410" s="93">
        <f t="shared" ref="BC410" si="5174">AS409</f>
        <v>1.5608843851190293E-3</v>
      </c>
      <c r="BD410" s="39">
        <f t="shared" ref="BD410" si="5175">IF(AR409&lt;0,1,0)</f>
        <v>1</v>
      </c>
    </row>
    <row r="411" spans="1:57" x14ac:dyDescent="0.15">
      <c r="A411" s="90">
        <v>43109</v>
      </c>
      <c r="B411" s="41">
        <f t="shared" si="5028"/>
        <v>2</v>
      </c>
      <c r="C411" s="39">
        <v>3406.11</v>
      </c>
      <c r="D411" s="39">
        <v>3404.51</v>
      </c>
      <c r="E411" s="39">
        <v>3411.97</v>
      </c>
      <c r="F411" s="39">
        <v>3409.27</v>
      </c>
      <c r="G411" s="39">
        <v>3412.24</v>
      </c>
      <c r="H411" s="39">
        <v>3417.2</v>
      </c>
      <c r="I411" s="39">
        <v>3403.73</v>
      </c>
      <c r="J411" s="39">
        <v>1110</v>
      </c>
      <c r="K411" s="39">
        <v>946</v>
      </c>
      <c r="L411" s="39">
        <v>3412.09</v>
      </c>
      <c r="M411" s="39">
        <v>3410.67</v>
      </c>
      <c r="N411" s="39">
        <v>3413.9</v>
      </c>
      <c r="O411" s="39">
        <v>3416.25</v>
      </c>
      <c r="P411" s="39">
        <v>3403.98</v>
      </c>
      <c r="Q411" s="39">
        <v>1442</v>
      </c>
      <c r="R411" s="39">
        <v>1413</v>
      </c>
      <c r="S411" s="92">
        <f t="shared" si="176"/>
        <v>3314.2055</v>
      </c>
      <c r="T411" s="92" t="str">
        <f t="shared" ref="T411" si="5176">IF(AVERAGE(N410)&lt;S410,"熊",IF(AVERAGE(N410)&gt;S410,"牛",""))</f>
        <v>牛</v>
      </c>
      <c r="U411" s="92">
        <f t="shared" ref="U411" si="5177">MAX(H411,O411)</f>
        <v>3417.2</v>
      </c>
      <c r="V411" s="92">
        <f t="shared" ref="V411" si="5178">MIN(I411,P411)</f>
        <v>3403.73</v>
      </c>
      <c r="W411" s="40">
        <f t="shared" ref="W411" si="5179">LN(U411/V411)</f>
        <v>3.949613178957043E-3</v>
      </c>
      <c r="X411" s="92">
        <f t="shared" ref="X411" si="5180">IF(U411=H411,J411,Q411)</f>
        <v>1110</v>
      </c>
      <c r="Y411" s="92">
        <f t="shared" ref="Y411" si="5181">IF(V411=I411,K411,R411)</f>
        <v>946</v>
      </c>
      <c r="Z411" s="93">
        <f t="shared" ref="Z411" si="5182">(U411-V411)/(C411)</f>
        <v>3.9546579529139694E-3</v>
      </c>
      <c r="AA411" s="93">
        <f t="shared" ref="AA411" si="5183">LN(C411/N410)</f>
        <v>-9.8890933129441123E-4</v>
      </c>
      <c r="AB411" s="93">
        <f t="shared" ref="AB411" si="5184">LN(N411/U411)</f>
        <v>-9.6616950614329428E-4</v>
      </c>
      <c r="AC411" s="93">
        <f t="shared" ref="AC411" si="5185">LN(N411/V411)</f>
        <v>2.9834436728137328E-3</v>
      </c>
      <c r="AD411" s="93">
        <f t="shared" ref="AD411" si="5186">LN(U411/C411)</f>
        <v>3.2506246280062587E-3</v>
      </c>
      <c r="AE411" s="93">
        <f t="shared" ref="AE411" si="5187">LN(V411/C411)</f>
        <v>-6.9898855095067039E-4</v>
      </c>
      <c r="AF411" s="93">
        <f t="shared" ref="AF411" si="5188">LN(N411/C411)</f>
        <v>2.2844551218630742E-3</v>
      </c>
      <c r="AG411" s="93">
        <f t="shared" ref="AG411" si="5189">LN(N411/N410)</f>
        <v>1.2955457905685084E-3</v>
      </c>
      <c r="AH411" s="93">
        <f t="shared" ref="AH411" si="5190">LN(D411/C411)</f>
        <v>-4.6985444186727483E-4</v>
      </c>
      <c r="AI411" s="93">
        <f t="shared" ref="AI411" si="5191">LN(E411/C411)</f>
        <v>1.7189594263889803E-3</v>
      </c>
      <c r="AJ411" s="93">
        <f t="shared" ref="AJ411" si="5192">LN(F411/C411)</f>
        <v>9.2731446418052729E-4</v>
      </c>
      <c r="AK411" s="93">
        <f t="shared" ref="AK411" si="5193">+LN(G411/C411)</f>
        <v>1.7980894649257534E-3</v>
      </c>
      <c r="AL411" s="93">
        <f t="shared" ref="AL411" si="5194">LN(H411/I411)</f>
        <v>3.949613178957043E-3</v>
      </c>
      <c r="AM411" s="93">
        <f t="shared" ref="AM411" si="5195">LN(O411/P411)</f>
        <v>3.5981230069315243E-3</v>
      </c>
      <c r="AN411" s="93">
        <f t="shared" ref="AN411" si="5196">LN(L411/G411)</f>
        <v>-4.3960359485531274E-5</v>
      </c>
      <c r="AO411" s="40">
        <f t="shared" ref="AO411" si="5197">(C411-I411)/(H411-I411)</f>
        <v>0.17668893838159944</v>
      </c>
      <c r="AP411" s="40">
        <f t="shared" ref="AP411" si="5198">(N410-I411)/(H411-I411)</f>
        <v>0.42687453600594544</v>
      </c>
      <c r="AQ411" s="93">
        <f t="shared" ref="AQ411" si="5199">LN(M411/L411)</f>
        <v>-4.1625383877007087E-4</v>
      </c>
      <c r="AR411" s="93">
        <f t="shared" ref="AR411" si="5200">LN(N411/L411)</f>
        <v>5.303260164228002E-4</v>
      </c>
      <c r="AS411" s="93">
        <f t="shared" ref="AS411" si="5201">LN(N411/C411)</f>
        <v>2.2844551218630742E-3</v>
      </c>
      <c r="AT411" s="28">
        <f t="shared" ref="AT411" si="5202">+(G411-I411)/(H411-I411)</f>
        <v>0.63177431328878175</v>
      </c>
      <c r="AU411" s="28">
        <f t="shared" ref="AU411" si="5203">+(N411-P411)/(O411-P411)</f>
        <v>0.80847595762021907</v>
      </c>
      <c r="AV411" s="40">
        <f t="shared" ref="AV411" si="5204">+(N411-V411)/(U411-V411)</f>
        <v>0.75501113585747759</v>
      </c>
      <c r="AW411" s="93">
        <f t="shared" ref="AW411" si="5205">LN(N411/C411)</f>
        <v>2.2844551218630742E-3</v>
      </c>
      <c r="AX411" s="28">
        <f t="shared" ref="AX411" si="5206">(N411-L411)/(U411-V411)</f>
        <v>0.13437268002969358</v>
      </c>
      <c r="AY411" s="93">
        <f t="shared" ref="AY411" si="5207">LN(G411/I411)</f>
        <v>2.4970780158763591E-3</v>
      </c>
      <c r="AZ411" s="93">
        <f t="shared" ref="AZ411" si="5208">LN(N411/P411)</f>
        <v>2.909997535974092E-3</v>
      </c>
      <c r="BA411" s="93">
        <f t="shared" ref="BA411" si="5209">AV410</f>
        <v>0.88462903798367087</v>
      </c>
      <c r="BB411" s="93">
        <f t="shared" ref="BB411" si="5210">AR410</f>
        <v>1.8259912247494707E-3</v>
      </c>
      <c r="BC411" s="93">
        <f t="shared" ref="BC411" si="5211">AS410</f>
        <v>5.2727429640894554E-3</v>
      </c>
      <c r="BD411" s="39">
        <f t="shared" ref="BD411" si="5212">IF(AR410&lt;0,1,0)</f>
        <v>0</v>
      </c>
      <c r="BE411" t="s">
        <v>652</v>
      </c>
    </row>
    <row r="412" spans="1:57" x14ac:dyDescent="0.15">
      <c r="A412" s="90">
        <v>43110</v>
      </c>
      <c r="B412" s="41">
        <f t="shared" si="5028"/>
        <v>3</v>
      </c>
      <c r="C412" s="39">
        <v>3414.11</v>
      </c>
      <c r="D412" s="39">
        <v>3415.17</v>
      </c>
      <c r="E412" s="39">
        <v>3421.64</v>
      </c>
      <c r="F412" s="39">
        <v>3423.05</v>
      </c>
      <c r="G412" s="39">
        <v>3425.84</v>
      </c>
      <c r="H412" s="39">
        <v>3430.11</v>
      </c>
      <c r="I412" s="39">
        <v>3414.11</v>
      </c>
      <c r="J412" s="39">
        <v>1054</v>
      </c>
      <c r="K412" s="39">
        <v>930</v>
      </c>
      <c r="L412" s="39">
        <v>3425.85</v>
      </c>
      <c r="M412" s="39">
        <v>3416.93</v>
      </c>
      <c r="N412" s="39">
        <v>3421.83</v>
      </c>
      <c r="O412" s="39">
        <v>3426.47</v>
      </c>
      <c r="P412" s="39">
        <v>3398.84</v>
      </c>
      <c r="Q412" s="39">
        <v>1300</v>
      </c>
      <c r="R412" s="39">
        <v>1359</v>
      </c>
      <c r="S412" s="92">
        <f t="shared" si="176"/>
        <v>3318.7905000000001</v>
      </c>
      <c r="T412" s="92" t="str">
        <f t="shared" ref="T412" si="5213">IF(AVERAGE(N411)&lt;S411,"熊",IF(AVERAGE(N411)&gt;S411,"牛",""))</f>
        <v>牛</v>
      </c>
      <c r="U412" s="92">
        <f t="shared" ref="U412" si="5214">MAX(H412,O412)</f>
        <v>3430.11</v>
      </c>
      <c r="V412" s="92">
        <f t="shared" ref="V412" si="5215">MIN(I412,P412)</f>
        <v>3398.84</v>
      </c>
      <c r="W412" s="40">
        <f t="shared" ref="W412" si="5216">LN(U412/V412)</f>
        <v>9.1581336968693198E-3</v>
      </c>
      <c r="X412" s="92">
        <f t="shared" ref="X412" si="5217">IF(U412=H412,J412,Q412)</f>
        <v>1054</v>
      </c>
      <c r="Y412" s="92">
        <f t="shared" ref="Y412" si="5218">IF(V412=I412,K412,R412)</f>
        <v>1359</v>
      </c>
      <c r="Z412" s="93">
        <f t="shared" ref="Z412" si="5219">(U412-V412)/(C412)</f>
        <v>9.159048771129219E-3</v>
      </c>
      <c r="AA412" s="93">
        <f t="shared" ref="AA412" si="5220">LN(C412/N411)</f>
        <v>6.151133348256013E-5</v>
      </c>
      <c r="AB412" s="93">
        <f t="shared" ref="AB412" si="5221">LN(N412/U412)</f>
        <v>-2.4168349490371675E-3</v>
      </c>
      <c r="AC412" s="93">
        <f t="shared" ref="AC412" si="5222">LN(N412/V412)</f>
        <v>6.7412987478321067E-3</v>
      </c>
      <c r="AD412" s="93">
        <f t="shared" ref="AD412" si="5223">LN(U412/C412)</f>
        <v>4.6754865117978311E-3</v>
      </c>
      <c r="AE412" s="93">
        <f t="shared" ref="AE412" si="5224">LN(V412/C412)</f>
        <v>-4.4826471850714887E-3</v>
      </c>
      <c r="AF412" s="93">
        <f t="shared" ref="AF412" si="5225">LN(N412/C412)</f>
        <v>2.2586515627605387E-3</v>
      </c>
      <c r="AG412" s="93">
        <f t="shared" ref="AG412" si="5226">LN(N412/N411)</f>
        <v>2.3201628962431779E-3</v>
      </c>
      <c r="AH412" s="93">
        <f t="shared" ref="AH412" si="5227">LN(D412/C412)</f>
        <v>3.1042804175913892E-4</v>
      </c>
      <c r="AI412" s="93">
        <f t="shared" ref="AI412" si="5228">LN(E412/C412)</f>
        <v>2.2031241767857461E-3</v>
      </c>
      <c r="AJ412" s="93">
        <f t="shared" ref="AJ412" si="5229">LN(F412/C412)</f>
        <v>2.615122388522205E-3</v>
      </c>
      <c r="AK412" s="93">
        <f t="shared" ref="AK412" si="5230">+LN(G412/C412)</f>
        <v>3.4298529957680342E-3</v>
      </c>
      <c r="AL412" s="93">
        <f t="shared" ref="AL412" si="5231">LN(H412/I412)</f>
        <v>4.6754865117978311E-3</v>
      </c>
      <c r="AM412" s="93">
        <f t="shared" ref="AM412" si="5232">LN(O412/P412)</f>
        <v>8.096379778164969E-3</v>
      </c>
      <c r="AN412" s="93">
        <f t="shared" ref="AN412" si="5233">LN(L412/G412)</f>
        <v>2.9189878699804871E-6</v>
      </c>
      <c r="AO412" s="40">
        <f t="shared" ref="AO412" si="5234">(C412-I412)/(H412-I412)</f>
        <v>0</v>
      </c>
      <c r="AP412" s="40">
        <f t="shared" ref="AP412" si="5235">(N411-I412)/(H412-I412)</f>
        <v>-1.3125000000002274E-2</v>
      </c>
      <c r="AQ412" s="93">
        <f t="shared" ref="AQ412" si="5236">LN(M412/L412)</f>
        <v>-2.6071289892489313E-3</v>
      </c>
      <c r="AR412" s="93">
        <f t="shared" ref="AR412" si="5237">LN(N412/L412)</f>
        <v>-1.1741204208775067E-3</v>
      </c>
      <c r="AS412" s="93">
        <f t="shared" ref="AS412" si="5238">LN(N412/C412)</f>
        <v>2.2586515627605387E-3</v>
      </c>
      <c r="AT412" s="28">
        <f t="shared" ref="AT412" si="5239">+(G412-I412)/(H412-I412)</f>
        <v>0.73312500000000114</v>
      </c>
      <c r="AU412" s="28">
        <f t="shared" ref="AU412" si="5240">+(N412-P412)/(O412-P412)</f>
        <v>0.83206659428158047</v>
      </c>
      <c r="AV412" s="40">
        <f t="shared" ref="AV412" si="5241">+(N412-V412)/(U412-V412)</f>
        <v>0.73520946594179071</v>
      </c>
      <c r="AW412" s="93">
        <f t="shared" ref="AW412" si="5242">LN(N412/C412)</f>
        <v>2.2586515627605387E-3</v>
      </c>
      <c r="AX412" s="28">
        <f t="shared" ref="AX412" si="5243">(N412-L412)/(U412-V412)</f>
        <v>-0.12855772305724286</v>
      </c>
      <c r="AY412" s="93">
        <f t="shared" ref="AY412" si="5244">LN(G412/I412)</f>
        <v>3.4298529957680342E-3</v>
      </c>
      <c r="AZ412" s="93">
        <f t="shared" ref="AZ412" si="5245">LN(N412/P412)</f>
        <v>6.7412987478321067E-3</v>
      </c>
      <c r="BA412" s="93">
        <f t="shared" ref="BA412" si="5246">AV411</f>
        <v>0.75501113585747759</v>
      </c>
      <c r="BB412" s="93">
        <f t="shared" ref="BB412" si="5247">AR411</f>
        <v>5.303260164228002E-4</v>
      </c>
      <c r="BC412" s="93">
        <f t="shared" ref="BC412" si="5248">AS411</f>
        <v>2.2844551218630742E-3</v>
      </c>
      <c r="BD412" s="39">
        <f t="shared" ref="BD412" si="5249">IF(AR411&lt;0,1,0)</f>
        <v>0</v>
      </c>
    </row>
    <row r="413" spans="1:57" x14ac:dyDescent="0.15">
      <c r="A413" s="90">
        <v>43111</v>
      </c>
      <c r="B413" s="41">
        <f t="shared" si="5028"/>
        <v>4</v>
      </c>
      <c r="C413" s="39">
        <v>3415.58</v>
      </c>
      <c r="D413" s="39">
        <v>3411.52</v>
      </c>
      <c r="E413" s="39">
        <v>3409.38</v>
      </c>
      <c r="F413" s="39">
        <v>3414.15</v>
      </c>
      <c r="G413" s="39">
        <v>3416.65</v>
      </c>
      <c r="H413" s="39">
        <v>3425.96</v>
      </c>
      <c r="I413" s="39">
        <v>3405.69</v>
      </c>
      <c r="J413" s="39">
        <v>957</v>
      </c>
      <c r="K413" s="39">
        <v>1058</v>
      </c>
      <c r="L413" s="39">
        <v>3416.32</v>
      </c>
      <c r="M413" s="39">
        <v>3416.43</v>
      </c>
      <c r="N413" s="39">
        <v>3425.35</v>
      </c>
      <c r="O413" s="39">
        <v>3426.48</v>
      </c>
      <c r="P413" s="39">
        <v>3414.01</v>
      </c>
      <c r="Q413" s="39">
        <v>1408</v>
      </c>
      <c r="R413" s="39">
        <v>1324</v>
      </c>
      <c r="S413" s="92">
        <f t="shared" si="176"/>
        <v>3325.8415</v>
      </c>
      <c r="T413" s="92" t="str">
        <f t="shared" ref="T413" si="5250">IF(AVERAGE(N412)&lt;S412,"熊",IF(AVERAGE(N412)&gt;S412,"牛",""))</f>
        <v>牛</v>
      </c>
      <c r="U413" s="92">
        <f t="shared" ref="U413" si="5251">MAX(H413,O413)</f>
        <v>3426.48</v>
      </c>
      <c r="V413" s="92">
        <f t="shared" ref="V413" si="5252">MIN(I413,P413)</f>
        <v>3405.69</v>
      </c>
      <c r="W413" s="40">
        <f t="shared" ref="W413" si="5253">LN(U413/V413)</f>
        <v>6.0859329230096284E-3</v>
      </c>
      <c r="X413" s="92">
        <f t="shared" ref="X413" si="5254">IF(U413=H413,J413,Q413)</f>
        <v>1408</v>
      </c>
      <c r="Y413" s="92">
        <f t="shared" ref="Y413" si="5255">IF(V413=I413,K413,R413)</f>
        <v>1058</v>
      </c>
      <c r="Z413" s="93">
        <f t="shared" ref="Z413" si="5256">(U413-V413)/(C413)</f>
        <v>6.0868139525351375E-3</v>
      </c>
      <c r="AA413" s="93">
        <f t="shared" ref="AA413" si="5257">LN(C413/N412)</f>
        <v>-1.8281781378467863E-3</v>
      </c>
      <c r="AB413" s="93">
        <f t="shared" ref="AB413" si="5258">LN(N413/U413)</f>
        <v>-3.2983889274682741E-4</v>
      </c>
      <c r="AC413" s="93">
        <f t="shared" ref="AC413" si="5259">LN(N413/V413)</f>
        <v>5.7560940302627045E-3</v>
      </c>
      <c r="AD413" s="93">
        <f t="shared" ref="AD413" si="5260">LN(U413/C413)</f>
        <v>3.1861776193576738E-3</v>
      </c>
      <c r="AE413" s="93">
        <f t="shared" ref="AE413" si="5261">LN(V413/C413)</f>
        <v>-2.8997553036519109E-3</v>
      </c>
      <c r="AF413" s="93">
        <f t="shared" ref="AF413" si="5262">LN(N413/C413)</f>
        <v>2.8563387266108005E-3</v>
      </c>
      <c r="AG413" s="93">
        <f t="shared" ref="AG413" si="5263">LN(N413/N412)</f>
        <v>1.0281605887640015E-3</v>
      </c>
      <c r="AH413" s="93">
        <f t="shared" ref="AH413" si="5264">LN(D413/C413)</f>
        <v>-1.189377767606407E-3</v>
      </c>
      <c r="AI413" s="93">
        <f t="shared" ref="AI413" si="5265">LN(E413/C413)</f>
        <v>-1.8168609649018026E-3</v>
      </c>
      <c r="AJ413" s="93">
        <f t="shared" ref="AJ413" si="5266">LN(F413/C413)</f>
        <v>-4.1875740941346473E-4</v>
      </c>
      <c r="AK413" s="93">
        <f t="shared" ref="AK413" si="5267">+LN(G413/C413)</f>
        <v>3.1322130804961644E-4</v>
      </c>
      <c r="AL413" s="93">
        <f t="shared" ref="AL413" si="5268">LN(H413/I413)</f>
        <v>5.9341621666081455E-3</v>
      </c>
      <c r="AM413" s="93">
        <f t="shared" ref="AM413" si="5269">LN(O413/P413)</f>
        <v>3.6459416835711803E-3</v>
      </c>
      <c r="AN413" s="93">
        <f t="shared" ref="AN413" si="5270">LN(L413/G413)</f>
        <v>-9.6590501716435794E-5</v>
      </c>
      <c r="AO413" s="40">
        <f t="shared" ref="AO413" si="5271">(C413-I413)/(H413-I413)</f>
        <v>0.48791317217562319</v>
      </c>
      <c r="AP413" s="40">
        <f t="shared" ref="AP413" si="5272">(N412-I413)/(H413-I413)</f>
        <v>0.79625061667488339</v>
      </c>
      <c r="AQ413" s="93">
        <f t="shared" ref="AQ413" si="5273">LN(M413/L413)</f>
        <v>3.2197870552557135E-5</v>
      </c>
      <c r="AR413" s="93">
        <f t="shared" ref="AR413" si="5274">LN(N413/L413)</f>
        <v>2.639707920277561E-3</v>
      </c>
      <c r="AS413" s="93">
        <f t="shared" ref="AS413" si="5275">LN(N413/C413)</f>
        <v>2.8563387266108005E-3</v>
      </c>
      <c r="AT413" s="28">
        <f t="shared" ref="AT413" si="5276">+(G413-I413)/(H413-I413)</f>
        <v>0.54070054267390455</v>
      </c>
      <c r="AU413" s="28">
        <f t="shared" ref="AU413" si="5277">+(N413-P413)/(O413-P413)</f>
        <v>0.90938251804329373</v>
      </c>
      <c r="AV413" s="40">
        <f t="shared" ref="AV413" si="5278">+(N413-V413)/(U413-V413)</f>
        <v>0.9456469456469403</v>
      </c>
      <c r="AW413" s="93">
        <f t="shared" ref="AW413" si="5279">LN(N413/C413)</f>
        <v>2.8563387266108005E-3</v>
      </c>
      <c r="AX413" s="28">
        <f t="shared" ref="AX413" si="5280">(N413-L413)/(U413-V413)</f>
        <v>0.43434343434342287</v>
      </c>
      <c r="AY413" s="93">
        <f t="shared" ref="AY413" si="5281">LN(G413/I413)</f>
        <v>3.2129766117016305E-3</v>
      </c>
      <c r="AZ413" s="93">
        <f t="shared" ref="AZ413" si="5282">LN(N413/P413)</f>
        <v>3.3161027908243631E-3</v>
      </c>
      <c r="BA413" s="93">
        <f t="shared" ref="BA413" si="5283">AV412</f>
        <v>0.73520946594179071</v>
      </c>
      <c r="BB413" s="93">
        <f t="shared" ref="BB413" si="5284">AR412</f>
        <v>-1.1741204208775067E-3</v>
      </c>
      <c r="BC413" s="93">
        <f t="shared" ref="BC413" si="5285">AS412</f>
        <v>2.2586515627605387E-3</v>
      </c>
      <c r="BD413" s="39">
        <f t="shared" ref="BD413" si="5286">IF(AR412&lt;0,1,0)</f>
        <v>1</v>
      </c>
    </row>
    <row r="414" spans="1:57" x14ac:dyDescent="0.15">
      <c r="A414" s="90">
        <v>43112</v>
      </c>
      <c r="B414" s="41">
        <f t="shared" si="5028"/>
        <v>5</v>
      </c>
    </row>
  </sheetData>
  <autoFilter ref="A6:JX6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65"/>
  <sheetViews>
    <sheetView tabSelected="1" zoomScale="115" zoomScaleNormal="115" workbookViewId="0">
      <pane xSplit="1" ySplit="1" topLeftCell="B336" activePane="bottomRight" state="frozen"/>
      <selection pane="topRight" activeCell="B1" sqref="B1"/>
      <selection pane="bottomLeft" activeCell="A2" sqref="A2"/>
      <selection pane="bottomRight" activeCell="N364" sqref="N364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1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8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  <col min="14" max="14" width="63.875" bestFit="1" customWidth="1"/>
  </cols>
  <sheetData>
    <row r="1" spans="1:13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1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364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1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x14ac:dyDescent="0.1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15">
      <c r="A263" s="1">
        <v>42969</v>
      </c>
      <c r="B263" s="41">
        <f t="shared" si="14"/>
        <v>2</v>
      </c>
      <c r="C263">
        <v>6.6597</v>
      </c>
      <c r="D263" s="93">
        <f t="shared" si="15"/>
        <v>-1.6803448659956709E-3</v>
      </c>
      <c r="H263">
        <v>6.662795</v>
      </c>
      <c r="I263" s="93">
        <f t="shared" si="16"/>
        <v>-2.9388865081653058E-3</v>
      </c>
      <c r="J263">
        <v>6.6652100000000001</v>
      </c>
      <c r="K263" s="93">
        <f t="shared" si="17"/>
        <v>-2.472481801884262E-3</v>
      </c>
      <c r="L263">
        <v>6.6684400000000004</v>
      </c>
      <c r="M263" s="93">
        <f t="shared" si="18"/>
        <v>-3.9881435720517581E-4</v>
      </c>
    </row>
    <row r="264" spans="1:14" x14ac:dyDescent="0.15">
      <c r="A264" s="1">
        <v>42970</v>
      </c>
      <c r="B264" s="41">
        <f t="shared" si="14"/>
        <v>3</v>
      </c>
      <c r="C264">
        <v>6.6632999999999996</v>
      </c>
      <c r="D264" s="93">
        <f t="shared" si="15"/>
        <v>5.4041883774152988E-4</v>
      </c>
      <c r="H264">
        <v>6.6643400000000002</v>
      </c>
      <c r="I264" s="93">
        <f t="shared" si="16"/>
        <v>2.3185778592646136E-4</v>
      </c>
      <c r="J264">
        <v>6.66594</v>
      </c>
      <c r="K264" s="93">
        <f t="shared" si="17"/>
        <v>1.0951793367112746E-4</v>
      </c>
      <c r="L264">
        <v>6.6632400000000001</v>
      </c>
      <c r="M264" s="93">
        <f t="shared" si="18"/>
        <v>-7.8009677155550241E-4</v>
      </c>
    </row>
    <row r="265" spans="1:14" x14ac:dyDescent="0.15">
      <c r="A265" s="1">
        <v>42971</v>
      </c>
      <c r="B265" s="41">
        <f t="shared" si="14"/>
        <v>4</v>
      </c>
      <c r="C265">
        <v>6.6524999999999999</v>
      </c>
      <c r="D265" s="93">
        <f t="shared" si="15"/>
        <v>-1.622133460728556E-3</v>
      </c>
      <c r="H265">
        <v>6.6563800000000004</v>
      </c>
      <c r="I265" s="93">
        <f t="shared" si="16"/>
        <v>-1.1951307357956104E-3</v>
      </c>
      <c r="J265">
        <v>6.6604850000000004</v>
      </c>
      <c r="K265" s="93">
        <f t="shared" si="17"/>
        <v>-8.1867422128202247E-4</v>
      </c>
      <c r="L265">
        <v>6.6608000000000001</v>
      </c>
      <c r="M265" s="93">
        <f t="shared" si="18"/>
        <v>-3.662552840242727E-4</v>
      </c>
      <c r="N265" t="s">
        <v>420</v>
      </c>
    </row>
    <row r="266" spans="1:14" x14ac:dyDescent="0.15">
      <c r="A266" s="1">
        <v>42972</v>
      </c>
      <c r="B266" s="41">
        <f t="shared" si="14"/>
        <v>5</v>
      </c>
      <c r="C266">
        <v>6.6578999999999997</v>
      </c>
      <c r="D266" s="93">
        <f t="shared" si="15"/>
        <v>8.1139564494882971E-4</v>
      </c>
      <c r="H266">
        <v>6.6596599999999997</v>
      </c>
      <c r="I266" s="93">
        <f t="shared" si="16"/>
        <v>4.926389626848537E-4</v>
      </c>
      <c r="J266">
        <v>6.6595000000000004</v>
      </c>
      <c r="K266" s="93">
        <f t="shared" si="17"/>
        <v>-1.4789806471940723E-4</v>
      </c>
      <c r="L266">
        <v>6.6436400000000004</v>
      </c>
      <c r="M266" s="93">
        <f t="shared" si="18"/>
        <v>-2.579591401913329E-3</v>
      </c>
    </row>
    <row r="267" spans="1:14" x14ac:dyDescent="0.15">
      <c r="A267" s="90">
        <v>42975</v>
      </c>
      <c r="B267" s="41">
        <f t="shared" si="14"/>
        <v>1</v>
      </c>
      <c r="C267">
        <v>6.6353</v>
      </c>
      <c r="D267" s="93">
        <f t="shared" si="15"/>
        <v>-3.400237982483764E-3</v>
      </c>
      <c r="H267">
        <v>6.6331350000000002</v>
      </c>
      <c r="I267" s="93">
        <f t="shared" si="16"/>
        <v>-3.9908890802467321E-3</v>
      </c>
      <c r="J267">
        <v>6.6285299999999996</v>
      </c>
      <c r="K267" s="93">
        <f t="shared" si="17"/>
        <v>-4.6613465015833411E-3</v>
      </c>
      <c r="L267">
        <v>6.6186550000000004</v>
      </c>
      <c r="M267" s="93">
        <f t="shared" si="18"/>
        <v>-3.7678289554502918E-3</v>
      </c>
      <c r="N267" t="s">
        <v>424</v>
      </c>
    </row>
    <row r="268" spans="1:14" x14ac:dyDescent="0.15">
      <c r="A268" s="90">
        <v>42976</v>
      </c>
      <c r="B268" s="41">
        <f t="shared" si="14"/>
        <v>2</v>
      </c>
      <c r="C268">
        <v>6.6292999999999997</v>
      </c>
      <c r="D268" s="93">
        <f t="shared" si="15"/>
        <v>-9.0466360225082483E-4</v>
      </c>
      <c r="H268">
        <v>6.6102049999999997</v>
      </c>
      <c r="I268" s="93">
        <f t="shared" si="16"/>
        <v>-3.4628761194343501E-3</v>
      </c>
      <c r="J268">
        <v>6.5986500000000001</v>
      </c>
      <c r="K268" s="93">
        <f t="shared" si="17"/>
        <v>-4.5179775018050292E-3</v>
      </c>
      <c r="L268">
        <v>6.6080100000000002</v>
      </c>
      <c r="M268" s="93">
        <f t="shared" si="18"/>
        <v>-1.6096275664871547E-3</v>
      </c>
    </row>
    <row r="269" spans="1:14" x14ac:dyDescent="0.15">
      <c r="A269" s="90">
        <v>42977</v>
      </c>
      <c r="B269" s="41">
        <f t="shared" si="14"/>
        <v>3</v>
      </c>
      <c r="C269">
        <v>6.6101999999999999</v>
      </c>
      <c r="D269" s="93">
        <f t="shared" si="15"/>
        <v>-2.8853073379841538E-3</v>
      </c>
      <c r="H269">
        <v>6.5885899999999999</v>
      </c>
      <c r="I269" s="93">
        <f t="shared" si="16"/>
        <v>-3.2753019231059033E-3</v>
      </c>
      <c r="J269">
        <v>6.5914900000000003</v>
      </c>
      <c r="K269" s="93">
        <f t="shared" si="17"/>
        <v>-1.0856595461859869E-3</v>
      </c>
      <c r="L269">
        <v>6.5991</v>
      </c>
      <c r="M269" s="93">
        <f t="shared" si="18"/>
        <v>-1.349273437072969E-3</v>
      </c>
      <c r="N269" t="s">
        <v>426</v>
      </c>
    </row>
    <row r="270" spans="1:14" x14ac:dyDescent="0.15">
      <c r="A270" s="90">
        <v>42978</v>
      </c>
      <c r="B270" s="41">
        <f t="shared" si="14"/>
        <v>4</v>
      </c>
      <c r="C270">
        <v>6.601</v>
      </c>
      <c r="D270" s="93">
        <f t="shared" si="15"/>
        <v>-1.3927578853034689E-3</v>
      </c>
      <c r="H270">
        <v>6.6054950000000003</v>
      </c>
      <c r="I270" s="93">
        <f t="shared" si="16"/>
        <v>2.5625133157047104E-3</v>
      </c>
      <c r="J270">
        <v>6.6020050000000001</v>
      </c>
      <c r="K270" s="93">
        <f t="shared" si="17"/>
        <v>1.593967667599357E-3</v>
      </c>
      <c r="L270">
        <v>6.5965150000000001</v>
      </c>
      <c r="M270" s="93">
        <f t="shared" si="18"/>
        <v>-3.9179682539495532E-4</v>
      </c>
      <c r="N270" t="s">
        <v>431</v>
      </c>
    </row>
    <row r="271" spans="1:14" x14ac:dyDescent="0.15">
      <c r="A271" s="90">
        <v>42979</v>
      </c>
      <c r="B271" s="41">
        <f t="shared" si="14"/>
        <v>5</v>
      </c>
      <c r="C271">
        <v>6.5909000000000004</v>
      </c>
      <c r="D271" s="93">
        <f t="shared" si="15"/>
        <v>-1.5312429556712281E-3</v>
      </c>
      <c r="H271">
        <v>6.5837700000000003</v>
      </c>
      <c r="I271" s="93">
        <f t="shared" si="16"/>
        <v>-3.2943487977483343E-3</v>
      </c>
      <c r="J271">
        <v>6.5751049999999998</v>
      </c>
      <c r="K271" s="93">
        <f t="shared" si="17"/>
        <v>-4.0828432589084035E-3</v>
      </c>
      <c r="L271">
        <v>6.5598099999999997</v>
      </c>
      <c r="M271" s="93">
        <f t="shared" si="18"/>
        <v>-5.5798401503396079E-3</v>
      </c>
      <c r="N271" t="s">
        <v>432</v>
      </c>
    </row>
    <row r="272" spans="1:14" x14ac:dyDescent="0.15">
      <c r="A272" s="90">
        <v>42982</v>
      </c>
      <c r="B272" s="41">
        <f t="shared" si="14"/>
        <v>1</v>
      </c>
      <c r="C272">
        <v>6.5667999999999997</v>
      </c>
      <c r="D272" s="93">
        <f t="shared" si="15"/>
        <v>-3.6632583127365072E-3</v>
      </c>
      <c r="H272">
        <v>6.5494199999999996</v>
      </c>
      <c r="I272" s="93">
        <f t="shared" si="16"/>
        <v>-5.2310334851758825E-3</v>
      </c>
      <c r="J272">
        <v>6.5284000000000004</v>
      </c>
      <c r="K272" s="93">
        <f t="shared" si="17"/>
        <v>-7.128657223661081E-3</v>
      </c>
      <c r="L272">
        <v>6.5289700000000002</v>
      </c>
      <c r="M272" s="93">
        <f t="shared" si="18"/>
        <v>-4.7124418123377981E-3</v>
      </c>
    </row>
    <row r="273" spans="1:14" x14ac:dyDescent="0.15">
      <c r="A273" s="90">
        <v>42983</v>
      </c>
      <c r="B273" s="41">
        <f t="shared" si="14"/>
        <v>2</v>
      </c>
      <c r="C273">
        <v>6.5369999999999999</v>
      </c>
      <c r="D273" s="93">
        <f t="shared" si="15"/>
        <v>-4.5483068076335297E-3</v>
      </c>
      <c r="H273">
        <v>6.5427499999999998</v>
      </c>
      <c r="I273" s="93">
        <f t="shared" si="16"/>
        <v>-1.0189297231972274E-3</v>
      </c>
      <c r="J273">
        <v>6.5557850000000002</v>
      </c>
      <c r="K273" s="93">
        <f t="shared" si="17"/>
        <v>4.185975662610677E-3</v>
      </c>
      <c r="L273">
        <v>6.5394300000000003</v>
      </c>
      <c r="M273" s="93">
        <f t="shared" si="18"/>
        <v>1.6008083979250876E-3</v>
      </c>
    </row>
    <row r="274" spans="1:14" x14ac:dyDescent="0.15">
      <c r="A274" s="90">
        <v>42984</v>
      </c>
      <c r="B274" s="41">
        <f t="shared" si="14"/>
        <v>3</v>
      </c>
      <c r="C274">
        <v>6.5311000000000003</v>
      </c>
      <c r="D274" s="93">
        <f t="shared" si="15"/>
        <v>-9.0296223641928041E-4</v>
      </c>
      <c r="H274">
        <v>6.5413600000000001</v>
      </c>
      <c r="I274" s="93">
        <f t="shared" si="16"/>
        <v>-2.1247146427678818E-4</v>
      </c>
      <c r="J274">
        <v>6.5376950000000003</v>
      </c>
      <c r="K274" s="93">
        <f t="shared" si="17"/>
        <v>-2.7632090949465307E-3</v>
      </c>
      <c r="L274">
        <v>6.54087</v>
      </c>
      <c r="M274" s="93">
        <f t="shared" si="18"/>
        <v>2.2017843716380463E-4</v>
      </c>
    </row>
    <row r="275" spans="1:14" x14ac:dyDescent="0.15">
      <c r="A275" s="90">
        <v>42985</v>
      </c>
      <c r="B275" s="41">
        <f t="shared" si="14"/>
        <v>4</v>
      </c>
      <c r="C275">
        <v>6.5269000000000004</v>
      </c>
      <c r="D275" s="93">
        <f t="shared" si="15"/>
        <v>-6.4328383287413882E-4</v>
      </c>
      <c r="H275">
        <v>6.5339749999999999</v>
      </c>
      <c r="I275" s="93">
        <f t="shared" si="16"/>
        <v>-1.1296078892480558E-3</v>
      </c>
      <c r="J275">
        <v>6.5053450000000002</v>
      </c>
      <c r="K275" s="93">
        <f t="shared" si="17"/>
        <v>-4.9605101779079596E-3</v>
      </c>
      <c r="L275">
        <v>6.4865550000000001</v>
      </c>
      <c r="M275" s="93">
        <f t="shared" si="18"/>
        <v>-8.3386110026827821E-3</v>
      </c>
    </row>
    <row r="276" spans="1:14" x14ac:dyDescent="0.15">
      <c r="A276" s="90">
        <v>42986</v>
      </c>
      <c r="B276" s="41">
        <f t="shared" si="14"/>
        <v>5</v>
      </c>
      <c r="C276" s="92">
        <v>6.5031999999999996</v>
      </c>
      <c r="D276" s="93">
        <f t="shared" si="15"/>
        <v>-3.6377351110737201E-3</v>
      </c>
      <c r="H276">
        <v>6.4523900000000003</v>
      </c>
      <c r="I276" s="93">
        <f t="shared" si="16"/>
        <v>-1.2564882221997245E-2</v>
      </c>
      <c r="J276">
        <v>6.4684949999999999</v>
      </c>
      <c r="K276" s="93">
        <f t="shared" si="17"/>
        <v>-5.6806772853724707E-3</v>
      </c>
      <c r="L276">
        <v>6.4982049999999996</v>
      </c>
      <c r="M276" s="93">
        <f t="shared" si="18"/>
        <v>1.794411775958695E-3</v>
      </c>
    </row>
    <row r="277" spans="1:14" x14ac:dyDescent="0.15">
      <c r="A277" s="90">
        <v>42989</v>
      </c>
      <c r="B277" s="41">
        <f t="shared" si="14"/>
        <v>1</v>
      </c>
      <c r="C277">
        <v>6.4996999999999998</v>
      </c>
      <c r="D277" s="93">
        <f t="shared" si="15"/>
        <v>-5.3834145990939053E-4</v>
      </c>
      <c r="H277">
        <v>6.5189399999999997</v>
      </c>
      <c r="I277" s="93">
        <f t="shared" si="16"/>
        <v>1.0261181225051057E-2</v>
      </c>
      <c r="J277">
        <v>6.5262950000000002</v>
      </c>
      <c r="K277" s="93">
        <f t="shared" si="17"/>
        <v>8.895931550864376E-3</v>
      </c>
      <c r="L277">
        <v>6.5392049999999999</v>
      </c>
      <c r="M277" s="93">
        <f t="shared" si="18"/>
        <v>6.2896135291659865E-3</v>
      </c>
      <c r="N277" t="s">
        <v>435</v>
      </c>
    </row>
    <row r="278" spans="1:14" x14ac:dyDescent="0.15">
      <c r="A278" s="90">
        <v>42990</v>
      </c>
      <c r="B278" s="41">
        <f t="shared" si="14"/>
        <v>2</v>
      </c>
      <c r="C278">
        <v>6.5276999999999896</v>
      </c>
      <c r="D278" s="93">
        <f t="shared" si="15"/>
        <v>4.2986387331313851E-3</v>
      </c>
      <c r="H278">
        <v>6.5389699999999999</v>
      </c>
      <c r="I278" s="93">
        <f t="shared" si="16"/>
        <v>3.0678746767211886E-3</v>
      </c>
      <c r="J278">
        <v>6.5425250000000004</v>
      </c>
      <c r="K278" s="93">
        <f t="shared" si="17"/>
        <v>2.4837756344893314E-3</v>
      </c>
      <c r="L278">
        <v>6.5352399999999999</v>
      </c>
      <c r="M278" s="93">
        <f t="shared" si="18"/>
        <v>-6.0652672010963211E-4</v>
      </c>
    </row>
    <row r="279" spans="1:14" x14ac:dyDescent="0.15">
      <c r="A279" s="90">
        <v>42991</v>
      </c>
      <c r="B279" s="41">
        <f t="shared" si="14"/>
        <v>3</v>
      </c>
      <c r="C279">
        <v>6.5381999999999998</v>
      </c>
      <c r="D279" s="93">
        <f t="shared" si="15"/>
        <v>1.607237505310905E-3</v>
      </c>
      <c r="H279">
        <v>6.5280750000000003</v>
      </c>
      <c r="I279" s="93">
        <f t="shared" si="16"/>
        <v>-1.6675541447476439E-3</v>
      </c>
      <c r="J279">
        <v>6.531625</v>
      </c>
      <c r="K279" s="93">
        <f t="shared" si="17"/>
        <v>-1.667412799364843E-3</v>
      </c>
      <c r="L279">
        <v>6.5477499999999997</v>
      </c>
      <c r="M279" s="93">
        <f t="shared" si="18"/>
        <v>1.9124074562065535E-3</v>
      </c>
    </row>
    <row r="280" spans="1:14" x14ac:dyDescent="0.15">
      <c r="A280" s="90">
        <v>42992</v>
      </c>
      <c r="B280" s="41">
        <f t="shared" si="14"/>
        <v>4</v>
      </c>
      <c r="C280">
        <v>6.5465</v>
      </c>
      <c r="D280" s="93">
        <f t="shared" si="15"/>
        <v>1.2686574569126298E-3</v>
      </c>
      <c r="H280">
        <v>6.5514900000000003</v>
      </c>
      <c r="I280" s="93">
        <f t="shared" si="16"/>
        <v>3.5803981269342967E-3</v>
      </c>
      <c r="J280">
        <v>6.5562849999999999</v>
      </c>
      <c r="K280" s="93">
        <f t="shared" si="17"/>
        <v>3.7683677809852577E-3</v>
      </c>
      <c r="L280">
        <v>6.5422450000000003</v>
      </c>
      <c r="M280" s="93">
        <f t="shared" si="18"/>
        <v>-8.4110044725638721E-4</v>
      </c>
    </row>
    <row r="281" spans="1:14" x14ac:dyDescent="0.15">
      <c r="A281" s="90">
        <v>42993</v>
      </c>
      <c r="B281" s="41">
        <f t="shared" si="14"/>
        <v>5</v>
      </c>
      <c r="C281">
        <v>6.5423</v>
      </c>
      <c r="D281" s="93">
        <f t="shared" si="15"/>
        <v>-6.4177008498168559E-4</v>
      </c>
      <c r="H281">
        <v>6.5448849999999998</v>
      </c>
      <c r="I281" s="93">
        <f t="shared" si="16"/>
        <v>-1.0086761504629728E-3</v>
      </c>
      <c r="J281">
        <v>6.5447100000000002</v>
      </c>
      <c r="K281" s="93">
        <f t="shared" si="17"/>
        <v>-1.7670418180986021E-3</v>
      </c>
      <c r="L281">
        <v>6.5497649999999998</v>
      </c>
      <c r="M281" s="93">
        <f t="shared" si="18"/>
        <v>1.148792404989908E-3</v>
      </c>
    </row>
    <row r="282" spans="1:14" x14ac:dyDescent="0.15">
      <c r="A282" s="90">
        <v>42996</v>
      </c>
      <c r="B282" s="41">
        <f t="shared" si="14"/>
        <v>1</v>
      </c>
      <c r="C282">
        <v>6.5419</v>
      </c>
      <c r="D282" s="93">
        <f t="shared" si="15"/>
        <v>-6.1142446634046335E-5</v>
      </c>
      <c r="H282">
        <v>6.5494950000000003</v>
      </c>
      <c r="I282" s="93">
        <f t="shared" si="16"/>
        <v>7.0411889535260477E-4</v>
      </c>
      <c r="J282">
        <v>6.5669050000000002</v>
      </c>
      <c r="K282" s="93">
        <f t="shared" si="17"/>
        <v>3.385551085787464E-3</v>
      </c>
      <c r="L282">
        <v>6.5742399999999996</v>
      </c>
      <c r="M282" s="93">
        <f t="shared" si="18"/>
        <v>3.7298108883126618E-3</v>
      </c>
    </row>
    <row r="283" spans="1:14" x14ac:dyDescent="0.15">
      <c r="A283" s="90">
        <v>42997</v>
      </c>
      <c r="B283" s="41">
        <f t="shared" si="14"/>
        <v>2</v>
      </c>
      <c r="C283">
        <v>6.5529999999999999</v>
      </c>
      <c r="D283" s="93">
        <f t="shared" si="15"/>
        <v>1.6953169033046818E-3</v>
      </c>
      <c r="H283">
        <v>6.5921500000000002</v>
      </c>
      <c r="I283" s="93">
        <f t="shared" si="16"/>
        <v>6.4915997644313505E-3</v>
      </c>
      <c r="J283">
        <v>6.58575</v>
      </c>
      <c r="K283" s="93">
        <f t="shared" si="17"/>
        <v>2.8655830926270893E-3</v>
      </c>
      <c r="L283">
        <v>6.5839949999999998</v>
      </c>
      <c r="M283" s="93">
        <f t="shared" si="18"/>
        <v>1.4827219284605474E-3</v>
      </c>
      <c r="N283" t="s">
        <v>444</v>
      </c>
    </row>
    <row r="284" spans="1:14" x14ac:dyDescent="0.15">
      <c r="A284" s="90">
        <v>42998</v>
      </c>
      <c r="B284" s="41">
        <f t="shared" si="14"/>
        <v>3</v>
      </c>
      <c r="C284" s="92">
        <v>6.5670000000000002</v>
      </c>
      <c r="D284" s="93">
        <f t="shared" si="15"/>
        <v>2.1341471514758994E-3</v>
      </c>
      <c r="H284" s="92">
        <v>6.56494</v>
      </c>
      <c r="I284" s="93">
        <f t="shared" si="16"/>
        <v>-4.1361788651326321E-3</v>
      </c>
      <c r="J284">
        <v>6.5714750000000004</v>
      </c>
      <c r="K284" s="93">
        <f t="shared" si="17"/>
        <v>-2.1699112998629908E-3</v>
      </c>
      <c r="L284">
        <v>6.58697</v>
      </c>
      <c r="M284" s="93">
        <f t="shared" si="18"/>
        <v>4.517512650888181E-4</v>
      </c>
    </row>
    <row r="285" spans="1:14" x14ac:dyDescent="0.15">
      <c r="A285" s="90">
        <v>42999</v>
      </c>
      <c r="B285" s="41">
        <f t="shared" si="14"/>
        <v>4</v>
      </c>
      <c r="C285">
        <v>6.5866999999999898</v>
      </c>
      <c r="D285" s="93">
        <f t="shared" si="15"/>
        <v>2.9953571587144597E-3</v>
      </c>
      <c r="H285">
        <v>6.5917649999999997</v>
      </c>
      <c r="I285" s="93">
        <f t="shared" si="16"/>
        <v>4.0777743623563092E-3</v>
      </c>
      <c r="J285">
        <v>6.5894849999999998</v>
      </c>
      <c r="K285" s="93">
        <f t="shared" si="17"/>
        <v>2.7368841242649019E-3</v>
      </c>
      <c r="L285">
        <v>6.568295</v>
      </c>
      <c r="M285" s="93">
        <f t="shared" ref="M285:M290" si="19">LN(L285/L284)</f>
        <v>-2.839169343186405E-3</v>
      </c>
    </row>
    <row r="286" spans="1:14" x14ac:dyDescent="0.15">
      <c r="A286" s="90">
        <v>43000</v>
      </c>
      <c r="B286" s="41">
        <f t="shared" si="14"/>
        <v>5</v>
      </c>
      <c r="C286">
        <v>6.5861000000000001</v>
      </c>
      <c r="D286" s="93">
        <f t="shared" si="15"/>
        <v>-9.1096805600163411E-5</v>
      </c>
      <c r="H286">
        <v>6.5771050000000004</v>
      </c>
      <c r="I286" s="93">
        <f t="shared" si="16"/>
        <v>-2.2264637825375106E-3</v>
      </c>
      <c r="J286">
        <v>6.5807549999999999</v>
      </c>
      <c r="K286" s="93">
        <f t="shared" si="17"/>
        <v>-1.3257163542347899E-3</v>
      </c>
      <c r="L286">
        <v>6.5797549999999996</v>
      </c>
      <c r="M286" s="93">
        <f t="shared" si="19"/>
        <v>1.7432247218538209E-3</v>
      </c>
      <c r="N286" t="s">
        <v>447</v>
      </c>
    </row>
    <row r="287" spans="1:14" x14ac:dyDescent="0.15">
      <c r="A287" s="90">
        <v>43003</v>
      </c>
      <c r="B287" s="41">
        <f t="shared" si="14"/>
        <v>1</v>
      </c>
      <c r="C287">
        <v>6.5945</v>
      </c>
      <c r="D287" s="93">
        <f t="shared" si="15"/>
        <v>1.2746007218525056E-3</v>
      </c>
      <c r="H287">
        <v>6.5984699999999998</v>
      </c>
      <c r="I287" s="93">
        <f t="shared" si="16"/>
        <v>3.2431250592356753E-3</v>
      </c>
      <c r="J287">
        <v>6.6071</v>
      </c>
      <c r="K287" s="93">
        <f t="shared" si="17"/>
        <v>3.9953479993525684E-3</v>
      </c>
      <c r="L287">
        <v>6.6134000000000004</v>
      </c>
      <c r="M287" s="93">
        <f t="shared" si="19"/>
        <v>5.1003831815006296E-3</v>
      </c>
    </row>
    <row r="288" spans="1:14" x14ac:dyDescent="0.15">
      <c r="A288" s="90">
        <v>43004</v>
      </c>
      <c r="B288" s="41">
        <f t="shared" si="14"/>
        <v>2</v>
      </c>
      <c r="C288">
        <v>6.6075999999999997</v>
      </c>
      <c r="D288" s="93">
        <f t="shared" si="15"/>
        <v>1.9845334150460476E-3</v>
      </c>
      <c r="H288">
        <v>6.6142450000000004</v>
      </c>
      <c r="I288" s="93">
        <f t="shared" si="16"/>
        <v>2.3878525337969318E-3</v>
      </c>
      <c r="J288">
        <v>6.6229699999999996</v>
      </c>
      <c r="K288" s="93">
        <f t="shared" si="17"/>
        <v>2.3990814276522265E-3</v>
      </c>
      <c r="L288">
        <v>6.6288049999999998</v>
      </c>
      <c r="M288" s="93">
        <f t="shared" si="19"/>
        <v>2.3266528420817566E-3</v>
      </c>
      <c r="N288" t="s">
        <v>455</v>
      </c>
    </row>
    <row r="289" spans="1:14" x14ac:dyDescent="0.15">
      <c r="A289" s="90">
        <v>43005</v>
      </c>
      <c r="B289" s="41">
        <f t="shared" si="14"/>
        <v>3</v>
      </c>
      <c r="C289">
        <v>6.6191999999999904</v>
      </c>
      <c r="D289" s="93">
        <f t="shared" si="15"/>
        <v>1.75401502616001E-3</v>
      </c>
      <c r="H289">
        <v>6.6312850000000001</v>
      </c>
      <c r="I289" s="93">
        <f t="shared" si="16"/>
        <v>2.5729448954421516E-3</v>
      </c>
      <c r="J289">
        <v>6.6391049999999998</v>
      </c>
      <c r="K289" s="93">
        <f t="shared" si="17"/>
        <v>2.4332554235920439E-3</v>
      </c>
      <c r="L289">
        <v>6.6398200000000003</v>
      </c>
      <c r="M289" s="93">
        <f t="shared" si="19"/>
        <v>1.6603080621165438E-3</v>
      </c>
    </row>
    <row r="290" spans="1:14" x14ac:dyDescent="0.15">
      <c r="A290" s="90">
        <v>43006</v>
      </c>
      <c r="B290" s="41">
        <f t="shared" si="14"/>
        <v>4</v>
      </c>
      <c r="C290">
        <v>6.6284999999999998</v>
      </c>
      <c r="D290" s="93">
        <f t="shared" si="15"/>
        <v>1.4040175317587785E-3</v>
      </c>
      <c r="H290">
        <v>6.6710849999999997</v>
      </c>
      <c r="I290" s="93">
        <f t="shared" si="16"/>
        <v>5.9839139582740569E-3</v>
      </c>
      <c r="J290">
        <v>6.6678850000000001</v>
      </c>
      <c r="K290" s="93">
        <f t="shared" si="17"/>
        <v>4.3255529422931514E-3</v>
      </c>
      <c r="L290">
        <v>6.6544299999999996</v>
      </c>
      <c r="M290" s="93">
        <f t="shared" si="19"/>
        <v>2.1979436044437116E-3</v>
      </c>
    </row>
    <row r="291" spans="1:14" x14ac:dyDescent="0.15">
      <c r="A291" s="90">
        <v>43007</v>
      </c>
      <c r="B291" s="41">
        <f t="shared" ref="B291:B364" si="20">WEEKDAY(A291,2)</f>
        <v>5</v>
      </c>
      <c r="C291">
        <v>6.6368999999999998</v>
      </c>
      <c r="D291" s="93">
        <f t="shared" si="15"/>
        <v>1.2664527451463289E-3</v>
      </c>
      <c r="H291">
        <v>6.6724550000000002</v>
      </c>
      <c r="I291" s="93">
        <f t="shared" si="16"/>
        <v>2.0534281080040795E-4</v>
      </c>
      <c r="J291">
        <v>6.6478149999999996</v>
      </c>
      <c r="K291" s="93">
        <f t="shared" si="17"/>
        <v>-3.0144889413618067E-3</v>
      </c>
      <c r="L291">
        <v>6.6526050000000003</v>
      </c>
      <c r="M291" s="93">
        <f t="shared" si="18"/>
        <v>-2.7429100644001261E-4</v>
      </c>
    </row>
    <row r="292" spans="1:14" x14ac:dyDescent="0.15">
      <c r="A292" s="90">
        <v>43010</v>
      </c>
      <c r="B292" s="41">
        <f t="shared" si="20"/>
        <v>1</v>
      </c>
      <c r="C292">
        <v>6.6368999999999998</v>
      </c>
      <c r="D292" s="93">
        <f t="shared" si="15"/>
        <v>0</v>
      </c>
      <c r="H292">
        <v>6.6680349999999997</v>
      </c>
      <c r="I292" s="93">
        <f t="shared" si="16"/>
        <v>-6.6264434990543448E-4</v>
      </c>
      <c r="J292">
        <v>6.6701499999999996</v>
      </c>
      <c r="K292" s="93">
        <f t="shared" si="17"/>
        <v>3.3541191825137897E-3</v>
      </c>
      <c r="L292">
        <v>6.6730799999999997</v>
      </c>
      <c r="M292" s="93">
        <f t="shared" si="18"/>
        <v>3.073015175255208E-3</v>
      </c>
      <c r="N292" t="s">
        <v>459</v>
      </c>
    </row>
    <row r="293" spans="1:14" x14ac:dyDescent="0.15">
      <c r="A293" s="90">
        <v>43011</v>
      </c>
      <c r="B293" s="41">
        <f t="shared" si="20"/>
        <v>2</v>
      </c>
      <c r="C293">
        <v>6.6368999999999998</v>
      </c>
      <c r="D293" s="93">
        <f t="shared" si="15"/>
        <v>0</v>
      </c>
      <c r="H293">
        <v>6.6802200000000003</v>
      </c>
      <c r="I293" s="93">
        <f t="shared" si="16"/>
        <v>1.8257073129924549E-3</v>
      </c>
      <c r="J293">
        <v>6.6707999999999998</v>
      </c>
      <c r="K293" s="93">
        <f t="shared" si="17"/>
        <v>9.7444335000822924E-5</v>
      </c>
      <c r="L293">
        <v>6.6654999999999998</v>
      </c>
      <c r="M293" s="93">
        <f t="shared" si="18"/>
        <v>-1.136552888831804E-3</v>
      </c>
    </row>
    <row r="294" spans="1:14" x14ac:dyDescent="0.15">
      <c r="A294" s="90">
        <v>43012</v>
      </c>
      <c r="B294" s="41">
        <f t="shared" si="20"/>
        <v>3</v>
      </c>
      <c r="C294">
        <v>6.6368999999999998</v>
      </c>
      <c r="D294" s="93">
        <f t="shared" si="15"/>
        <v>0</v>
      </c>
      <c r="H294">
        <v>6.6427399999999999</v>
      </c>
      <c r="I294" s="93">
        <f t="shared" si="16"/>
        <v>-5.626392164067193E-3</v>
      </c>
      <c r="J294">
        <v>6.6483150000000002</v>
      </c>
      <c r="K294" s="93">
        <f t="shared" si="17"/>
        <v>-3.3763536631831502E-3</v>
      </c>
      <c r="L294">
        <v>6.6483100000000004</v>
      </c>
      <c r="M294" s="93">
        <f t="shared" si="18"/>
        <v>-2.5822825400348879E-3</v>
      </c>
    </row>
    <row r="295" spans="1:14" x14ac:dyDescent="0.15">
      <c r="A295" s="90">
        <v>43013</v>
      </c>
      <c r="B295" s="41">
        <f t="shared" si="20"/>
        <v>4</v>
      </c>
      <c r="C295">
        <v>6.6368999999999998</v>
      </c>
      <c r="D295" s="93">
        <f t="shared" si="15"/>
        <v>0</v>
      </c>
      <c r="H295">
        <v>6.6511899999999997</v>
      </c>
      <c r="I295" s="93">
        <f t="shared" si="16"/>
        <v>1.2712570531060849E-3</v>
      </c>
      <c r="J295">
        <v>6.6390450000000003</v>
      </c>
      <c r="K295" s="93">
        <f t="shared" si="17"/>
        <v>-1.3953112588167087E-3</v>
      </c>
      <c r="L295">
        <v>6.6537600000000001</v>
      </c>
      <c r="M295" s="93">
        <f t="shared" si="18"/>
        <v>8.1942138403274102E-4</v>
      </c>
    </row>
    <row r="296" spans="1:14" x14ac:dyDescent="0.15">
      <c r="A296" s="90">
        <v>43014</v>
      </c>
      <c r="B296" s="41">
        <f t="shared" si="20"/>
        <v>5</v>
      </c>
      <c r="C296">
        <v>6.6368999999999998</v>
      </c>
      <c r="D296" s="93">
        <f t="shared" si="15"/>
        <v>0</v>
      </c>
      <c r="H296">
        <v>6.65618</v>
      </c>
      <c r="I296" s="93">
        <f t="shared" si="16"/>
        <v>7.4996039546236764E-4</v>
      </c>
      <c r="J296">
        <v>6.6538300000000001</v>
      </c>
      <c r="K296" s="93">
        <f t="shared" si="17"/>
        <v>2.2245008843979263E-3</v>
      </c>
      <c r="L296">
        <v>6.6513499999999999</v>
      </c>
      <c r="M296" s="93">
        <f t="shared" si="18"/>
        <v>-3.6226683227072123E-4</v>
      </c>
      <c r="N296" t="s">
        <v>470</v>
      </c>
    </row>
    <row r="297" spans="1:14" x14ac:dyDescent="0.15">
      <c r="A297" s="90">
        <v>43017</v>
      </c>
      <c r="B297" s="41">
        <f t="shared" si="20"/>
        <v>1</v>
      </c>
      <c r="C297">
        <v>6.6492999999999904</v>
      </c>
      <c r="D297" s="93">
        <f t="shared" si="15"/>
        <v>1.8665989673979496E-3</v>
      </c>
      <c r="H297">
        <v>6.6261749999999999</v>
      </c>
      <c r="I297" s="93">
        <f t="shared" si="16"/>
        <v>-4.5180317857813658E-3</v>
      </c>
      <c r="J297">
        <v>6.6259249999999996</v>
      </c>
      <c r="K297" s="93">
        <f t="shared" si="17"/>
        <v>-4.2026439602237094E-3</v>
      </c>
      <c r="L297">
        <v>6.61557</v>
      </c>
      <c r="M297" s="93">
        <f t="shared" si="18"/>
        <v>-5.3938799281809668E-3</v>
      </c>
      <c r="N297" t="s">
        <v>479</v>
      </c>
    </row>
    <row r="298" spans="1:14" x14ac:dyDescent="0.15">
      <c r="A298" s="90">
        <v>43018</v>
      </c>
      <c r="B298" s="41">
        <f t="shared" si="20"/>
        <v>2</v>
      </c>
      <c r="C298">
        <v>6.6273</v>
      </c>
      <c r="D298" s="93">
        <f t="shared" si="15"/>
        <v>-3.3141045351996828E-3</v>
      </c>
      <c r="H298">
        <v>6.5837250000000003</v>
      </c>
      <c r="I298" s="93">
        <f t="shared" si="16"/>
        <v>-6.4270200564652295E-3</v>
      </c>
      <c r="J298">
        <v>6.5759499999999997</v>
      </c>
      <c r="K298" s="93">
        <f t="shared" si="17"/>
        <v>-7.5709304488147753E-3</v>
      </c>
      <c r="L298">
        <v>6.5666200000000003</v>
      </c>
      <c r="M298" s="93">
        <f t="shared" si="18"/>
        <v>-7.4267212035443878E-3</v>
      </c>
      <c r="N298" t="s">
        <v>493</v>
      </c>
    </row>
    <row r="299" spans="1:14" x14ac:dyDescent="0.15">
      <c r="A299" s="90">
        <v>43019</v>
      </c>
      <c r="B299" s="41">
        <f t="shared" si="20"/>
        <v>3</v>
      </c>
      <c r="C299">
        <v>6.5840999999999896</v>
      </c>
      <c r="D299" s="93">
        <f t="shared" si="15"/>
        <v>-6.5398298393279245E-3</v>
      </c>
      <c r="H299">
        <v>6.5751799999999996</v>
      </c>
      <c r="I299" s="93">
        <f t="shared" si="16"/>
        <v>-1.2987404652729008E-3</v>
      </c>
      <c r="J299">
        <v>6.5864950000000002</v>
      </c>
      <c r="K299" s="93">
        <f t="shared" si="17"/>
        <v>1.6022862402895503E-3</v>
      </c>
      <c r="L299">
        <v>6.5739049999999999</v>
      </c>
      <c r="M299" s="93">
        <f t="shared" si="18"/>
        <v>1.1087838189644341E-3</v>
      </c>
      <c r="N299" t="s">
        <v>492</v>
      </c>
    </row>
    <row r="300" spans="1:14" x14ac:dyDescent="0.15">
      <c r="A300" s="90">
        <v>43020</v>
      </c>
      <c r="B300" s="41">
        <f t="shared" si="20"/>
        <v>4</v>
      </c>
      <c r="C300">
        <v>6.5808</v>
      </c>
      <c r="D300" s="93">
        <f t="shared" si="15"/>
        <v>-5.0133310076142727E-4</v>
      </c>
      <c r="H300">
        <v>6.5769849999999996</v>
      </c>
      <c r="I300" s="93">
        <f t="shared" si="16"/>
        <v>2.7447952657709546E-4</v>
      </c>
      <c r="J300">
        <v>6.5829700000000004</v>
      </c>
      <c r="K300" s="93">
        <f t="shared" si="17"/>
        <v>-5.3532927634972844E-4</v>
      </c>
      <c r="L300">
        <v>6.5783699999999996</v>
      </c>
      <c r="M300" s="93">
        <f t="shared" si="18"/>
        <v>6.7897001416569996E-4</v>
      </c>
      <c r="N300" t="s">
        <v>491</v>
      </c>
    </row>
    <row r="301" spans="1:14" x14ac:dyDescent="0.15">
      <c r="A301" s="90">
        <v>43021</v>
      </c>
      <c r="B301" s="41">
        <f t="shared" si="20"/>
        <v>5</v>
      </c>
      <c r="C301">
        <v>6.5865999999999998</v>
      </c>
      <c r="D301" s="93">
        <f t="shared" si="15"/>
        <v>8.8096364887735464E-4</v>
      </c>
      <c r="H301">
        <v>6.5703849999999999</v>
      </c>
      <c r="I301" s="93">
        <f t="shared" si="16"/>
        <v>-1.0040031663233505E-3</v>
      </c>
      <c r="J301">
        <v>6.5779949999999996</v>
      </c>
      <c r="K301" s="93">
        <f t="shared" si="17"/>
        <v>-7.5602362546588545E-4</v>
      </c>
      <c r="L301">
        <v>6.5677599999999998</v>
      </c>
      <c r="M301" s="93">
        <f t="shared" si="18"/>
        <v>-1.6141636061285779E-3</v>
      </c>
      <c r="N301" t="s">
        <v>494</v>
      </c>
    </row>
    <row r="302" spans="1:14" x14ac:dyDescent="0.15">
      <c r="A302" s="90">
        <v>43024</v>
      </c>
      <c r="B302" s="41">
        <f t="shared" si="20"/>
        <v>1</v>
      </c>
      <c r="C302">
        <v>6.5838999999999999</v>
      </c>
      <c r="D302" s="93">
        <f t="shared" si="15"/>
        <v>-4.1000721883359046E-4</v>
      </c>
      <c r="H302">
        <v>6.5734599999999999</v>
      </c>
      <c r="I302" s="93">
        <f t="shared" si="16"/>
        <v>4.6789962238610395E-4</v>
      </c>
      <c r="J302">
        <v>6.5820499999999997</v>
      </c>
      <c r="K302" s="93">
        <f t="shared" si="17"/>
        <v>6.1625931041007294E-4</v>
      </c>
      <c r="L302">
        <v>6.583145</v>
      </c>
      <c r="M302" s="93">
        <f t="shared" si="18"/>
        <v>2.3397639962814331E-3</v>
      </c>
    </row>
    <row r="303" spans="1:14" x14ac:dyDescent="0.15">
      <c r="A303" s="90">
        <v>43025</v>
      </c>
      <c r="B303" s="41">
        <f t="shared" si="20"/>
        <v>2</v>
      </c>
      <c r="C303">
        <v>6.5883000000000003</v>
      </c>
      <c r="D303" s="93">
        <f t="shared" si="15"/>
        <v>6.6807369515373193E-4</v>
      </c>
      <c r="H303">
        <v>6.6043000000000003</v>
      </c>
      <c r="I303" s="93">
        <f t="shared" si="16"/>
        <v>4.6806219424408973E-3</v>
      </c>
      <c r="J303">
        <v>6.6109749999999998</v>
      </c>
      <c r="K303" s="93">
        <f t="shared" si="17"/>
        <v>4.3848998005992937E-3</v>
      </c>
      <c r="L303">
        <v>6.6064550000000004</v>
      </c>
      <c r="M303" s="93">
        <f t="shared" si="18"/>
        <v>3.5346067005080804E-3</v>
      </c>
      <c r="N303" t="s">
        <v>501</v>
      </c>
    </row>
    <row r="304" spans="1:14" x14ac:dyDescent="0.15">
      <c r="A304" s="90">
        <v>43026</v>
      </c>
      <c r="B304" s="41">
        <f t="shared" si="20"/>
        <v>3</v>
      </c>
      <c r="C304">
        <v>6.5991</v>
      </c>
      <c r="D304" s="93">
        <f t="shared" si="15"/>
        <v>1.6379274784301349E-3</v>
      </c>
      <c r="H304">
        <v>6.6116799999999998</v>
      </c>
      <c r="I304" s="93">
        <f t="shared" si="16"/>
        <v>1.1168298933706537E-3</v>
      </c>
      <c r="J304">
        <v>6.6202249999999996</v>
      </c>
      <c r="K304" s="93">
        <f t="shared" si="17"/>
        <v>1.3982105186186205E-3</v>
      </c>
      <c r="L304">
        <v>6.6202699999999997</v>
      </c>
      <c r="M304" s="93">
        <f t="shared" si="18"/>
        <v>2.0889532403127152E-3</v>
      </c>
      <c r="N304" t="s">
        <v>502</v>
      </c>
    </row>
    <row r="305" spans="1:14" x14ac:dyDescent="0.15">
      <c r="A305" s="90">
        <v>43027</v>
      </c>
      <c r="B305" s="41">
        <f t="shared" si="20"/>
        <v>4</v>
      </c>
      <c r="C305">
        <v>6.6093000000000002</v>
      </c>
      <c r="D305" s="93">
        <f t="shared" si="15"/>
        <v>1.5444720068418288E-3</v>
      </c>
      <c r="H305">
        <v>6.6289100000000003</v>
      </c>
      <c r="I305" s="93">
        <f t="shared" si="16"/>
        <v>2.6026045252800219E-3</v>
      </c>
      <c r="J305">
        <v>6.6236449999999998</v>
      </c>
      <c r="K305" s="93">
        <f t="shared" si="17"/>
        <v>5.1646536488512127E-4</v>
      </c>
      <c r="L305">
        <v>6.6057949999999996</v>
      </c>
      <c r="M305" s="93">
        <f t="shared" si="18"/>
        <v>-2.1888605234099078E-3</v>
      </c>
      <c r="N305" t="s">
        <v>509</v>
      </c>
    </row>
    <row r="306" spans="1:14" x14ac:dyDescent="0.15">
      <c r="A306" s="90">
        <v>43028</v>
      </c>
      <c r="B306" s="41">
        <f t="shared" si="20"/>
        <v>5</v>
      </c>
      <c r="C306">
        <v>6.6091999999999897</v>
      </c>
      <c r="D306" s="93">
        <f t="shared" si="15"/>
        <v>-1.5130309794951198E-5</v>
      </c>
      <c r="H306">
        <v>6.6228749999999996</v>
      </c>
      <c r="I306" s="93">
        <f t="shared" si="16"/>
        <v>-9.108207561800112E-4</v>
      </c>
      <c r="J306">
        <v>6.6208450000000001</v>
      </c>
      <c r="K306" s="93">
        <f t="shared" si="17"/>
        <v>-4.228173439240105E-4</v>
      </c>
      <c r="L306">
        <v>6.6236199999999998</v>
      </c>
      <c r="M306" s="93">
        <f t="shared" si="18"/>
        <v>2.694754195351787E-3</v>
      </c>
      <c r="N306" t="s">
        <v>513</v>
      </c>
    </row>
    <row r="307" spans="1:14" x14ac:dyDescent="0.15">
      <c r="A307" s="90">
        <v>43031</v>
      </c>
      <c r="B307" s="41">
        <f t="shared" si="20"/>
        <v>1</v>
      </c>
      <c r="C307">
        <v>6.6204999999999998</v>
      </c>
      <c r="D307" s="93">
        <f t="shared" si="15"/>
        <v>1.7082780029772653E-3</v>
      </c>
      <c r="H307">
        <v>6.6304499999999997</v>
      </c>
      <c r="I307" s="93">
        <f t="shared" si="16"/>
        <v>1.1431094951423007E-3</v>
      </c>
      <c r="J307">
        <v>6.6419499999999996</v>
      </c>
      <c r="K307" s="93">
        <f t="shared" si="17"/>
        <v>3.1825897654544784E-3</v>
      </c>
      <c r="L307">
        <v>6.637575</v>
      </c>
      <c r="M307" s="93">
        <f t="shared" ref="M307:M364" si="21">LN(L307/L306)</f>
        <v>2.1046376516050971E-3</v>
      </c>
    </row>
    <row r="308" spans="1:14" x14ac:dyDescent="0.15">
      <c r="A308" s="90">
        <v>43032</v>
      </c>
      <c r="B308" s="41">
        <f t="shared" si="20"/>
        <v>2</v>
      </c>
      <c r="C308">
        <v>6.6267999999999896</v>
      </c>
      <c r="D308" s="93">
        <f t="shared" si="15"/>
        <v>9.5113728456935887E-4</v>
      </c>
      <c r="H308">
        <v>6.6323699999999999</v>
      </c>
      <c r="I308" s="93">
        <f t="shared" si="16"/>
        <v>2.8953118769806411E-4</v>
      </c>
      <c r="J308">
        <v>6.6319650000000001</v>
      </c>
      <c r="K308" s="93">
        <f t="shared" si="17"/>
        <v>-1.5044546967979838E-3</v>
      </c>
      <c r="L308">
        <v>6.6426850000000002</v>
      </c>
      <c r="M308" s="93">
        <f t="shared" si="21"/>
        <v>7.6956328448240597E-4</v>
      </c>
    </row>
    <row r="309" spans="1:14" x14ac:dyDescent="0.15">
      <c r="A309" s="90">
        <v>43033</v>
      </c>
      <c r="B309" s="41">
        <f t="shared" si="20"/>
        <v>3</v>
      </c>
      <c r="C309">
        <v>6.6322000000000001</v>
      </c>
      <c r="D309" s="93">
        <f t="shared" si="15"/>
        <v>8.1454111148271467E-4</v>
      </c>
      <c r="H309">
        <v>6.6388550000000004</v>
      </c>
      <c r="I309" s="93">
        <f t="shared" si="16"/>
        <v>9.7730247451355257E-4</v>
      </c>
      <c r="J309">
        <v>6.6445850000000002</v>
      </c>
      <c r="K309" s="93">
        <f t="shared" si="17"/>
        <v>1.9010968664150811E-3</v>
      </c>
      <c r="L309">
        <v>6.6375450000000003</v>
      </c>
      <c r="M309" s="93">
        <f t="shared" si="21"/>
        <v>-7.7408301763737068E-4</v>
      </c>
    </row>
    <row r="310" spans="1:14" x14ac:dyDescent="0.15">
      <c r="A310" s="90">
        <v>43034</v>
      </c>
      <c r="B310" s="41">
        <f t="shared" si="20"/>
        <v>4</v>
      </c>
      <c r="C310">
        <v>6.6288</v>
      </c>
      <c r="D310" s="93">
        <f t="shared" si="15"/>
        <v>-5.1278185272617127E-4</v>
      </c>
      <c r="H310">
        <v>6.6320699999999997</v>
      </c>
      <c r="I310" s="93">
        <f t="shared" si="16"/>
        <v>-1.0225361971662511E-3</v>
      </c>
      <c r="J310">
        <v>6.6360299999999999</v>
      </c>
      <c r="K310" s="93">
        <f t="shared" si="17"/>
        <v>-1.2883441291417948E-3</v>
      </c>
      <c r="L310">
        <v>6.6536900000000001</v>
      </c>
      <c r="M310" s="93">
        <f t="shared" si="21"/>
        <v>2.4294217867293338E-3</v>
      </c>
    </row>
    <row r="311" spans="1:14" x14ac:dyDescent="0.15">
      <c r="A311" s="90">
        <v>43035</v>
      </c>
      <c r="B311" s="41">
        <f t="shared" si="20"/>
        <v>5</v>
      </c>
      <c r="C311">
        <v>6.6473000000000004</v>
      </c>
      <c r="D311" s="93">
        <f t="shared" si="15"/>
        <v>2.7869648427461336E-3</v>
      </c>
      <c r="H311">
        <v>6.6532249999999999</v>
      </c>
      <c r="I311" s="93">
        <f t="shared" si="16"/>
        <v>3.1847268548201384E-3</v>
      </c>
      <c r="J311">
        <v>6.6536999999999997</v>
      </c>
      <c r="K311" s="93">
        <f t="shared" si="17"/>
        <v>2.6591978034973514E-3</v>
      </c>
      <c r="L311">
        <v>6.6473149999999999</v>
      </c>
      <c r="M311" s="93">
        <f t="shared" si="21"/>
        <v>-9.5857425632830799E-4</v>
      </c>
      <c r="N311" t="s">
        <v>551</v>
      </c>
    </row>
    <row r="312" spans="1:14" x14ac:dyDescent="0.15">
      <c r="A312" s="90">
        <v>43038</v>
      </c>
      <c r="B312" s="41">
        <f t="shared" si="20"/>
        <v>1</v>
      </c>
      <c r="C312">
        <v>6.6486999999999998</v>
      </c>
      <c r="D312" s="93">
        <f t="shared" si="15"/>
        <v>2.1058965180103254E-4</v>
      </c>
      <c r="H312">
        <v>6.6462649999999996</v>
      </c>
      <c r="I312" s="93">
        <f t="shared" si="16"/>
        <v>-1.0466567718588257E-3</v>
      </c>
      <c r="J312">
        <v>6.6465449999999997</v>
      </c>
      <c r="K312" s="93">
        <f t="shared" si="17"/>
        <v>-1.075920133835315E-3</v>
      </c>
      <c r="L312">
        <v>6.6370899999999997</v>
      </c>
      <c r="M312" s="93">
        <f t="shared" si="21"/>
        <v>-1.5393993211174791E-3</v>
      </c>
    </row>
    <row r="313" spans="1:14" x14ac:dyDescent="0.15">
      <c r="A313" s="90">
        <v>43039</v>
      </c>
      <c r="B313" s="41">
        <f t="shared" si="20"/>
        <v>2</v>
      </c>
      <c r="C313">
        <v>6.6397000000000004</v>
      </c>
      <c r="D313" s="93">
        <f t="shared" si="15"/>
        <v>-1.354565090776076E-3</v>
      </c>
      <c r="H313">
        <v>6.6261999999999999</v>
      </c>
      <c r="I313" s="93">
        <f t="shared" si="16"/>
        <v>-3.0235552003327927E-3</v>
      </c>
      <c r="J313">
        <v>6.628895</v>
      </c>
      <c r="K313" s="93">
        <f t="shared" si="17"/>
        <v>-2.659047142629154E-3</v>
      </c>
      <c r="L313">
        <v>6.6324199999999998</v>
      </c>
      <c r="M313" s="93">
        <f t="shared" si="21"/>
        <v>-7.0386927517379844E-4</v>
      </c>
    </row>
    <row r="314" spans="1:14" x14ac:dyDescent="0.15">
      <c r="A314" s="90">
        <v>43040</v>
      </c>
      <c r="B314" s="41">
        <f t="shared" si="20"/>
        <v>3</v>
      </c>
      <c r="C314">
        <v>6.63</v>
      </c>
      <c r="D314" s="93">
        <f t="shared" si="15"/>
        <v>-1.461977547000194E-3</v>
      </c>
      <c r="H314">
        <v>6.6291349999999998</v>
      </c>
      <c r="I314" s="93">
        <f t="shared" si="16"/>
        <v>4.4284056916922202E-4</v>
      </c>
      <c r="J314">
        <v>6.6165149999999997</v>
      </c>
      <c r="K314" s="93">
        <f t="shared" si="17"/>
        <v>-1.8693273526513145E-3</v>
      </c>
      <c r="L314">
        <v>6.60886</v>
      </c>
      <c r="M314" s="93">
        <f t="shared" si="21"/>
        <v>-3.5585721112368655E-3</v>
      </c>
    </row>
    <row r="315" spans="1:14" x14ac:dyDescent="0.15">
      <c r="A315" s="90">
        <v>43041</v>
      </c>
      <c r="B315" s="41">
        <f t="shared" si="20"/>
        <v>4</v>
      </c>
      <c r="C315">
        <v>6.6196000000000002</v>
      </c>
      <c r="D315" s="93">
        <f t="shared" si="15"/>
        <v>-1.5698590351200178E-3</v>
      </c>
      <c r="H315">
        <v>6.60053</v>
      </c>
      <c r="I315" s="93">
        <f t="shared" si="16"/>
        <v>-4.324379275925932E-3</v>
      </c>
      <c r="J315">
        <v>6.6126699999999996</v>
      </c>
      <c r="K315" s="93">
        <f t="shared" si="17"/>
        <v>-5.8129054938285262E-4</v>
      </c>
      <c r="L315">
        <v>6.6069599999999999</v>
      </c>
      <c r="M315" s="93">
        <f t="shared" si="21"/>
        <v>-2.8753418449866395E-4</v>
      </c>
    </row>
    <row r="316" spans="1:14" x14ac:dyDescent="0.15">
      <c r="A316" s="90">
        <v>43042</v>
      </c>
      <c r="B316" s="41">
        <f t="shared" si="20"/>
        <v>5</v>
      </c>
      <c r="C316">
        <v>6.6071999999999997</v>
      </c>
      <c r="D316" s="93">
        <f t="shared" si="15"/>
        <v>-1.8749816482810449E-3</v>
      </c>
      <c r="H316">
        <v>6.6189900000000002</v>
      </c>
      <c r="I316" s="93">
        <f t="shared" si="16"/>
        <v>2.7928414948414433E-3</v>
      </c>
      <c r="J316">
        <v>6.6257299999999999</v>
      </c>
      <c r="K316" s="93">
        <f t="shared" si="17"/>
        <v>1.9730487425664305E-3</v>
      </c>
      <c r="L316">
        <v>6.6369949999999998</v>
      </c>
      <c r="M316" s="93">
        <f t="shared" si="21"/>
        <v>4.5356619666192359E-3</v>
      </c>
      <c r="N316" t="s">
        <v>555</v>
      </c>
    </row>
    <row r="317" spans="1:14" x14ac:dyDescent="0.15">
      <c r="A317" s="90">
        <v>43045</v>
      </c>
      <c r="B317" s="41">
        <f t="shared" si="20"/>
        <v>1</v>
      </c>
      <c r="C317">
        <v>6.6246999999999998</v>
      </c>
      <c r="D317" s="93">
        <f t="shared" si="15"/>
        <v>2.6451243137408983E-3</v>
      </c>
      <c r="H317">
        <v>6.6367450000000003</v>
      </c>
      <c r="I317" s="93">
        <f t="shared" si="16"/>
        <v>2.6788421189435818E-3</v>
      </c>
      <c r="J317">
        <v>6.6326799999999997</v>
      </c>
      <c r="K317" s="93">
        <f t="shared" si="17"/>
        <v>1.0483912681198337E-3</v>
      </c>
      <c r="L317">
        <v>6.6239600000000003</v>
      </c>
      <c r="M317" s="93">
        <f t="shared" si="21"/>
        <v>-1.965922393702964E-3</v>
      </c>
    </row>
    <row r="318" spans="1:14" x14ac:dyDescent="0.15">
      <c r="A318" s="90">
        <v>43046</v>
      </c>
      <c r="B318" s="41">
        <f t="shared" si="20"/>
        <v>2</v>
      </c>
      <c r="C318">
        <v>6.6215999999999999</v>
      </c>
      <c r="D318" s="93">
        <f t="shared" si="15"/>
        <v>-4.680552390621538E-4</v>
      </c>
      <c r="H318">
        <v>6.6250600000000004</v>
      </c>
      <c r="I318" s="93">
        <f t="shared" si="16"/>
        <v>-1.76220401730336E-3</v>
      </c>
      <c r="J318">
        <v>6.6351550000000001</v>
      </c>
      <c r="K318" s="93">
        <f t="shared" si="17"/>
        <v>3.7308272656525854E-4</v>
      </c>
      <c r="L318">
        <v>6.6426949999999998</v>
      </c>
      <c r="M318" s="93">
        <f t="shared" si="21"/>
        <v>2.8243762205689867E-3</v>
      </c>
    </row>
    <row r="319" spans="1:14" x14ac:dyDescent="0.15">
      <c r="A319" s="90">
        <v>43047</v>
      </c>
      <c r="B319" s="41">
        <f t="shared" si="20"/>
        <v>3</v>
      </c>
      <c r="C319">
        <v>6.6276999999999999</v>
      </c>
      <c r="D319" s="93">
        <f t="shared" si="15"/>
        <v>9.2080342825746648E-4</v>
      </c>
      <c r="H319">
        <v>6.64398</v>
      </c>
      <c r="I319" s="93">
        <f t="shared" si="16"/>
        <v>2.8517530766706124E-3</v>
      </c>
      <c r="J319">
        <v>6.6378000000000004</v>
      </c>
      <c r="K319" s="93">
        <f t="shared" si="17"/>
        <v>3.9855481089372263E-4</v>
      </c>
      <c r="L319">
        <v>6.6318299999999999</v>
      </c>
      <c r="M319" s="93">
        <f t="shared" si="21"/>
        <v>-1.6369704266208315E-3</v>
      </c>
      <c r="N319" t="s">
        <v>567</v>
      </c>
    </row>
    <row r="320" spans="1:14" x14ac:dyDescent="0.15">
      <c r="A320" s="90">
        <v>43048</v>
      </c>
      <c r="B320" s="41">
        <f t="shared" si="20"/>
        <v>4</v>
      </c>
      <c r="C320">
        <v>6.6325000000000003</v>
      </c>
      <c r="D320" s="93">
        <f t="shared" si="15"/>
        <v>7.2397101245144256E-4</v>
      </c>
      <c r="H320">
        <v>6.6337250000000001</v>
      </c>
      <c r="I320" s="93">
        <f t="shared" si="16"/>
        <v>-1.5446949663524472E-3</v>
      </c>
      <c r="J320">
        <v>6.6430600000000002</v>
      </c>
      <c r="K320" s="93">
        <f t="shared" si="17"/>
        <v>7.9211741935872901E-4</v>
      </c>
      <c r="L320">
        <v>6.6487249999999998</v>
      </c>
      <c r="M320" s="93">
        <f t="shared" si="21"/>
        <v>2.5443227507069418E-3</v>
      </c>
    </row>
    <row r="321" spans="1:14" x14ac:dyDescent="0.15">
      <c r="A321" s="90">
        <v>43049</v>
      </c>
      <c r="B321" s="41">
        <f t="shared" si="20"/>
        <v>5</v>
      </c>
      <c r="C321">
        <v>6.6281999999999996</v>
      </c>
      <c r="D321" s="93">
        <f t="shared" si="15"/>
        <v>-6.4853290561041083E-4</v>
      </c>
      <c r="H321">
        <v>6.6444850000000004</v>
      </c>
      <c r="I321" s="93">
        <f t="shared" si="16"/>
        <v>1.620700735302189E-3</v>
      </c>
      <c r="J321">
        <v>6.6501099999999997</v>
      </c>
      <c r="K321" s="93">
        <f t="shared" si="17"/>
        <v>1.0606951781976083E-3</v>
      </c>
      <c r="L321">
        <v>6.6605749999999997</v>
      </c>
      <c r="M321" s="93">
        <f t="shared" si="21"/>
        <v>1.7807101998289407E-3</v>
      </c>
      <c r="N321" t="s">
        <v>574</v>
      </c>
    </row>
    <row r="322" spans="1:14" x14ac:dyDescent="0.15">
      <c r="A322" s="90">
        <v>43052</v>
      </c>
      <c r="B322" s="41">
        <f t="shared" si="20"/>
        <v>1</v>
      </c>
      <c r="C322">
        <v>6.6346999999999996</v>
      </c>
      <c r="D322" s="93">
        <f t="shared" si="15"/>
        <v>9.8017786764665726E-4</v>
      </c>
      <c r="H322">
        <v>6.6510049999999996</v>
      </c>
      <c r="I322" s="93">
        <f t="shared" si="16"/>
        <v>9.8078378798404069E-4</v>
      </c>
      <c r="J322">
        <v>6.6498999999999997</v>
      </c>
      <c r="K322" s="93">
        <f t="shared" si="17"/>
        <v>-3.157892362751267E-5</v>
      </c>
      <c r="L322">
        <v>6.6552899999999999</v>
      </c>
      <c r="M322" s="93">
        <f t="shared" si="21"/>
        <v>-7.9379000575743354E-4</v>
      </c>
    </row>
    <row r="323" spans="1:14" x14ac:dyDescent="0.15">
      <c r="A323" s="90">
        <v>43053</v>
      </c>
      <c r="B323" s="41">
        <f t="shared" si="20"/>
        <v>2</v>
      </c>
      <c r="C323">
        <v>6.6398999999999999</v>
      </c>
      <c r="D323" s="93">
        <f t="shared" si="15"/>
        <v>7.8345114217810447E-4</v>
      </c>
      <c r="H323">
        <v>6.6469199999999997</v>
      </c>
      <c r="I323" s="93">
        <f t="shared" si="16"/>
        <v>-6.1438158637461965E-4</v>
      </c>
      <c r="J323">
        <v>6.6474450000000003</v>
      </c>
      <c r="K323" s="93">
        <f t="shared" si="17"/>
        <v>-3.6924664704009012E-4</v>
      </c>
      <c r="L323">
        <v>6.6368499999999999</v>
      </c>
      <c r="M323" s="93">
        <f t="shared" si="21"/>
        <v>-2.7745738202664119E-3</v>
      </c>
      <c r="N323" t="s">
        <v>581</v>
      </c>
    </row>
    <row r="324" spans="1:14" x14ac:dyDescent="0.15">
      <c r="A324" s="90">
        <v>43054</v>
      </c>
      <c r="B324" s="41">
        <f t="shared" si="20"/>
        <v>3</v>
      </c>
      <c r="C324">
        <v>6.6262999999999996</v>
      </c>
      <c r="D324" s="93">
        <f t="shared" si="15"/>
        <v>-2.050324096476693E-3</v>
      </c>
      <c r="H324">
        <v>6.6401599999999998</v>
      </c>
      <c r="I324" s="93">
        <f t="shared" si="16"/>
        <v>-1.0175298987071643E-3</v>
      </c>
      <c r="J324">
        <v>6.631545</v>
      </c>
      <c r="K324" s="93">
        <f t="shared" si="17"/>
        <v>-2.3947615893557478E-3</v>
      </c>
      <c r="L324">
        <v>6.6333849999999996</v>
      </c>
      <c r="M324" s="93">
        <f t="shared" si="21"/>
        <v>-5.2222135911639842E-4</v>
      </c>
    </row>
    <row r="325" spans="1:14" x14ac:dyDescent="0.15">
      <c r="A325" s="90">
        <v>43055</v>
      </c>
      <c r="B325" s="41">
        <f t="shared" si="20"/>
        <v>4</v>
      </c>
      <c r="C325">
        <v>6.6285999999999996</v>
      </c>
      <c r="D325" s="93">
        <f t="shared" si="15"/>
        <v>3.4704147493890518E-4</v>
      </c>
      <c r="H325">
        <v>6.6387600000000004</v>
      </c>
      <c r="I325" s="93">
        <f t="shared" si="16"/>
        <v>-2.1086052257064767E-4</v>
      </c>
      <c r="J325">
        <v>6.6344250000000002</v>
      </c>
      <c r="K325" s="93">
        <f t="shared" si="17"/>
        <v>4.3419366171431033E-4</v>
      </c>
      <c r="L325">
        <v>6.6330450000000001</v>
      </c>
      <c r="M325" s="93">
        <f t="shared" si="21"/>
        <v>-5.1257195805308586E-5</v>
      </c>
      <c r="N325" t="s">
        <v>587</v>
      </c>
    </row>
    <row r="326" spans="1:14" x14ac:dyDescent="0.15">
      <c r="A326" s="90">
        <v>43056</v>
      </c>
      <c r="B326" s="41">
        <f t="shared" si="20"/>
        <v>5</v>
      </c>
      <c r="C326">
        <v>6.6276999999999999</v>
      </c>
      <c r="D326" s="93">
        <f t="shared" si="15"/>
        <v>-1.3578449512793853E-4</v>
      </c>
      <c r="H326">
        <v>6.6351449999999996</v>
      </c>
      <c r="I326" s="93">
        <f t="shared" si="16"/>
        <v>-5.4467771004441316E-4</v>
      </c>
      <c r="J326">
        <v>6.6437600000000003</v>
      </c>
      <c r="K326" s="93">
        <f t="shared" si="17"/>
        <v>1.4060658949936054E-3</v>
      </c>
      <c r="L326">
        <v>6.6367950000000002</v>
      </c>
      <c r="M326" s="93">
        <f t="shared" si="21"/>
        <v>5.6519145669049363E-4</v>
      </c>
    </row>
    <row r="327" spans="1:14" x14ac:dyDescent="0.15">
      <c r="A327" s="90">
        <v>43059</v>
      </c>
      <c r="B327" s="41">
        <f t="shared" si="20"/>
        <v>1</v>
      </c>
      <c r="C327">
        <v>6.6271000000000004</v>
      </c>
      <c r="D327" s="93">
        <f t="shared" si="15"/>
        <v>-9.0533240849981149E-5</v>
      </c>
      <c r="H327">
        <v>6.6423449999999997</v>
      </c>
      <c r="I327" s="93">
        <f t="shared" si="16"/>
        <v>1.0845424407383323E-3</v>
      </c>
      <c r="J327">
        <v>6.6376949999999999</v>
      </c>
      <c r="K327" s="93">
        <f t="shared" si="17"/>
        <v>-9.1330361343401872E-4</v>
      </c>
      <c r="L327">
        <v>6.6470450000000003</v>
      </c>
      <c r="M327" s="93">
        <f t="shared" si="21"/>
        <v>1.5432287703321546E-3</v>
      </c>
    </row>
    <row r="328" spans="1:14" x14ac:dyDescent="0.15">
      <c r="A328" s="90">
        <v>43060</v>
      </c>
      <c r="B328" s="41">
        <f t="shared" si="20"/>
        <v>2</v>
      </c>
      <c r="C328">
        <v>6.6355999999999904</v>
      </c>
      <c r="D328" s="93">
        <f t="shared" si="15"/>
        <v>1.281790459525124E-3</v>
      </c>
      <c r="H328">
        <v>6.6445249999999998</v>
      </c>
      <c r="I328" s="93">
        <f t="shared" si="16"/>
        <v>3.2814350099936296E-4</v>
      </c>
      <c r="J328">
        <v>6.6413650000000004</v>
      </c>
      <c r="K328" s="93">
        <f t="shared" si="17"/>
        <v>5.5274998282135051E-4</v>
      </c>
      <c r="L328">
        <v>6.6270100000000003</v>
      </c>
      <c r="M328" s="93">
        <f t="shared" si="21"/>
        <v>-3.018672924571422E-3</v>
      </c>
    </row>
    <row r="329" spans="1:14" x14ac:dyDescent="0.15">
      <c r="A329" s="90">
        <v>43061</v>
      </c>
      <c r="B329" s="41">
        <f t="shared" si="20"/>
        <v>3</v>
      </c>
      <c r="C329">
        <v>6.6289999999999996</v>
      </c>
      <c r="D329" s="93">
        <f t="shared" si="15"/>
        <v>-9.9512997672700589E-4</v>
      </c>
      <c r="H329">
        <v>6.6176199999999996</v>
      </c>
      <c r="I329" s="93">
        <f t="shared" si="16"/>
        <v>-4.0574186016838045E-3</v>
      </c>
      <c r="J329">
        <v>6.6112549999999999</v>
      </c>
      <c r="K329" s="93">
        <f t="shared" si="17"/>
        <v>-4.5440149660122536E-3</v>
      </c>
      <c r="L329">
        <v>6.5990250000000001</v>
      </c>
      <c r="M329" s="93">
        <f t="shared" si="21"/>
        <v>-4.231811236468699E-3</v>
      </c>
      <c r="N329" t="s">
        <v>591</v>
      </c>
    </row>
    <row r="330" spans="1:14" x14ac:dyDescent="0.15">
      <c r="A330" s="90">
        <v>43062</v>
      </c>
      <c r="B330" s="41">
        <f t="shared" si="20"/>
        <v>4</v>
      </c>
      <c r="C330">
        <v>6.6021000000000001</v>
      </c>
      <c r="D330" s="93">
        <f t="shared" si="15"/>
        <v>-4.0661830177925211E-3</v>
      </c>
      <c r="H330">
        <v>6.5913300000000001</v>
      </c>
      <c r="I330" s="93">
        <f t="shared" si="16"/>
        <v>-3.9806395988812695E-3</v>
      </c>
      <c r="J330">
        <v>6.5835999999999997</v>
      </c>
      <c r="K330" s="93">
        <f t="shared" si="17"/>
        <v>-4.1917914966233972E-3</v>
      </c>
      <c r="L330">
        <v>6.5790899999999999</v>
      </c>
      <c r="M330" s="93">
        <f t="shared" si="21"/>
        <v>-3.0254729460514572E-3</v>
      </c>
      <c r="N330" t="s">
        <v>595</v>
      </c>
    </row>
    <row r="331" spans="1:14" x14ac:dyDescent="0.15">
      <c r="A331" s="90">
        <v>43063</v>
      </c>
      <c r="B331" s="41">
        <f t="shared" si="20"/>
        <v>5</v>
      </c>
      <c r="C331">
        <v>6.5810000000000004</v>
      </c>
      <c r="D331" s="93">
        <f t="shared" si="15"/>
        <v>-3.2010707674798014E-3</v>
      </c>
      <c r="H331">
        <v>6.5871199999999996</v>
      </c>
      <c r="I331" s="93">
        <f t="shared" si="16"/>
        <v>-6.3892189798012708E-4</v>
      </c>
      <c r="J331">
        <v>6.6002049999999999</v>
      </c>
      <c r="K331" s="93">
        <f t="shared" si="17"/>
        <v>2.5190009682940005E-3</v>
      </c>
      <c r="L331">
        <v>6.5882800000000001</v>
      </c>
      <c r="M331" s="93">
        <f t="shared" si="21"/>
        <v>1.3958750292884759E-3</v>
      </c>
      <c r="N331" t="s">
        <v>602</v>
      </c>
    </row>
    <row r="332" spans="1:14" x14ac:dyDescent="0.15">
      <c r="A332" s="90">
        <v>43066</v>
      </c>
      <c r="B332" s="41">
        <f t="shared" si="20"/>
        <v>1</v>
      </c>
      <c r="C332">
        <v>6.5873999999999997</v>
      </c>
      <c r="D332" s="93">
        <f t="shared" si="15"/>
        <v>9.7202401262257176E-4</v>
      </c>
      <c r="H332">
        <v>6.5950699999999998</v>
      </c>
      <c r="I332" s="93">
        <f t="shared" si="16"/>
        <v>1.2061730203918985E-3</v>
      </c>
      <c r="J332">
        <v>6.5960400000000003</v>
      </c>
      <c r="K332" s="93">
        <f t="shared" si="17"/>
        <v>-6.312401957223135E-4</v>
      </c>
      <c r="L332">
        <v>6.5951250000000003</v>
      </c>
      <c r="M332" s="93">
        <f t="shared" si="21"/>
        <v>1.0384268123594929E-3</v>
      </c>
    </row>
    <row r="333" spans="1:14" x14ac:dyDescent="0.15">
      <c r="A333" s="90">
        <v>43067</v>
      </c>
      <c r="B333" s="41">
        <f t="shared" si="20"/>
        <v>2</v>
      </c>
      <c r="C333">
        <v>6.5944000000000003</v>
      </c>
      <c r="D333" s="93">
        <f t="shared" si="15"/>
        <v>1.0620705302761021E-3</v>
      </c>
      <c r="H333">
        <v>6.6055200000000003</v>
      </c>
      <c r="I333" s="93">
        <f t="shared" si="16"/>
        <v>1.5832628970276503E-3</v>
      </c>
      <c r="J333">
        <v>6.5966899999999997</v>
      </c>
      <c r="K333" s="93">
        <f t="shared" si="17"/>
        <v>9.8539119731215895E-5</v>
      </c>
      <c r="L333">
        <v>6.6083299999999996</v>
      </c>
      <c r="M333" s="93">
        <f t="shared" si="21"/>
        <v>2.0002346965546083E-3</v>
      </c>
    </row>
    <row r="334" spans="1:14" x14ac:dyDescent="0.15">
      <c r="A334" s="90">
        <v>43068</v>
      </c>
      <c r="B334" s="41">
        <f t="shared" si="20"/>
        <v>3</v>
      </c>
      <c r="C334">
        <v>6.6010999999999997</v>
      </c>
      <c r="D334" s="93">
        <f t="shared" si="15"/>
        <v>1.0154977948198544E-3</v>
      </c>
      <c r="H334">
        <v>6.6066000000000003</v>
      </c>
      <c r="I334" s="93">
        <f t="shared" si="16"/>
        <v>1.6348625389502237E-4</v>
      </c>
      <c r="J334">
        <v>6.5997599999999998</v>
      </c>
      <c r="K334" s="93">
        <f t="shared" si="17"/>
        <v>4.6527665476445818E-4</v>
      </c>
      <c r="L334">
        <v>6.6123450000000004</v>
      </c>
      <c r="M334" s="93">
        <f t="shared" si="21"/>
        <v>6.0738201694445165E-4</v>
      </c>
    </row>
    <row r="335" spans="1:14" x14ac:dyDescent="0.15">
      <c r="A335" s="90">
        <v>43069</v>
      </c>
      <c r="B335" s="41">
        <f t="shared" si="20"/>
        <v>4</v>
      </c>
      <c r="C335">
        <v>6.6033999999999997</v>
      </c>
      <c r="D335" s="93">
        <f t="shared" si="15"/>
        <v>3.4836609084178778E-4</v>
      </c>
      <c r="H335">
        <v>6.6163449999999999</v>
      </c>
      <c r="I335" s="93">
        <f t="shared" si="16"/>
        <v>1.4739533083260137E-3</v>
      </c>
      <c r="J335">
        <v>6.6166549999999997</v>
      </c>
      <c r="K335" s="93">
        <f t="shared" si="17"/>
        <v>2.5566705045107743E-3</v>
      </c>
      <c r="L335">
        <v>6.6118750000000004</v>
      </c>
      <c r="M335" s="93">
        <f t="shared" si="21"/>
        <v>-7.1081697097890255E-5</v>
      </c>
    </row>
    <row r="336" spans="1:14" x14ac:dyDescent="0.15">
      <c r="A336" s="90">
        <v>43070</v>
      </c>
      <c r="B336" s="41">
        <f t="shared" si="20"/>
        <v>5</v>
      </c>
      <c r="C336">
        <v>6.6067</v>
      </c>
      <c r="D336" s="93">
        <f t="shared" si="15"/>
        <v>4.9961772713987224E-4</v>
      </c>
      <c r="H336">
        <v>6.6158000000000001</v>
      </c>
      <c r="I336" s="93">
        <f t="shared" si="16"/>
        <v>-8.2375155397416286E-5</v>
      </c>
      <c r="J336">
        <v>6.6073899999999997</v>
      </c>
      <c r="K336" s="93">
        <f t="shared" si="17"/>
        <v>-1.4012356303922777E-3</v>
      </c>
      <c r="L336">
        <v>6.5948349999999998</v>
      </c>
      <c r="M336" s="93">
        <f t="shared" si="21"/>
        <v>-2.5805078563562673E-3</v>
      </c>
      <c r="N336" t="s">
        <v>607</v>
      </c>
    </row>
    <row r="337" spans="1:14" x14ac:dyDescent="0.15">
      <c r="A337" s="90">
        <v>43073</v>
      </c>
      <c r="B337" s="41">
        <f t="shared" si="20"/>
        <v>1</v>
      </c>
      <c r="C337">
        <v>6.6104999999999903</v>
      </c>
      <c r="D337" s="93">
        <f t="shared" si="15"/>
        <v>5.7500833833045069E-4</v>
      </c>
      <c r="H337">
        <v>6.6146799999999999</v>
      </c>
      <c r="I337" s="93">
        <f t="shared" si="16"/>
        <v>-1.693060270943231E-4</v>
      </c>
      <c r="J337">
        <v>6.6181900000000002</v>
      </c>
      <c r="K337" s="93">
        <f t="shared" si="17"/>
        <v>1.6331990582804472E-3</v>
      </c>
      <c r="L337">
        <v>6.6165500000000002</v>
      </c>
      <c r="M337" s="93">
        <f t="shared" si="21"/>
        <v>3.2873191652804746E-3</v>
      </c>
    </row>
    <row r="338" spans="1:14" x14ac:dyDescent="0.15">
      <c r="A338" s="90">
        <v>43074</v>
      </c>
      <c r="B338" s="41">
        <f t="shared" si="20"/>
        <v>2</v>
      </c>
      <c r="C338">
        <v>6.6113</v>
      </c>
      <c r="D338" s="93">
        <f t="shared" si="15"/>
        <v>1.2101226776778779E-4</v>
      </c>
      <c r="H338">
        <v>6.6142649999999996</v>
      </c>
      <c r="I338" s="93">
        <f t="shared" si="16"/>
        <v>-6.2741208786663984E-5</v>
      </c>
      <c r="J338">
        <v>6.6188099999999999</v>
      </c>
      <c r="K338" s="93">
        <f t="shared" si="17"/>
        <v>9.3676815056829485E-5</v>
      </c>
      <c r="L338">
        <v>6.6170600000000004</v>
      </c>
      <c r="M338" s="93">
        <f t="shared" si="21"/>
        <v>7.7076474258032387E-5</v>
      </c>
    </row>
    <row r="339" spans="1:14" x14ac:dyDescent="0.15">
      <c r="A339" s="90">
        <v>43075</v>
      </c>
      <c r="B339" s="41">
        <f t="shared" si="20"/>
        <v>3</v>
      </c>
      <c r="C339">
        <v>6.6162999999999998</v>
      </c>
      <c r="D339" s="93">
        <f t="shared" si="15"/>
        <v>7.5599507667868735E-4</v>
      </c>
      <c r="H339">
        <v>6.6170900000000001</v>
      </c>
      <c r="I339" s="93">
        <f t="shared" si="16"/>
        <v>4.2701598482195851E-4</v>
      </c>
      <c r="J339">
        <v>6.6196999999999999</v>
      </c>
      <c r="K339" s="93">
        <f t="shared" si="17"/>
        <v>1.3445621921826561E-4</v>
      </c>
      <c r="L339">
        <v>6.6188250000000002</v>
      </c>
      <c r="M339" s="93">
        <f t="shared" si="21"/>
        <v>2.6669920605417862E-4</v>
      </c>
    </row>
    <row r="340" spans="1:14" x14ac:dyDescent="0.15">
      <c r="A340" s="90">
        <v>43076</v>
      </c>
      <c r="B340" s="41">
        <f t="shared" si="20"/>
        <v>4</v>
      </c>
      <c r="C340">
        <v>6.6195000000000004</v>
      </c>
      <c r="D340" s="93">
        <f t="shared" si="15"/>
        <v>4.8353708311544311E-4</v>
      </c>
      <c r="H340">
        <v>6.6182699999999999</v>
      </c>
      <c r="I340" s="93">
        <f t="shared" si="16"/>
        <v>1.7831022399478037E-4</v>
      </c>
      <c r="J340">
        <v>6.6203399999999997</v>
      </c>
      <c r="K340" s="93">
        <f t="shared" si="17"/>
        <v>9.6676445161590133E-5</v>
      </c>
      <c r="L340">
        <v>6.6231</v>
      </c>
      <c r="M340" s="93">
        <f t="shared" si="21"/>
        <v>6.456765384972214E-4</v>
      </c>
      <c r="N340" t="s">
        <v>616</v>
      </c>
    </row>
    <row r="341" spans="1:14" x14ac:dyDescent="0.15">
      <c r="A341" s="90">
        <v>43077</v>
      </c>
      <c r="B341" s="41">
        <f t="shared" si="20"/>
        <v>5</v>
      </c>
      <c r="C341">
        <v>6.6217999999999897</v>
      </c>
      <c r="D341" s="93">
        <f t="shared" si="15"/>
        <v>3.4739791759432333E-4</v>
      </c>
      <c r="H341">
        <v>6.6232949999999997</v>
      </c>
      <c r="I341" s="93">
        <f t="shared" si="16"/>
        <v>7.589737680125556E-4</v>
      </c>
      <c r="J341">
        <v>6.6242799999999997</v>
      </c>
      <c r="K341" s="93">
        <f t="shared" si="17"/>
        <v>5.9495857430737805E-4</v>
      </c>
      <c r="L341">
        <v>6.6233449999999996</v>
      </c>
      <c r="M341" s="93">
        <f t="shared" si="21"/>
        <v>3.6991056849868284E-5</v>
      </c>
      <c r="N341" t="s">
        <v>620</v>
      </c>
    </row>
    <row r="342" spans="1:14" x14ac:dyDescent="0.15">
      <c r="A342" s="90">
        <v>43080</v>
      </c>
      <c r="B342" s="41">
        <f t="shared" si="20"/>
        <v>1</v>
      </c>
      <c r="C342">
        <v>6.6151999999999997</v>
      </c>
      <c r="D342" s="93">
        <f t="shared" si="15"/>
        <v>-9.9720488734899465E-4</v>
      </c>
      <c r="H342">
        <v>6.6188500000000001</v>
      </c>
      <c r="I342" s="93">
        <f t="shared" si="16"/>
        <v>-6.7134141288227177E-4</v>
      </c>
      <c r="J342">
        <v>6.6213649999999999</v>
      </c>
      <c r="K342" s="93">
        <f t="shared" si="17"/>
        <v>-4.401446735224068E-4</v>
      </c>
      <c r="L342">
        <v>6.6210000000000004</v>
      </c>
      <c r="M342" s="93">
        <f t="shared" si="21"/>
        <v>-3.5411340077646277E-4</v>
      </c>
    </row>
    <row r="343" spans="1:14" x14ac:dyDescent="0.15">
      <c r="A343" s="90">
        <v>43081</v>
      </c>
      <c r="B343" s="41">
        <f t="shared" si="20"/>
        <v>2</v>
      </c>
      <c r="C343">
        <v>6.6162000000000001</v>
      </c>
      <c r="D343" s="93">
        <f t="shared" si="15"/>
        <v>1.5115558473092754E-4</v>
      </c>
      <c r="H343" s="92">
        <v>6.6188500000000001</v>
      </c>
      <c r="I343" s="93">
        <f t="shared" si="16"/>
        <v>0</v>
      </c>
      <c r="J343" s="92">
        <v>6.6213649999999999</v>
      </c>
      <c r="K343" s="93">
        <f t="shared" si="17"/>
        <v>0</v>
      </c>
      <c r="L343" s="92">
        <v>6.6210000000000004</v>
      </c>
      <c r="M343" s="93">
        <f t="shared" si="21"/>
        <v>0</v>
      </c>
    </row>
    <row r="344" spans="1:14" x14ac:dyDescent="0.15">
      <c r="A344" s="90">
        <v>43082</v>
      </c>
      <c r="B344" s="41">
        <f t="shared" si="20"/>
        <v>3</v>
      </c>
      <c r="C344">
        <v>6.6250999999999998</v>
      </c>
      <c r="D344" s="93">
        <f t="shared" si="15"/>
        <v>1.3442790874393451E-3</v>
      </c>
      <c r="H344">
        <v>6.6227900000000002</v>
      </c>
      <c r="I344" s="93">
        <f t="shared" ref="I344:I364" si="22">LN(H344/H343)</f>
        <v>5.9509246834607457E-4</v>
      </c>
      <c r="J344">
        <v>6.6237849999999998</v>
      </c>
      <c r="K344" s="93">
        <f t="shared" ref="K344:K364" si="23">LN(J344/J343)</f>
        <v>3.6541677926307337E-4</v>
      </c>
      <c r="L344">
        <v>6.6131000000000002</v>
      </c>
      <c r="M344" s="93">
        <f t="shared" si="21"/>
        <v>-1.1938856345900524E-3</v>
      </c>
      <c r="N344" t="s">
        <v>621</v>
      </c>
    </row>
    <row r="345" spans="1:14" x14ac:dyDescent="0.15">
      <c r="A345" s="90">
        <v>43083</v>
      </c>
      <c r="B345" s="41">
        <f t="shared" si="20"/>
        <v>4</v>
      </c>
      <c r="C345">
        <v>6.6032999999999999</v>
      </c>
      <c r="D345" s="93">
        <f t="shared" si="15"/>
        <v>-3.2959420239592413E-3</v>
      </c>
      <c r="H345">
        <v>6.6084149999999999</v>
      </c>
      <c r="I345" s="93">
        <f t="shared" si="22"/>
        <v>-2.1728944046936652E-3</v>
      </c>
      <c r="J345">
        <v>6.6100849999999998</v>
      </c>
      <c r="K345" s="93">
        <f t="shared" si="23"/>
        <v>-2.0704457417270159E-3</v>
      </c>
      <c r="L345">
        <v>6.6084199999999997</v>
      </c>
      <c r="M345" s="93">
        <f t="shared" si="21"/>
        <v>-7.0793678721640084E-4</v>
      </c>
      <c r="N345" t="s">
        <v>623</v>
      </c>
    </row>
    <row r="346" spans="1:14" x14ac:dyDescent="0.15">
      <c r="A346" s="90">
        <v>43084</v>
      </c>
      <c r="B346" s="41">
        <f t="shared" si="20"/>
        <v>5</v>
      </c>
      <c r="C346">
        <v>6.6113</v>
      </c>
      <c r="D346" s="93">
        <f t="shared" si="15"/>
        <v>1.2107821617496147E-3</v>
      </c>
      <c r="H346">
        <v>6.6060949999999998</v>
      </c>
      <c r="I346" s="93">
        <f t="shared" si="22"/>
        <v>-3.5112917903675086E-4</v>
      </c>
      <c r="J346">
        <v>6.6095899999999999</v>
      </c>
      <c r="K346" s="93">
        <f t="shared" si="23"/>
        <v>-7.4888376640324796E-5</v>
      </c>
      <c r="L346">
        <v>6.6065500000000004</v>
      </c>
      <c r="M346" s="93">
        <f t="shared" si="21"/>
        <v>-2.830123734644683E-4</v>
      </c>
      <c r="N346" t="s">
        <v>625</v>
      </c>
    </row>
    <row r="347" spans="1:14" x14ac:dyDescent="0.15">
      <c r="A347" s="90">
        <v>43087</v>
      </c>
      <c r="B347" s="41">
        <f t="shared" si="20"/>
        <v>1</v>
      </c>
      <c r="C347">
        <v>6.6162000000000001</v>
      </c>
      <c r="D347" s="93">
        <f t="shared" si="15"/>
        <v>7.4088077477019502E-4</v>
      </c>
      <c r="H347">
        <v>6.6105650000000002</v>
      </c>
      <c r="I347" s="93">
        <f t="shared" si="22"/>
        <v>6.7641903028975642E-4</v>
      </c>
      <c r="J347">
        <v>6.6164949999999996</v>
      </c>
      <c r="K347" s="93">
        <f t="shared" si="23"/>
        <v>1.0441488357809832E-3</v>
      </c>
      <c r="L347">
        <v>6.6109749999999998</v>
      </c>
      <c r="M347" s="93">
        <f t="shared" si="21"/>
        <v>6.6956562069173098E-4</v>
      </c>
    </row>
    <row r="348" spans="1:14" x14ac:dyDescent="0.15">
      <c r="A348" s="90">
        <v>43088</v>
      </c>
      <c r="B348" s="41">
        <f t="shared" si="20"/>
        <v>2</v>
      </c>
      <c r="C348">
        <v>6.6097999999999999</v>
      </c>
      <c r="D348" s="93">
        <f t="shared" si="15"/>
        <v>-9.6779079079550477E-4</v>
      </c>
      <c r="H348">
        <v>6.6122500000000004</v>
      </c>
      <c r="I348" s="93">
        <f t="shared" si="22"/>
        <v>2.5486252497978871E-4</v>
      </c>
      <c r="J348">
        <v>6.6044450000000001</v>
      </c>
      <c r="K348" s="93">
        <f t="shared" si="23"/>
        <v>-1.8228663524206302E-3</v>
      </c>
      <c r="L348">
        <v>6.6039700000000003</v>
      </c>
      <c r="M348" s="93">
        <f t="shared" si="21"/>
        <v>-1.0601634219594741E-3</v>
      </c>
    </row>
    <row r="349" spans="1:14" x14ac:dyDescent="0.15">
      <c r="A349" s="90">
        <v>43089</v>
      </c>
      <c r="B349" s="41">
        <f t="shared" si="20"/>
        <v>3</v>
      </c>
      <c r="C349">
        <v>6.6065999999999896</v>
      </c>
      <c r="D349" s="93">
        <f t="shared" si="15"/>
        <v>-4.8424685429353199E-4</v>
      </c>
      <c r="H349">
        <v>6.5936349999999999</v>
      </c>
      <c r="I349" s="93">
        <f t="shared" si="22"/>
        <v>-2.8191995203891203E-3</v>
      </c>
      <c r="J349">
        <v>6.57707</v>
      </c>
      <c r="K349" s="93">
        <f t="shared" si="23"/>
        <v>-4.1535497787710133E-3</v>
      </c>
      <c r="L349">
        <v>6.5639149999999997</v>
      </c>
      <c r="M349" s="93">
        <f t="shared" si="21"/>
        <v>-6.0837596232552324E-3</v>
      </c>
    </row>
    <row r="350" spans="1:14" x14ac:dyDescent="0.15">
      <c r="A350" s="90">
        <v>43090</v>
      </c>
      <c r="B350" s="41">
        <f t="shared" si="20"/>
        <v>4</v>
      </c>
      <c r="C350">
        <v>6.5795000000000003</v>
      </c>
      <c r="D350" s="93">
        <f t="shared" si="15"/>
        <v>-4.1103947574035607E-3</v>
      </c>
      <c r="H350">
        <v>6.5666700000000002</v>
      </c>
      <c r="I350" s="93">
        <f t="shared" si="22"/>
        <v>-4.0979350760367243E-3</v>
      </c>
      <c r="J350">
        <v>6.5752750000000004</v>
      </c>
      <c r="K350" s="93">
        <f t="shared" si="23"/>
        <v>-2.7295512870815721E-4</v>
      </c>
      <c r="L350">
        <v>6.5641850000000002</v>
      </c>
      <c r="M350" s="93">
        <f t="shared" si="21"/>
        <v>4.1133141892364158E-5</v>
      </c>
      <c r="N350" t="s">
        <v>635</v>
      </c>
    </row>
    <row r="351" spans="1:14" x14ac:dyDescent="0.15">
      <c r="A351" s="90">
        <v>43091</v>
      </c>
      <c r="B351" s="41">
        <f t="shared" si="20"/>
        <v>5</v>
      </c>
      <c r="C351">
        <v>6.5820999999999996</v>
      </c>
      <c r="D351" s="93">
        <f t="shared" si="15"/>
        <v>3.9508874814923525E-4</v>
      </c>
      <c r="H351">
        <v>6.5644150000000003</v>
      </c>
      <c r="I351" s="93">
        <f t="shared" si="22"/>
        <v>-3.4345981648388507E-4</v>
      </c>
      <c r="J351">
        <v>6.5712149999999996</v>
      </c>
      <c r="K351" s="93">
        <f t="shared" si="23"/>
        <v>-6.1765537859522965E-4</v>
      </c>
      <c r="L351">
        <v>6.5653249999999996</v>
      </c>
      <c r="M351" s="93">
        <f t="shared" si="21"/>
        <v>1.7365461511721644E-4</v>
      </c>
    </row>
    <row r="352" spans="1:14" x14ac:dyDescent="0.15">
      <c r="A352" s="90">
        <v>43094</v>
      </c>
      <c r="B352" s="41">
        <f t="shared" si="20"/>
        <v>1</v>
      </c>
      <c r="C352">
        <v>6.5682999999999998</v>
      </c>
      <c r="D352" s="93">
        <f t="shared" si="15"/>
        <v>-2.0987962443252267E-3</v>
      </c>
      <c r="H352">
        <v>6.5644150000000003</v>
      </c>
      <c r="I352" s="93">
        <f t="shared" si="22"/>
        <v>0</v>
      </c>
      <c r="J352">
        <v>6.5712149999999996</v>
      </c>
      <c r="K352" s="93">
        <f t="shared" si="23"/>
        <v>0</v>
      </c>
      <c r="L352">
        <v>6.5653249999999996</v>
      </c>
      <c r="M352" s="93">
        <f t="shared" si="21"/>
        <v>0</v>
      </c>
    </row>
    <row r="353" spans="1:14" x14ac:dyDescent="0.15">
      <c r="A353" s="90">
        <v>43095</v>
      </c>
      <c r="B353" s="41">
        <f t="shared" si="20"/>
        <v>2</v>
      </c>
      <c r="C353">
        <v>6.5415999999999999</v>
      </c>
      <c r="D353" s="93">
        <f t="shared" si="15"/>
        <v>-4.0732632462517999E-3</v>
      </c>
      <c r="H353">
        <v>6.5483500000000001</v>
      </c>
      <c r="I353" s="93">
        <f t="shared" si="22"/>
        <v>-2.4502853574694043E-3</v>
      </c>
      <c r="J353">
        <v>6.5451249999999996</v>
      </c>
      <c r="K353" s="93">
        <f t="shared" si="23"/>
        <v>-3.9782491776466193E-3</v>
      </c>
      <c r="L353">
        <v>6.540565</v>
      </c>
      <c r="M353" s="93">
        <f t="shared" si="21"/>
        <v>-3.7784583050339497E-3</v>
      </c>
    </row>
    <row r="354" spans="1:14" x14ac:dyDescent="0.15">
      <c r="A354" s="90">
        <v>43096</v>
      </c>
      <c r="B354" s="41">
        <f t="shared" si="20"/>
        <v>3</v>
      </c>
      <c r="C354">
        <v>6.5420999999999996</v>
      </c>
      <c r="D354" s="93">
        <f t="shared" si="15"/>
        <v>7.6430979041562988E-5</v>
      </c>
      <c r="H354">
        <v>6.5509250000000003</v>
      </c>
      <c r="I354" s="93">
        <f t="shared" si="22"/>
        <v>3.9315153444272039E-4</v>
      </c>
      <c r="J354">
        <v>6.5568299999999997</v>
      </c>
      <c r="K354" s="93">
        <f t="shared" si="23"/>
        <v>1.786756726613172E-3</v>
      </c>
      <c r="L354">
        <v>6.5531600000000001</v>
      </c>
      <c r="M354" s="93">
        <f t="shared" si="21"/>
        <v>1.9238228822747382E-3</v>
      </c>
    </row>
    <row r="355" spans="1:14" x14ac:dyDescent="0.15">
      <c r="A355" s="90">
        <v>43097</v>
      </c>
      <c r="B355" s="41">
        <f t="shared" si="20"/>
        <v>4</v>
      </c>
      <c r="C355">
        <v>6.5411999999999999</v>
      </c>
      <c r="D355" s="93">
        <f t="shared" si="15"/>
        <v>-1.3757996857358836E-4</v>
      </c>
      <c r="H355">
        <v>6.5421050000000003</v>
      </c>
      <c r="I355" s="93">
        <f t="shared" si="22"/>
        <v>-1.3472819254441418E-3</v>
      </c>
      <c r="J355">
        <v>6.5337500000000004</v>
      </c>
      <c r="K355" s="93">
        <f t="shared" si="23"/>
        <v>-3.5262034096172432E-3</v>
      </c>
      <c r="L355">
        <v>6.5331650000000003</v>
      </c>
      <c r="M355" s="93">
        <f t="shared" si="21"/>
        <v>-3.0558641268574639E-3</v>
      </c>
    </row>
    <row r="356" spans="1:14" x14ac:dyDescent="0.15">
      <c r="A356" s="90">
        <v>43098</v>
      </c>
      <c r="B356" s="41">
        <f t="shared" si="20"/>
        <v>5</v>
      </c>
      <c r="C356">
        <v>6.5341999999999896</v>
      </c>
      <c r="D356" s="93">
        <f t="shared" si="15"/>
        <v>-1.0707130441530476E-3</v>
      </c>
      <c r="H356">
        <v>6.51661</v>
      </c>
      <c r="I356" s="93">
        <f t="shared" si="22"/>
        <v>-3.9046770516789142E-3</v>
      </c>
      <c r="J356">
        <v>6.5200699999999996</v>
      </c>
      <c r="K356" s="93">
        <f t="shared" si="23"/>
        <v>-2.0959389677466492E-3</v>
      </c>
      <c r="L356">
        <v>6.5138800000000003</v>
      </c>
      <c r="M356" s="93">
        <f t="shared" si="21"/>
        <v>-2.9562271065588916E-3</v>
      </c>
    </row>
    <row r="357" spans="1:14" x14ac:dyDescent="0.15">
      <c r="A357" s="90">
        <v>43102</v>
      </c>
      <c r="B357" s="41">
        <f t="shared" si="20"/>
        <v>2</v>
      </c>
      <c r="C357">
        <v>6.5078999999999896</v>
      </c>
      <c r="D357" s="93">
        <f t="shared" si="15"/>
        <v>-4.0330982969585642E-3</v>
      </c>
      <c r="H357">
        <v>6.4955449999999999</v>
      </c>
      <c r="I357" s="93">
        <f t="shared" si="22"/>
        <v>-3.2377447704879654E-3</v>
      </c>
      <c r="J357">
        <v>6.4931400000000004</v>
      </c>
      <c r="K357" s="93">
        <f t="shared" si="23"/>
        <v>-4.1388771015368302E-3</v>
      </c>
      <c r="L357">
        <v>6.5010700000000003</v>
      </c>
      <c r="M357" s="93">
        <f t="shared" si="21"/>
        <v>-1.9685060851681335E-3</v>
      </c>
      <c r="N357" t="s">
        <v>645</v>
      </c>
    </row>
    <row r="358" spans="1:14" x14ac:dyDescent="0.15">
      <c r="A358" s="90">
        <v>43103</v>
      </c>
      <c r="B358" s="41">
        <f t="shared" si="20"/>
        <v>3</v>
      </c>
      <c r="C358">
        <v>6.492</v>
      </c>
      <c r="D358" s="93">
        <f t="shared" si="15"/>
        <v>-2.446173882642171E-3</v>
      </c>
      <c r="H358">
        <v>6.5029399999999997</v>
      </c>
      <c r="I358" s="93">
        <f t="shared" si="22"/>
        <v>1.1378250308132654E-3</v>
      </c>
      <c r="J358">
        <v>6.4973799999999997</v>
      </c>
      <c r="K358" s="93">
        <f t="shared" si="23"/>
        <v>6.5278374546414732E-4</v>
      </c>
      <c r="L358">
        <v>6.4974400000000001</v>
      </c>
      <c r="M358" s="93">
        <f t="shared" si="21"/>
        <v>-5.585255686021308E-4</v>
      </c>
      <c r="N358" t="s">
        <v>649</v>
      </c>
    </row>
    <row r="359" spans="1:14" x14ac:dyDescent="0.15">
      <c r="A359" s="90">
        <v>43104</v>
      </c>
      <c r="B359" s="41">
        <f t="shared" si="20"/>
        <v>4</v>
      </c>
      <c r="C359">
        <v>6.5042999999999997</v>
      </c>
      <c r="D359" s="93">
        <f t="shared" si="15"/>
        <v>1.8928469906728748E-3</v>
      </c>
      <c r="H359">
        <v>6.5033750000000001</v>
      </c>
      <c r="I359" s="93">
        <f t="shared" si="22"/>
        <v>6.6890583560679371E-5</v>
      </c>
      <c r="J359">
        <v>6.4978999999999996</v>
      </c>
      <c r="K359" s="93">
        <f t="shared" si="23"/>
        <v>8.0029056746369352E-5</v>
      </c>
      <c r="L359">
        <v>6.4892099999999999</v>
      </c>
      <c r="M359" s="93">
        <f t="shared" si="21"/>
        <v>-1.2674555950538422E-3</v>
      </c>
    </row>
    <row r="360" spans="1:14" x14ac:dyDescent="0.15">
      <c r="A360" s="90">
        <v>43105</v>
      </c>
      <c r="B360" s="41">
        <f t="shared" si="20"/>
        <v>5</v>
      </c>
      <c r="C360">
        <v>6.4914999999999896</v>
      </c>
      <c r="D360" s="93">
        <f t="shared" si="15"/>
        <v>-1.9698678248482398E-3</v>
      </c>
      <c r="H360">
        <v>6.4830449999999997</v>
      </c>
      <c r="I360" s="93">
        <f t="shared" si="22"/>
        <v>-3.1309655174898256E-3</v>
      </c>
      <c r="J360">
        <v>6.483085</v>
      </c>
      <c r="K360" s="93">
        <f t="shared" si="23"/>
        <v>-2.2825704570702755E-3</v>
      </c>
      <c r="L360">
        <v>6.4803100000000002</v>
      </c>
      <c r="M360" s="93">
        <f t="shared" si="21"/>
        <v>-1.3724488488416858E-3</v>
      </c>
    </row>
    <row r="361" spans="1:14" x14ac:dyDescent="0.15">
      <c r="A361" s="90">
        <v>43108</v>
      </c>
      <c r="B361" s="41">
        <f t="shared" si="20"/>
        <v>1</v>
      </c>
      <c r="C361">
        <v>6.4832000000000001</v>
      </c>
      <c r="D361" s="93">
        <f t="shared" si="15"/>
        <v>-1.2794131859969382E-3</v>
      </c>
      <c r="H361">
        <v>6.488505</v>
      </c>
      <c r="I361" s="93">
        <f t="shared" si="22"/>
        <v>8.4184238929929807E-4</v>
      </c>
      <c r="J361">
        <v>6.5004299999999997</v>
      </c>
      <c r="K361" s="93">
        <f t="shared" si="23"/>
        <v>2.6718512388244817E-3</v>
      </c>
      <c r="L361">
        <v>6.4974999999999996</v>
      </c>
      <c r="M361" s="93">
        <f t="shared" si="21"/>
        <v>2.6491388074246273E-3</v>
      </c>
    </row>
    <row r="362" spans="1:14" x14ac:dyDescent="0.15">
      <c r="A362" s="90">
        <v>43109</v>
      </c>
      <c r="B362" s="41">
        <f t="shared" si="20"/>
        <v>2</v>
      </c>
      <c r="C362">
        <v>6.4967999999999897</v>
      </c>
      <c r="D362" s="93">
        <f t="shared" si="15"/>
        <v>2.0955323538900442E-3</v>
      </c>
      <c r="H362">
        <v>6.5025950000000003</v>
      </c>
      <c r="I362" s="93">
        <f t="shared" si="22"/>
        <v>2.1691782104435614E-3</v>
      </c>
      <c r="J362">
        <v>6.53111</v>
      </c>
      <c r="K362" s="93">
        <f t="shared" si="23"/>
        <v>4.7085849689681636E-3</v>
      </c>
      <c r="L362">
        <v>6.536575</v>
      </c>
      <c r="M362" s="93">
        <f t="shared" si="21"/>
        <v>5.9958404508877261E-3</v>
      </c>
      <c r="N362" t="s">
        <v>653</v>
      </c>
    </row>
    <row r="363" spans="1:14" x14ac:dyDescent="0.15">
      <c r="A363" s="90">
        <v>43110</v>
      </c>
      <c r="B363" s="41">
        <f t="shared" si="20"/>
        <v>3</v>
      </c>
      <c r="C363">
        <v>6.5206999999999997</v>
      </c>
      <c r="D363" s="93">
        <f t="shared" si="15"/>
        <v>3.6719841528061658E-3</v>
      </c>
      <c r="H363">
        <v>6.5331400000000004</v>
      </c>
      <c r="I363" s="93">
        <f t="shared" si="22"/>
        <v>4.686357294357445E-3</v>
      </c>
      <c r="J363">
        <v>6.5228700000000002</v>
      </c>
      <c r="K363" s="93">
        <f t="shared" si="23"/>
        <v>-1.2624503935804718E-3</v>
      </c>
      <c r="L363">
        <v>6.5229400000000002</v>
      </c>
      <c r="M363" s="93">
        <f t="shared" si="21"/>
        <v>-2.0881334344180222E-3</v>
      </c>
    </row>
    <row r="364" spans="1:14" x14ac:dyDescent="0.15">
      <c r="A364" s="90">
        <v>43111</v>
      </c>
      <c r="B364" s="41">
        <f t="shared" si="20"/>
        <v>4</v>
      </c>
      <c r="C364">
        <v>6.5147000000000004</v>
      </c>
      <c r="D364" s="93">
        <f t="shared" si="15"/>
        <v>-9.2057020478457754E-4</v>
      </c>
      <c r="H364">
        <v>6.5219699999999996</v>
      </c>
      <c r="I364" s="93">
        <f t="shared" si="22"/>
        <v>-1.7112077532394083E-3</v>
      </c>
      <c r="J364">
        <v>6.5165449999999998</v>
      </c>
      <c r="K364" s="93">
        <f t="shared" si="23"/>
        <v>-9.7013562281306014E-4</v>
      </c>
      <c r="L364">
        <v>6.4919399999999996</v>
      </c>
      <c r="M364" s="93">
        <f t="shared" si="21"/>
        <v>-4.763787084519547E-3</v>
      </c>
      <c r="N364" t="s">
        <v>654</v>
      </c>
    </row>
    <row r="365" spans="1:14" x14ac:dyDescent="0.15">
      <c r="A365" s="90">
        <v>43112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502"/>
  <sheetViews>
    <sheetView zoomScale="115" zoomScaleNormal="115" workbookViewId="0">
      <pane xSplit="1" ySplit="2" topLeftCell="B474" activePane="bottomRight" state="frozen"/>
      <selection pane="topRight" activeCell="B1" sqref="B1"/>
      <selection pane="bottomLeft" activeCell="A3" sqref="A3"/>
      <selection pane="bottomRight" activeCell="F487" sqref="F487"/>
    </sheetView>
  </sheetViews>
  <sheetFormatPr defaultRowHeight="13.5" x14ac:dyDescent="0.15"/>
  <cols>
    <col min="1" max="1" width="11.87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6" width="21.5" bestFit="1" customWidth="1" collapsed="1"/>
    <col min="7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875" bestFit="1" customWidth="1" collapsed="1"/>
    <col min="12" max="12" width="13.875" bestFit="1" customWidth="1" collapsed="1"/>
    <col min="14" max="14" width="38.875" style="50" customWidth="1" collapsed="1"/>
    <col min="15" max="15" width="38.875" customWidth="1" collapsed="1"/>
  </cols>
  <sheetData>
    <row r="1" spans="1:15" x14ac:dyDescent="0.15">
      <c r="J1" t="s">
        <v>229</v>
      </c>
    </row>
    <row r="2" spans="1:15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  <c r="O2" t="s">
        <v>632</v>
      </c>
    </row>
    <row r="3" spans="1:15" x14ac:dyDescent="0.1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 x14ac:dyDescent="0.15">
      <c r="A4" s="1">
        <f>A5-1</f>
        <v>42402</v>
      </c>
      <c r="B4">
        <v>8.68</v>
      </c>
      <c r="C4" s="93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 x14ac:dyDescent="0.15">
      <c r="A5" s="1">
        <v>42403</v>
      </c>
      <c r="B5">
        <v>8.58</v>
      </c>
      <c r="C5" s="93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 x14ac:dyDescent="0.15">
      <c r="A6" s="1">
        <v>42404</v>
      </c>
      <c r="B6">
        <v>8.69</v>
      </c>
      <c r="C6" s="93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 x14ac:dyDescent="0.15">
      <c r="A7" s="1">
        <v>42405</v>
      </c>
      <c r="B7">
        <v>8.84</v>
      </c>
      <c r="C7" s="93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 x14ac:dyDescent="0.15">
      <c r="A8" s="1">
        <v>42411</v>
      </c>
      <c r="B8">
        <v>8.51</v>
      </c>
      <c r="C8" s="93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 x14ac:dyDescent="0.15">
      <c r="A9" s="1">
        <v>42412</v>
      </c>
      <c r="B9">
        <v>8.48</v>
      </c>
      <c r="C9" s="93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 x14ac:dyDescent="0.15">
      <c r="A10" s="1">
        <v>42415</v>
      </c>
      <c r="B10">
        <v>8.81</v>
      </c>
      <c r="C10" s="93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 x14ac:dyDescent="0.15">
      <c r="A11" s="1">
        <v>42416</v>
      </c>
      <c r="B11">
        <v>9.14</v>
      </c>
      <c r="C11" s="93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 x14ac:dyDescent="0.15">
      <c r="A12" s="1">
        <v>42417</v>
      </c>
      <c r="B12">
        <v>9.09</v>
      </c>
      <c r="C12" s="93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 x14ac:dyDescent="0.15">
      <c r="A13" s="1">
        <v>42418</v>
      </c>
      <c r="B13">
        <v>9.24</v>
      </c>
      <c r="C13" s="93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 x14ac:dyDescent="0.15">
      <c r="A14" s="1">
        <v>42419</v>
      </c>
      <c r="B14">
        <v>9.18</v>
      </c>
      <c r="C14" s="93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 x14ac:dyDescent="0.15">
      <c r="A15" s="1">
        <v>42422</v>
      </c>
      <c r="B15">
        <v>9.33</v>
      </c>
      <c r="C15" s="93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 x14ac:dyDescent="0.15">
      <c r="A16" s="1">
        <v>42423</v>
      </c>
      <c r="B16">
        <v>9.18</v>
      </c>
      <c r="C16" s="93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 x14ac:dyDescent="0.15">
      <c r="A17" s="1">
        <v>42424</v>
      </c>
      <c r="B17">
        <v>9.16</v>
      </c>
      <c r="C17" s="93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 x14ac:dyDescent="0.15">
      <c r="A18" s="1">
        <v>42425</v>
      </c>
      <c r="B18">
        <v>8.75</v>
      </c>
      <c r="C18" s="93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 x14ac:dyDescent="0.15">
      <c r="A19" s="1">
        <v>42426</v>
      </c>
      <c r="B19">
        <v>8.94</v>
      </c>
      <c r="C19" s="93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 x14ac:dyDescent="0.15">
      <c r="A20" s="1">
        <v>42429</v>
      </c>
      <c r="B20">
        <v>8.75</v>
      </c>
      <c r="C20" s="93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 x14ac:dyDescent="0.15">
      <c r="A21" s="1">
        <v>42430</v>
      </c>
      <c r="B21">
        <v>8.91</v>
      </c>
      <c r="C21" s="93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 x14ac:dyDescent="0.15">
      <c r="A22" s="1">
        <v>42431</v>
      </c>
      <c r="B22">
        <v>9.2100000000000009</v>
      </c>
      <c r="C22" s="93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 x14ac:dyDescent="0.15">
      <c r="A23" s="1">
        <v>42432</v>
      </c>
      <c r="B23">
        <v>9.2100000000000009</v>
      </c>
      <c r="C23" s="93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 x14ac:dyDescent="0.15">
      <c r="A24" s="1">
        <v>42433</v>
      </c>
      <c r="B24">
        <v>9.49</v>
      </c>
      <c r="C24" s="93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 x14ac:dyDescent="0.15">
      <c r="A25" s="1">
        <v>42436</v>
      </c>
      <c r="B25">
        <v>9.5</v>
      </c>
      <c r="C25" s="93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 x14ac:dyDescent="0.15">
      <c r="A26" s="1">
        <v>42437</v>
      </c>
      <c r="B26">
        <v>9.49</v>
      </c>
      <c r="C26" s="93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 x14ac:dyDescent="0.15">
      <c r="A27" s="1">
        <v>42438</v>
      </c>
      <c r="B27">
        <v>9.42</v>
      </c>
      <c r="C27" s="93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 x14ac:dyDescent="0.15">
      <c r="A28" s="1">
        <v>42439</v>
      </c>
      <c r="B28">
        <v>9.31</v>
      </c>
      <c r="C28" s="93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 x14ac:dyDescent="0.15">
      <c r="A29" s="1">
        <v>42440</v>
      </c>
      <c r="B29">
        <v>9.49</v>
      </c>
      <c r="C29" s="93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 x14ac:dyDescent="0.15">
      <c r="A30" s="1">
        <v>42443</v>
      </c>
      <c r="B30">
        <v>9.6</v>
      </c>
      <c r="C30" s="93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 x14ac:dyDescent="0.15">
      <c r="A31" s="1">
        <v>42444</v>
      </c>
      <c r="B31">
        <v>9.5500000000000007</v>
      </c>
      <c r="C31" s="93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 x14ac:dyDescent="0.15">
      <c r="A32" s="1">
        <v>42445</v>
      </c>
      <c r="B32">
        <v>9.6199999999999992</v>
      </c>
      <c r="C32" s="93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 x14ac:dyDescent="0.15">
      <c r="A33" s="1">
        <v>42446</v>
      </c>
      <c r="B33">
        <v>9.8000000000000007</v>
      </c>
      <c r="C33" s="93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 x14ac:dyDescent="0.15">
      <c r="A34" s="1">
        <v>42447</v>
      </c>
      <c r="B34">
        <v>9.94</v>
      </c>
      <c r="C34" s="93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 x14ac:dyDescent="0.15">
      <c r="A35" s="1">
        <v>42450</v>
      </c>
      <c r="B35">
        <v>10.220000000000001</v>
      </c>
      <c r="C35" s="93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 x14ac:dyDescent="0.15">
      <c r="A36" s="1">
        <v>42451</v>
      </c>
      <c r="B36">
        <v>10.28</v>
      </c>
      <c r="C36" s="93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 x14ac:dyDescent="0.15">
      <c r="A37" s="1">
        <v>42452</v>
      </c>
      <c r="B37">
        <v>10.18</v>
      </c>
      <c r="C37" s="93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 x14ac:dyDescent="0.15">
      <c r="A38" s="1">
        <v>42453</v>
      </c>
      <c r="B38">
        <v>9.9700000000000006</v>
      </c>
      <c r="C38" s="93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 x14ac:dyDescent="0.15">
      <c r="A39" s="1">
        <v>42454</v>
      </c>
      <c r="B39">
        <v>9.9700000000000006</v>
      </c>
      <c r="C39" s="93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 x14ac:dyDescent="0.15">
      <c r="A40" s="1">
        <v>42457</v>
      </c>
      <c r="B40">
        <v>9.9700000000000006</v>
      </c>
      <c r="C40" s="93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 x14ac:dyDescent="0.15">
      <c r="A41" s="1">
        <v>42458</v>
      </c>
      <c r="B41">
        <v>9.8800000000000008</v>
      </c>
      <c r="C41" s="93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 x14ac:dyDescent="0.15">
      <c r="A42" s="1">
        <v>42459</v>
      </c>
      <c r="B42">
        <v>10.18</v>
      </c>
      <c r="C42" s="93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 x14ac:dyDescent="0.15">
      <c r="A43" s="1">
        <v>42460</v>
      </c>
      <c r="B43">
        <v>10.06</v>
      </c>
      <c r="C43" s="93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 x14ac:dyDescent="0.15">
      <c r="A44" s="1">
        <v>42461</v>
      </c>
      <c r="B44">
        <v>9.9499999999999993</v>
      </c>
      <c r="C44" s="93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 x14ac:dyDescent="0.15">
      <c r="A45" s="1">
        <v>42465</v>
      </c>
      <c r="B45">
        <v>9.9700000000000006</v>
      </c>
      <c r="C45" s="93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 x14ac:dyDescent="0.15">
      <c r="A46" s="1">
        <v>42466</v>
      </c>
      <c r="B46">
        <v>9.91</v>
      </c>
      <c r="C46" s="93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 x14ac:dyDescent="0.15">
      <c r="A47" s="1">
        <v>42467</v>
      </c>
      <c r="B47">
        <v>9.8000000000000007</v>
      </c>
      <c r="C47" s="93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 x14ac:dyDescent="0.15">
      <c r="A48" s="1">
        <v>42468</v>
      </c>
      <c r="B48">
        <v>9.81</v>
      </c>
      <c r="C48" s="93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 x14ac:dyDescent="0.15">
      <c r="A49" s="1">
        <v>42471</v>
      </c>
      <c r="B49">
        <v>9.9499999999999993</v>
      </c>
      <c r="C49" s="93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 x14ac:dyDescent="0.15">
      <c r="A50" s="1">
        <v>42472</v>
      </c>
      <c r="B50">
        <v>9.9700000000000006</v>
      </c>
      <c r="C50" s="93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 x14ac:dyDescent="0.15">
      <c r="A51" s="1">
        <v>42473</v>
      </c>
      <c r="B51">
        <v>10.28</v>
      </c>
      <c r="C51" s="93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 x14ac:dyDescent="0.15">
      <c r="A52" s="1">
        <v>42474</v>
      </c>
      <c r="B52">
        <v>10.28</v>
      </c>
      <c r="C52" s="93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93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 x14ac:dyDescent="0.15">
      <c r="A53" s="1">
        <v>42475</v>
      </c>
      <c r="B53">
        <v>10.28</v>
      </c>
      <c r="C53" s="93">
        <f t="shared" si="5"/>
        <v>0</v>
      </c>
      <c r="D53" s="26">
        <f t="shared" si="11"/>
        <v>11.022946686881408</v>
      </c>
      <c r="F53">
        <v>10.965999999999999</v>
      </c>
      <c r="G53" s="93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 x14ac:dyDescent="0.15">
      <c r="A54" s="1">
        <v>42478</v>
      </c>
      <c r="B54">
        <v>10.1</v>
      </c>
      <c r="C54" s="93">
        <f t="shared" si="5"/>
        <v>-1.7509727626459082E-2</v>
      </c>
      <c r="D54" s="26">
        <f>+F53*(1+L54)</f>
        <v>10.869939097352287</v>
      </c>
      <c r="F54">
        <v>10.887</v>
      </c>
      <c r="G54" s="93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 x14ac:dyDescent="0.15">
      <c r="A55" s="1">
        <v>42479</v>
      </c>
      <c r="B55">
        <v>10.16</v>
      </c>
      <c r="C55" s="93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 x14ac:dyDescent="0.15">
      <c r="A56" s="1">
        <v>42480</v>
      </c>
      <c r="B56">
        <v>9.9700000000000006</v>
      </c>
      <c r="C56" s="93">
        <f t="shared" si="5"/>
        <v>-1.870078740157477E-2</v>
      </c>
      <c r="D56" s="26">
        <f>+F55*(1+L56)</f>
        <v>10.86745335314553</v>
      </c>
      <c r="F56" s="92">
        <v>10.923999999999999</v>
      </c>
      <c r="G56" s="93">
        <f t="shared" si="3"/>
        <v>-8.2581753423010218E-2</v>
      </c>
      <c r="J56" s="92">
        <v>9657.35</v>
      </c>
      <c r="K56" s="92">
        <v>9607.3599999999988</v>
      </c>
      <c r="L56" s="93">
        <f t="shared" si="9"/>
        <v>-5.1763682583733095E-3</v>
      </c>
      <c r="M56">
        <f t="shared" si="1"/>
        <v>3</v>
      </c>
    </row>
    <row r="57" spans="1:13" x14ac:dyDescent="0.15">
      <c r="A57" s="1">
        <v>42481</v>
      </c>
      <c r="B57">
        <v>9.9700000000000006</v>
      </c>
      <c r="C57" s="93">
        <f t="shared" si="5"/>
        <v>0</v>
      </c>
      <c r="D57" s="26">
        <f>+F56*(1+L57)</f>
        <v>10.913505075275623</v>
      </c>
      <c r="F57">
        <v>10.847</v>
      </c>
      <c r="G57" s="93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 x14ac:dyDescent="0.15">
      <c r="A58" s="1">
        <v>42482</v>
      </c>
      <c r="B58">
        <v>10</v>
      </c>
      <c r="C58" s="93">
        <f t="shared" si="5"/>
        <v>3.0090270812437314E-3</v>
      </c>
      <c r="D58" s="26">
        <f>+F57*(1+L58)</f>
        <v>10.908184478643237</v>
      </c>
      <c r="F58">
        <v>10.891999999999999</v>
      </c>
      <c r="G58" s="93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 x14ac:dyDescent="0.15">
      <c r="A59" s="1">
        <v>42485</v>
      </c>
      <c r="B59">
        <v>9.93</v>
      </c>
      <c r="C59" s="93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 x14ac:dyDescent="0.15">
      <c r="A60" s="1">
        <v>42486</v>
      </c>
      <c r="B60">
        <v>10.02</v>
      </c>
      <c r="C60" s="93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 x14ac:dyDescent="0.15">
      <c r="A61" s="1">
        <v>42487</v>
      </c>
      <c r="B61">
        <v>10</v>
      </c>
      <c r="C61" s="93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 x14ac:dyDescent="0.15">
      <c r="A62" s="1">
        <v>42488</v>
      </c>
      <c r="B62">
        <v>10</v>
      </c>
      <c r="C62" s="93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 x14ac:dyDescent="0.15">
      <c r="A63" s="1">
        <v>42489</v>
      </c>
      <c r="B63">
        <v>9.9700000000000006</v>
      </c>
      <c r="C63" s="93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 x14ac:dyDescent="0.15">
      <c r="A64" s="1">
        <v>42493</v>
      </c>
      <c r="B64">
        <v>9.98</v>
      </c>
      <c r="C64" s="93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 x14ac:dyDescent="0.15">
      <c r="A65" s="1">
        <v>42494</v>
      </c>
      <c r="B65">
        <v>9.98</v>
      </c>
      <c r="C65" s="93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 x14ac:dyDescent="0.15">
      <c r="A66" s="1">
        <v>42495</v>
      </c>
      <c r="B66">
        <v>9.99</v>
      </c>
      <c r="C66" s="93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 x14ac:dyDescent="0.15">
      <c r="A67" s="1">
        <v>42496</v>
      </c>
      <c r="B67">
        <v>9.68</v>
      </c>
      <c r="C67" s="93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 x14ac:dyDescent="0.15">
      <c r="A68" s="1">
        <v>42499</v>
      </c>
      <c r="B68">
        <v>9.59</v>
      </c>
      <c r="C68" s="93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 x14ac:dyDescent="0.15">
      <c r="A69" s="1">
        <v>42500</v>
      </c>
      <c r="B69">
        <v>9.6199999999999992</v>
      </c>
      <c r="C69" s="93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 x14ac:dyDescent="0.15">
      <c r="A70" s="1">
        <v>42501</v>
      </c>
      <c r="B70">
        <v>9.57</v>
      </c>
      <c r="C70" s="93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 x14ac:dyDescent="0.15">
      <c r="A71" s="1">
        <v>42502</v>
      </c>
      <c r="B71">
        <v>9.57</v>
      </c>
      <c r="C71" s="93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 x14ac:dyDescent="0.15">
      <c r="A72" s="1">
        <v>42503</v>
      </c>
      <c r="B72">
        <v>9.5</v>
      </c>
      <c r="C72" s="93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 x14ac:dyDescent="0.15">
      <c r="A73" s="1">
        <v>42506</v>
      </c>
      <c r="B73">
        <v>9.49</v>
      </c>
      <c r="C73" s="93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 x14ac:dyDescent="0.15">
      <c r="A74" s="1">
        <v>42507</v>
      </c>
      <c r="B74">
        <v>9.5299999999999994</v>
      </c>
      <c r="C74" s="93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 x14ac:dyDescent="0.15">
      <c r="A75" s="1">
        <v>42508</v>
      </c>
      <c r="B75">
        <v>9.43</v>
      </c>
      <c r="C75" s="93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 x14ac:dyDescent="0.15">
      <c r="A76" s="1">
        <v>42509</v>
      </c>
      <c r="B76">
        <v>9.43</v>
      </c>
      <c r="C76" s="93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 x14ac:dyDescent="0.15">
      <c r="A77" s="1">
        <v>42510</v>
      </c>
      <c r="B77">
        <v>9.52</v>
      </c>
      <c r="C77" s="93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 x14ac:dyDescent="0.15">
      <c r="A78" s="1">
        <v>42513</v>
      </c>
      <c r="B78">
        <v>9.5</v>
      </c>
      <c r="C78" s="93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 x14ac:dyDescent="0.15">
      <c r="A79" s="1">
        <v>42514</v>
      </c>
      <c r="B79">
        <v>9.51</v>
      </c>
      <c r="C79" s="93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 x14ac:dyDescent="0.15">
      <c r="A80" s="1">
        <v>42515</v>
      </c>
      <c r="B80">
        <v>9.5500000000000007</v>
      </c>
      <c r="C80" s="93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 x14ac:dyDescent="0.15">
      <c r="A81" s="1">
        <v>42516</v>
      </c>
      <c r="B81">
        <v>9.57</v>
      </c>
      <c r="C81" s="93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 x14ac:dyDescent="0.15">
      <c r="A82" s="1">
        <v>42517</v>
      </c>
      <c r="B82">
        <v>9.67</v>
      </c>
      <c r="C82" s="93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 x14ac:dyDescent="0.15">
      <c r="A83" s="1">
        <v>42520</v>
      </c>
      <c r="B83">
        <v>9.68</v>
      </c>
      <c r="C83" s="93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 x14ac:dyDescent="0.15">
      <c r="A84" s="1">
        <v>42521</v>
      </c>
      <c r="B84">
        <v>10.02</v>
      </c>
      <c r="C84" s="93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 x14ac:dyDescent="0.15">
      <c r="A85" s="1">
        <v>42522</v>
      </c>
      <c r="B85">
        <v>9.9499999999999993</v>
      </c>
      <c r="C85" s="93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 x14ac:dyDescent="0.15">
      <c r="A86" s="1">
        <v>42523</v>
      </c>
      <c r="B86">
        <v>9.9700000000000006</v>
      </c>
      <c r="C86" s="93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 x14ac:dyDescent="0.15">
      <c r="A87" s="1">
        <v>42524</v>
      </c>
      <c r="B87">
        <v>9.98</v>
      </c>
      <c r="C87" s="93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 x14ac:dyDescent="0.15">
      <c r="A88" s="1">
        <v>42527</v>
      </c>
      <c r="B88">
        <v>9.9600000000000009</v>
      </c>
      <c r="C88" s="93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 x14ac:dyDescent="0.15">
      <c r="A89" s="1">
        <v>42528</v>
      </c>
      <c r="B89">
        <v>9.99</v>
      </c>
      <c r="C89" s="93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 x14ac:dyDescent="0.15">
      <c r="A90" s="1">
        <v>42529</v>
      </c>
      <c r="B90">
        <v>9.92</v>
      </c>
      <c r="C90" s="93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 x14ac:dyDescent="0.15">
      <c r="A91" s="1">
        <v>42530</v>
      </c>
      <c r="B91">
        <v>9.92</v>
      </c>
      <c r="C91" s="93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 x14ac:dyDescent="0.15">
      <c r="A92" s="1">
        <v>42531</v>
      </c>
      <c r="B92">
        <v>9.81</v>
      </c>
      <c r="C92" s="93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 x14ac:dyDescent="0.15">
      <c r="A93" s="1">
        <v>42534</v>
      </c>
      <c r="B93">
        <v>9.5500000000000007</v>
      </c>
      <c r="C93" s="93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 x14ac:dyDescent="0.15">
      <c r="A94" s="1">
        <v>42535</v>
      </c>
      <c r="B94">
        <v>9.6199999999999992</v>
      </c>
      <c r="C94" s="93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 x14ac:dyDescent="0.15">
      <c r="A95" s="1">
        <v>42536</v>
      </c>
      <c r="B95">
        <v>9.66</v>
      </c>
      <c r="C95" s="93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 x14ac:dyDescent="0.15">
      <c r="A96" s="1">
        <v>42537</v>
      </c>
      <c r="B96">
        <v>9.61</v>
      </c>
      <c r="C96" s="93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 x14ac:dyDescent="0.15">
      <c r="A97" s="1">
        <v>42538</v>
      </c>
      <c r="B97">
        <v>9.6300000000000008</v>
      </c>
      <c r="C97" s="93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 x14ac:dyDescent="0.15">
      <c r="A98" s="1">
        <v>42541</v>
      </c>
      <c r="B98">
        <v>9.7100000000000009</v>
      </c>
      <c r="C98" s="93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 x14ac:dyDescent="0.15">
      <c r="A99" s="1">
        <v>42542</v>
      </c>
      <c r="B99">
        <v>9.7799999999999994</v>
      </c>
      <c r="C99" s="93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 x14ac:dyDescent="0.15">
      <c r="A100" s="1">
        <v>42543</v>
      </c>
      <c r="B100">
        <v>9.8699999999999992</v>
      </c>
      <c r="C100" s="93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 x14ac:dyDescent="0.15">
      <c r="A101" s="1">
        <v>42544</v>
      </c>
      <c r="B101">
        <v>9.8000000000000007</v>
      </c>
      <c r="C101" s="93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 x14ac:dyDescent="0.15">
      <c r="A102" s="1">
        <v>42545</v>
      </c>
      <c r="B102">
        <v>9.6300000000000008</v>
      </c>
      <c r="C102" s="93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 x14ac:dyDescent="0.15">
      <c r="A103" s="1">
        <v>42548</v>
      </c>
      <c r="B103">
        <v>9.65</v>
      </c>
      <c r="C103" s="93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 x14ac:dyDescent="0.15">
      <c r="A104" s="1">
        <v>42549</v>
      </c>
      <c r="B104">
        <v>9.65</v>
      </c>
      <c r="C104" s="93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 x14ac:dyDescent="0.15">
      <c r="A105" s="1">
        <v>42550</v>
      </c>
      <c r="B105">
        <v>9.77</v>
      </c>
      <c r="C105" s="93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 x14ac:dyDescent="0.15">
      <c r="A106" s="1">
        <v>42551</v>
      </c>
      <c r="B106">
        <v>9.85</v>
      </c>
      <c r="C106" s="93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 x14ac:dyDescent="0.15">
      <c r="A107" s="1">
        <v>42552</v>
      </c>
      <c r="B107">
        <v>9.85</v>
      </c>
      <c r="C107" s="93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 x14ac:dyDescent="0.15">
      <c r="A108" s="1">
        <v>42555</v>
      </c>
      <c r="B108">
        <v>10.039999999999999</v>
      </c>
      <c r="C108" s="93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 x14ac:dyDescent="0.15">
      <c r="A109" s="1">
        <v>42556</v>
      </c>
      <c r="B109">
        <v>9.9700000000000006</v>
      </c>
      <c r="C109" s="93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 x14ac:dyDescent="0.15">
      <c r="A110" s="1">
        <v>42557</v>
      </c>
      <c r="B110">
        <v>9.94</v>
      </c>
      <c r="C110" s="93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 x14ac:dyDescent="0.15">
      <c r="A111" s="1">
        <v>42558</v>
      </c>
      <c r="B111">
        <v>9.9499999999999993</v>
      </c>
      <c r="C111" s="93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 x14ac:dyDescent="0.15">
      <c r="A112" s="1">
        <v>42559</v>
      </c>
      <c r="B112">
        <v>9.8800000000000008</v>
      </c>
      <c r="C112" s="93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 x14ac:dyDescent="0.15">
      <c r="A113" s="1">
        <v>42562</v>
      </c>
      <c r="B113">
        <v>9.94</v>
      </c>
      <c r="C113" s="93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 x14ac:dyDescent="0.15">
      <c r="A114" s="1">
        <v>42563</v>
      </c>
      <c r="B114">
        <v>10.18</v>
      </c>
      <c r="C114" s="93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 x14ac:dyDescent="0.15">
      <c r="A115" s="1">
        <v>42564</v>
      </c>
      <c r="B115">
        <v>10.14</v>
      </c>
      <c r="C115" s="93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 x14ac:dyDescent="0.15">
      <c r="A116" s="1">
        <v>42565</v>
      </c>
      <c r="B116">
        <v>10.14</v>
      </c>
      <c r="C116" s="93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 x14ac:dyDescent="0.15">
      <c r="A117" s="1">
        <v>42566</v>
      </c>
      <c r="B117">
        <v>10.220000000000001</v>
      </c>
      <c r="C117" s="93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 x14ac:dyDescent="0.15">
      <c r="A118" s="1">
        <v>42569</v>
      </c>
      <c r="B118">
        <v>10.220000000000001</v>
      </c>
      <c r="C118" s="93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 x14ac:dyDescent="0.15">
      <c r="A119" s="1">
        <v>42570</v>
      </c>
      <c r="B119">
        <v>10.1</v>
      </c>
      <c r="C119" s="93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 x14ac:dyDescent="0.15">
      <c r="A120" s="1">
        <v>42571</v>
      </c>
      <c r="B120">
        <v>10.08</v>
      </c>
      <c r="C120" s="93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 x14ac:dyDescent="0.15">
      <c r="A121" s="1">
        <v>42572</v>
      </c>
      <c r="B121">
        <v>10.16</v>
      </c>
      <c r="C121" s="93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 x14ac:dyDescent="0.15">
      <c r="A122" s="1">
        <v>42573</v>
      </c>
      <c r="B122">
        <v>10.08</v>
      </c>
      <c r="C122" s="93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 x14ac:dyDescent="0.15">
      <c r="A123" s="1">
        <v>42576</v>
      </c>
      <c r="B123">
        <v>10.039999999999999</v>
      </c>
      <c r="C123" s="93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 x14ac:dyDescent="0.15">
      <c r="A124" s="1">
        <v>42577</v>
      </c>
      <c r="B124">
        <v>10.18</v>
      </c>
      <c r="C124" s="93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 x14ac:dyDescent="0.15">
      <c r="A125" s="1">
        <v>42578</v>
      </c>
      <c r="B125">
        <v>10.1</v>
      </c>
      <c r="C125" s="93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 x14ac:dyDescent="0.15">
      <c r="A126" s="1">
        <v>42579</v>
      </c>
      <c r="B126">
        <v>10.16</v>
      </c>
      <c r="C126" s="93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 x14ac:dyDescent="0.15">
      <c r="A127" s="1">
        <v>42580</v>
      </c>
      <c r="B127">
        <v>10.08</v>
      </c>
      <c r="C127" s="93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 x14ac:dyDescent="0.15">
      <c r="A128" s="1">
        <v>42583</v>
      </c>
      <c r="B128">
        <v>10.1</v>
      </c>
      <c r="C128" s="93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 x14ac:dyDescent="0.15">
      <c r="A129" s="1">
        <v>42584</v>
      </c>
      <c r="B129">
        <v>10.1</v>
      </c>
      <c r="C129" s="93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 x14ac:dyDescent="0.15">
      <c r="A130" s="1">
        <v>42585</v>
      </c>
      <c r="B130">
        <v>10.08</v>
      </c>
      <c r="C130" s="93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 x14ac:dyDescent="0.15">
      <c r="A131" s="1">
        <v>42586</v>
      </c>
      <c r="B131">
        <v>10.08</v>
      </c>
      <c r="C131" s="93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 x14ac:dyDescent="0.15">
      <c r="A132" s="1">
        <v>42587</v>
      </c>
      <c r="B132">
        <v>10.119999999999999</v>
      </c>
      <c r="C132" s="93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 x14ac:dyDescent="0.15">
      <c r="A133" s="1">
        <v>42590</v>
      </c>
      <c r="B133">
        <v>10.18</v>
      </c>
      <c r="C133" s="93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 x14ac:dyDescent="0.15">
      <c r="A134" s="1">
        <v>42591</v>
      </c>
      <c r="B134">
        <v>10.24</v>
      </c>
      <c r="C134" s="93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 x14ac:dyDescent="0.15">
      <c r="A135" s="1">
        <v>42592</v>
      </c>
      <c r="B135">
        <v>10.220000000000001</v>
      </c>
      <c r="C135" s="93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 x14ac:dyDescent="0.15">
      <c r="A136" s="1">
        <v>42593</v>
      </c>
      <c r="B136">
        <v>10.28</v>
      </c>
      <c r="C136" s="93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 x14ac:dyDescent="0.15">
      <c r="A137" s="1">
        <v>42594</v>
      </c>
      <c r="B137">
        <v>10.54</v>
      </c>
      <c r="C137" s="93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 x14ac:dyDescent="0.15">
      <c r="A138" s="1">
        <v>42597</v>
      </c>
      <c r="B138">
        <v>10.9</v>
      </c>
      <c r="C138" s="93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 x14ac:dyDescent="0.15">
      <c r="A139" s="1">
        <v>42598</v>
      </c>
      <c r="B139">
        <v>10.8</v>
      </c>
      <c r="C139" s="93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 x14ac:dyDescent="0.15">
      <c r="A140" s="1">
        <v>42599</v>
      </c>
      <c r="B140">
        <v>10.76</v>
      </c>
      <c r="C140" s="93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 x14ac:dyDescent="0.15">
      <c r="A141" s="1">
        <v>42600</v>
      </c>
      <c r="B141">
        <v>10.74</v>
      </c>
      <c r="C141" s="93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 x14ac:dyDescent="0.15">
      <c r="A142" s="1">
        <v>42601</v>
      </c>
      <c r="B142">
        <v>10.7</v>
      </c>
      <c r="C142" s="93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 x14ac:dyDescent="0.15">
      <c r="A143" s="1">
        <v>42604</v>
      </c>
      <c r="B143">
        <v>10.6</v>
      </c>
      <c r="C143" s="93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 x14ac:dyDescent="0.15">
      <c r="A144" s="1">
        <v>42605</v>
      </c>
      <c r="B144">
        <v>10.72</v>
      </c>
      <c r="C144" s="93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 x14ac:dyDescent="0.15">
      <c r="A145" s="1">
        <v>42606</v>
      </c>
      <c r="B145">
        <v>10.64</v>
      </c>
      <c r="C145" s="93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 x14ac:dyDescent="0.15">
      <c r="A146" s="1">
        <v>42607</v>
      </c>
      <c r="B146">
        <v>10.62</v>
      </c>
      <c r="C146" s="93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 x14ac:dyDescent="0.15">
      <c r="A147" s="1">
        <v>42608</v>
      </c>
      <c r="B147">
        <v>10.58</v>
      </c>
      <c r="C147" s="93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 x14ac:dyDescent="0.15">
      <c r="A148" s="1">
        <v>42611</v>
      </c>
      <c r="B148">
        <v>10.52</v>
      </c>
      <c r="C148" s="93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 x14ac:dyDescent="0.15">
      <c r="A149" s="1">
        <v>42612</v>
      </c>
      <c r="B149">
        <v>10.56</v>
      </c>
      <c r="C149" s="93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 x14ac:dyDescent="0.15">
      <c r="A150" s="1">
        <v>42613</v>
      </c>
      <c r="B150">
        <v>10.56</v>
      </c>
      <c r="C150" s="93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 x14ac:dyDescent="0.15">
      <c r="A151" s="1">
        <v>42614</v>
      </c>
      <c r="B151">
        <v>10.54</v>
      </c>
      <c r="C151" s="93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 x14ac:dyDescent="0.15">
      <c r="A152" s="1">
        <v>42615</v>
      </c>
      <c r="B152">
        <v>10.6</v>
      </c>
      <c r="C152" s="93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 x14ac:dyDescent="0.15">
      <c r="A153" s="1">
        <v>42618</v>
      </c>
      <c r="B153">
        <v>10.68</v>
      </c>
      <c r="C153" s="93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 x14ac:dyDescent="0.15">
      <c r="A154" s="1">
        <v>42619</v>
      </c>
      <c r="B154">
        <v>10.72</v>
      </c>
      <c r="C154" s="93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 x14ac:dyDescent="0.15">
      <c r="A155" s="1">
        <v>42620</v>
      </c>
      <c r="B155">
        <v>10.78</v>
      </c>
      <c r="C155" s="93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 x14ac:dyDescent="0.15">
      <c r="A156" s="1">
        <v>42621</v>
      </c>
      <c r="B156">
        <v>10.82</v>
      </c>
      <c r="C156" s="93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 x14ac:dyDescent="0.15">
      <c r="A157" s="1">
        <v>42622</v>
      </c>
      <c r="B157">
        <v>10.76</v>
      </c>
      <c r="C157" s="93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 x14ac:dyDescent="0.15">
      <c r="A158" s="1">
        <v>42625</v>
      </c>
      <c r="B158">
        <v>10.44</v>
      </c>
      <c r="C158" s="93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 x14ac:dyDescent="0.15">
      <c r="A159" s="1">
        <v>42626</v>
      </c>
      <c r="B159">
        <v>10.46</v>
      </c>
      <c r="C159" s="93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 x14ac:dyDescent="0.15">
      <c r="A160" s="1">
        <v>42627</v>
      </c>
      <c r="B160">
        <v>10.38</v>
      </c>
      <c r="C160" s="93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 x14ac:dyDescent="0.15">
      <c r="A161" s="1">
        <v>42628</v>
      </c>
      <c r="B161">
        <v>10.4</v>
      </c>
      <c r="C161" s="93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 x14ac:dyDescent="0.15">
      <c r="A162" s="1">
        <v>42632</v>
      </c>
      <c r="B162">
        <v>10.44</v>
      </c>
      <c r="C162" s="93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 x14ac:dyDescent="0.15">
      <c r="A163" s="1">
        <v>42633</v>
      </c>
      <c r="B163">
        <v>10.48</v>
      </c>
      <c r="C163" s="93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 x14ac:dyDescent="0.15">
      <c r="A164" s="1">
        <v>42634</v>
      </c>
      <c r="B164">
        <v>10.5</v>
      </c>
      <c r="C164" s="93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 x14ac:dyDescent="0.15">
      <c r="A165" s="1">
        <v>42635</v>
      </c>
      <c r="B165">
        <v>10.58</v>
      </c>
      <c r="C165" s="93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 x14ac:dyDescent="0.15">
      <c r="A166" s="1">
        <v>42636</v>
      </c>
      <c r="B166">
        <v>10.48</v>
      </c>
      <c r="C166" s="93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 x14ac:dyDescent="0.15">
      <c r="A167" s="1">
        <v>42639</v>
      </c>
      <c r="B167">
        <v>10.34</v>
      </c>
      <c r="C167" s="93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 x14ac:dyDescent="0.15">
      <c r="A168" s="1">
        <v>42640</v>
      </c>
      <c r="B168">
        <v>10.4</v>
      </c>
      <c r="C168" s="93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 x14ac:dyDescent="0.15">
      <c r="A169" s="1">
        <v>42641</v>
      </c>
      <c r="B169">
        <v>10.42</v>
      </c>
      <c r="C169" s="93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 x14ac:dyDescent="0.15">
      <c r="A170" s="1">
        <v>42642</v>
      </c>
      <c r="B170">
        <v>10.5</v>
      </c>
      <c r="C170" s="93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 x14ac:dyDescent="0.15">
      <c r="A171" s="1">
        <v>42643</v>
      </c>
      <c r="B171">
        <v>10.42</v>
      </c>
      <c r="C171" s="93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 x14ac:dyDescent="0.15">
      <c r="A172" s="1">
        <v>42646</v>
      </c>
      <c r="B172">
        <v>10.44</v>
      </c>
      <c r="C172" s="93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 x14ac:dyDescent="0.15">
      <c r="A173" s="1">
        <v>42647</v>
      </c>
      <c r="B173">
        <v>10.48</v>
      </c>
      <c r="C173" s="93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 x14ac:dyDescent="0.15">
      <c r="A174" s="1">
        <v>42648</v>
      </c>
      <c r="B174">
        <v>10.5</v>
      </c>
      <c r="C174" s="93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 x14ac:dyDescent="0.15">
      <c r="A175" s="1">
        <v>42649</v>
      </c>
      <c r="B175">
        <v>10.58</v>
      </c>
      <c r="C175" s="93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 x14ac:dyDescent="0.15">
      <c r="A176" s="1">
        <v>42650</v>
      </c>
      <c r="B176">
        <v>10.58</v>
      </c>
      <c r="C176" s="93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 x14ac:dyDescent="0.15">
      <c r="A177" s="1">
        <v>42653</v>
      </c>
      <c r="B177">
        <v>10.58</v>
      </c>
      <c r="C177" s="93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 x14ac:dyDescent="0.15">
      <c r="A178" s="1">
        <v>42654</v>
      </c>
      <c r="B178">
        <v>10.56</v>
      </c>
      <c r="C178" s="93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 x14ac:dyDescent="0.15">
      <c r="A179" s="1">
        <v>42655</v>
      </c>
      <c r="B179">
        <v>10.48</v>
      </c>
      <c r="C179" s="93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 x14ac:dyDescent="0.15">
      <c r="A180" s="1">
        <v>42656</v>
      </c>
      <c r="B180">
        <v>10.46</v>
      </c>
      <c r="C180" s="93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 x14ac:dyDescent="0.15">
      <c r="A181" s="1">
        <v>42657</v>
      </c>
      <c r="B181">
        <v>10.54</v>
      </c>
      <c r="C181" s="93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 x14ac:dyDescent="0.15">
      <c r="A182" s="1">
        <v>42660</v>
      </c>
      <c r="B182">
        <v>10.46</v>
      </c>
      <c r="C182" s="93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 x14ac:dyDescent="0.15">
      <c r="A183" s="1">
        <v>42661</v>
      </c>
      <c r="B183">
        <v>10.62</v>
      </c>
      <c r="C183" s="93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 x14ac:dyDescent="0.15">
      <c r="A184" s="1">
        <v>42662</v>
      </c>
      <c r="B184">
        <v>10.56</v>
      </c>
      <c r="C184" s="93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 x14ac:dyDescent="0.15">
      <c r="A185" s="1">
        <v>42663</v>
      </c>
      <c r="B185">
        <v>10.58</v>
      </c>
      <c r="C185" s="93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 x14ac:dyDescent="0.15">
      <c r="A186" s="1">
        <v>42664</v>
      </c>
      <c r="B186">
        <v>10.58</v>
      </c>
      <c r="C186" s="93">
        <f t="shared" si="28"/>
        <v>0</v>
      </c>
      <c r="D186" s="26">
        <f t="shared" si="32"/>
        <v>11.337675615141471</v>
      </c>
      <c r="E186" s="26"/>
      <c r="F186" s="92">
        <v>11.256</v>
      </c>
      <c r="G186" s="25">
        <f t="shared" si="27"/>
        <v>-6.6828126051656889E-2</v>
      </c>
      <c r="H186" s="25"/>
      <c r="I186" s="93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 x14ac:dyDescent="0.15">
      <c r="A187" s="1">
        <v>42667</v>
      </c>
      <c r="B187">
        <v>10.76</v>
      </c>
      <c r="C187" s="93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93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 x14ac:dyDescent="0.15">
      <c r="A188" s="1">
        <v>42668</v>
      </c>
      <c r="B188">
        <v>10.72</v>
      </c>
      <c r="C188" s="93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 x14ac:dyDescent="0.15">
      <c r="A189" s="1">
        <v>42669</v>
      </c>
      <c r="B189">
        <v>10.64</v>
      </c>
      <c r="C189" s="93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 x14ac:dyDescent="0.15">
      <c r="A190" s="1">
        <v>42670</v>
      </c>
      <c r="B190">
        <v>10.6</v>
      </c>
      <c r="C190" s="93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 x14ac:dyDescent="0.15">
      <c r="A191" s="1">
        <v>42671</v>
      </c>
      <c r="B191">
        <v>10.64</v>
      </c>
      <c r="C191" s="93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 x14ac:dyDescent="0.15">
      <c r="A192" s="1">
        <v>42674</v>
      </c>
      <c r="B192">
        <v>10.98</v>
      </c>
      <c r="C192" s="93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 x14ac:dyDescent="0.15">
      <c r="A193" s="1">
        <f>A192+1</f>
        <v>42675</v>
      </c>
      <c r="B193">
        <v>11.1</v>
      </c>
      <c r="C193" s="93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 x14ac:dyDescent="0.15">
      <c r="A194" s="1">
        <f>A193+1</f>
        <v>42676</v>
      </c>
      <c r="B194">
        <v>11.06</v>
      </c>
      <c r="C194" s="93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 x14ac:dyDescent="0.15">
      <c r="A195" s="1">
        <f>A194+1</f>
        <v>42677</v>
      </c>
      <c r="B195">
        <v>11.18</v>
      </c>
      <c r="C195" s="93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 x14ac:dyDescent="0.15">
      <c r="A196" s="1">
        <f>A195+1</f>
        <v>42678</v>
      </c>
      <c r="B196">
        <v>11.18</v>
      </c>
      <c r="C196" s="93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 x14ac:dyDescent="0.15">
      <c r="A197" s="1">
        <v>42681</v>
      </c>
      <c r="B197">
        <v>11.16</v>
      </c>
      <c r="C197" s="93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 x14ac:dyDescent="0.15">
      <c r="A198" s="1">
        <v>42682</v>
      </c>
      <c r="B198">
        <v>11.22</v>
      </c>
      <c r="C198" s="93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 x14ac:dyDescent="0.15">
      <c r="A199" s="1">
        <v>42683</v>
      </c>
      <c r="B199">
        <v>11.14</v>
      </c>
      <c r="C199" s="93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 x14ac:dyDescent="0.15">
      <c r="A200" s="1">
        <v>42684</v>
      </c>
      <c r="B200">
        <v>11.26</v>
      </c>
      <c r="C200" s="93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 x14ac:dyDescent="0.15">
      <c r="A201" s="1">
        <v>42685</v>
      </c>
      <c r="B201">
        <v>11.38</v>
      </c>
      <c r="C201" s="93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 x14ac:dyDescent="0.15">
      <c r="A202" s="1">
        <v>42688</v>
      </c>
      <c r="B202">
        <v>11.36</v>
      </c>
      <c r="C202" s="93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 x14ac:dyDescent="0.15">
      <c r="A203" s="1">
        <v>42689</v>
      </c>
      <c r="B203">
        <v>11.26</v>
      </c>
      <c r="C203" s="93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 x14ac:dyDescent="0.15">
      <c r="A204" s="1">
        <v>42690</v>
      </c>
      <c r="B204">
        <v>11.2</v>
      </c>
      <c r="C204" s="93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 x14ac:dyDescent="0.15">
      <c r="A205" s="1">
        <v>42691</v>
      </c>
      <c r="B205">
        <v>11.16</v>
      </c>
      <c r="C205" s="93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 x14ac:dyDescent="0.15">
      <c r="A206" s="1">
        <v>42692</v>
      </c>
      <c r="B206">
        <v>11.18</v>
      </c>
      <c r="C206" s="93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 x14ac:dyDescent="0.15">
      <c r="A207" s="1">
        <v>42695</v>
      </c>
      <c r="B207">
        <v>11.28</v>
      </c>
      <c r="C207" s="93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 x14ac:dyDescent="0.15">
      <c r="A208" s="1">
        <v>42696</v>
      </c>
      <c r="B208">
        <v>11.38</v>
      </c>
      <c r="C208" s="93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 x14ac:dyDescent="0.15">
      <c r="A209" s="1">
        <v>42697</v>
      </c>
      <c r="B209">
        <v>11.44</v>
      </c>
      <c r="C209" s="93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 x14ac:dyDescent="0.15">
      <c r="A210" s="1">
        <v>42698</v>
      </c>
      <c r="B210">
        <v>11.44</v>
      </c>
      <c r="C210" s="93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 x14ac:dyDescent="0.15">
      <c r="A211" s="1">
        <v>42699</v>
      </c>
      <c r="B211">
        <v>11.6</v>
      </c>
      <c r="C211" s="93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 x14ac:dyDescent="0.15">
      <c r="A212" s="1">
        <v>42702</v>
      </c>
      <c r="B212">
        <v>11.68</v>
      </c>
      <c r="C212" s="93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 x14ac:dyDescent="0.15">
      <c r="A213" s="1">
        <v>42703</v>
      </c>
      <c r="B213">
        <v>11.82</v>
      </c>
      <c r="C213" s="93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 x14ac:dyDescent="0.15">
      <c r="A214" s="1">
        <v>42704</v>
      </c>
      <c r="B214">
        <v>11.72</v>
      </c>
      <c r="C214" s="93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 x14ac:dyDescent="0.15">
      <c r="A215" s="1">
        <v>42705</v>
      </c>
      <c r="B215">
        <v>11.78</v>
      </c>
      <c r="C215" s="93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 x14ac:dyDescent="0.15">
      <c r="A216" s="1">
        <v>42706</v>
      </c>
      <c r="B216">
        <v>11.7</v>
      </c>
      <c r="C216" s="93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 x14ac:dyDescent="0.15">
      <c r="A217" s="1">
        <v>42709</v>
      </c>
      <c r="B217">
        <v>11.54</v>
      </c>
      <c r="C217" s="93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 x14ac:dyDescent="0.15">
      <c r="A218" s="1">
        <v>42710</v>
      </c>
      <c r="B218">
        <v>11.56</v>
      </c>
      <c r="C218" s="93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 x14ac:dyDescent="0.15">
      <c r="A219" s="1">
        <v>42711</v>
      </c>
      <c r="B219">
        <v>11.54</v>
      </c>
      <c r="C219" s="93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 x14ac:dyDescent="0.15">
      <c r="A220" s="1">
        <v>42712</v>
      </c>
      <c r="B220">
        <v>11.56</v>
      </c>
      <c r="C220" s="93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 x14ac:dyDescent="0.15">
      <c r="A221" s="1">
        <v>42713</v>
      </c>
      <c r="B221">
        <v>11.68</v>
      </c>
      <c r="C221" s="93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 x14ac:dyDescent="0.15">
      <c r="A222" s="1">
        <v>42716</v>
      </c>
      <c r="B222">
        <v>11.28</v>
      </c>
      <c r="C222" s="93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 x14ac:dyDescent="0.15">
      <c r="A223" s="1">
        <v>42717</v>
      </c>
      <c r="B223">
        <v>11.2</v>
      </c>
      <c r="C223" s="93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 x14ac:dyDescent="0.15">
      <c r="A224" s="1">
        <v>42718</v>
      </c>
      <c r="B224">
        <v>11.18</v>
      </c>
      <c r="C224" s="93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 x14ac:dyDescent="0.15">
      <c r="A225" s="1">
        <v>42719</v>
      </c>
      <c r="B225">
        <v>10.9</v>
      </c>
      <c r="C225" s="93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 x14ac:dyDescent="0.15">
      <c r="A226" s="1">
        <v>42720</v>
      </c>
      <c r="B226">
        <v>10.86</v>
      </c>
      <c r="C226" s="93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 x14ac:dyDescent="0.15">
      <c r="A227" s="1">
        <v>42723</v>
      </c>
      <c r="B227">
        <v>10.74</v>
      </c>
      <c r="C227" s="93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 x14ac:dyDescent="0.15">
      <c r="A228" s="1">
        <v>42724</v>
      </c>
      <c r="B228">
        <v>10.64</v>
      </c>
      <c r="C228" s="93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 x14ac:dyDescent="0.15">
      <c r="A229" s="1">
        <v>42725</v>
      </c>
      <c r="B229">
        <v>10.7</v>
      </c>
      <c r="C229" s="93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 x14ac:dyDescent="0.15">
      <c r="A230" s="1">
        <v>42726</v>
      </c>
      <c r="B230">
        <v>10.66</v>
      </c>
      <c r="C230" s="93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 x14ac:dyDescent="0.15">
      <c r="A231" s="1">
        <v>42727</v>
      </c>
      <c r="B231">
        <v>10.58</v>
      </c>
      <c r="C231" s="93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 x14ac:dyDescent="0.15">
      <c r="A232" s="1">
        <v>42730</v>
      </c>
      <c r="B232">
        <v>10.58</v>
      </c>
      <c r="C232" s="93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 x14ac:dyDescent="0.15">
      <c r="A233" s="1">
        <v>42731</v>
      </c>
      <c r="B233">
        <v>10.58</v>
      </c>
      <c r="C233" s="93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 x14ac:dyDescent="0.15">
      <c r="A234" s="1">
        <v>42732</v>
      </c>
      <c r="B234">
        <v>10.54</v>
      </c>
      <c r="C234" s="93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 x14ac:dyDescent="0.15">
      <c r="A235" s="1">
        <v>42733</v>
      </c>
      <c r="B235">
        <v>10.52</v>
      </c>
      <c r="C235" s="93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 x14ac:dyDescent="0.15">
      <c r="A236" s="1">
        <v>42734</v>
      </c>
      <c r="B236">
        <v>10.54</v>
      </c>
      <c r="C236" s="93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104</v>
      </c>
    </row>
    <row r="237" spans="1:14" x14ac:dyDescent="0.15">
      <c r="A237" s="1">
        <v>42738</v>
      </c>
      <c r="B237">
        <v>10.68</v>
      </c>
      <c r="C237" s="93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105</v>
      </c>
    </row>
    <row r="238" spans="1:14" x14ac:dyDescent="0.15">
      <c r="A238" s="1">
        <v>42739</v>
      </c>
      <c r="B238">
        <v>10.8</v>
      </c>
      <c r="C238" s="93">
        <f t="shared" si="37"/>
        <v>1.1235955056179803E-2</v>
      </c>
      <c r="D238" s="26">
        <f t="shared" si="41"/>
        <v>11.015841368278823</v>
      </c>
      <c r="E238" s="26">
        <f>D238*(1-VLOOKUP(A238,FX!A:K,9,0))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(+B238/(D238*(1-VLOOKUP(A238,FX!A:K,9,0)))-1)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93">
        <f t="shared" si="37"/>
        <v>9.2592592592593004E-3</v>
      </c>
      <c r="D239" s="26">
        <f t="shared" si="41"/>
        <v>11.006600386905966</v>
      </c>
      <c r="E239" s="26">
        <f>D239*(1-VLOOKUP(A239,FX!A:K,9,0))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(+B239/(D239*(1-VLOOKUP(A239,FX!A:K,9,0)))-1)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115</v>
      </c>
    </row>
    <row r="240" spans="1:14" x14ac:dyDescent="0.15">
      <c r="A240" s="1">
        <v>42741</v>
      </c>
      <c r="B240">
        <v>10.86</v>
      </c>
      <c r="C240" s="93">
        <f t="shared" si="37"/>
        <v>-3.6697247706423131E-3</v>
      </c>
      <c r="D240" s="26">
        <f t="shared" si="41"/>
        <v>10.984239100229926</v>
      </c>
      <c r="E240" s="26">
        <f>D240*(1-VLOOKUP(A240,FX!A:K,9,0))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(+B240/(D240*(1-VLOOKUP(A240,FX!A:K,9,0)))-1)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 x14ac:dyDescent="0.15">
      <c r="A241" s="1">
        <v>42744</v>
      </c>
      <c r="B241">
        <v>10.86</v>
      </c>
      <c r="C241" s="93">
        <f t="shared" si="37"/>
        <v>0</v>
      </c>
      <c r="D241" s="26">
        <f t="shared" si="41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(+B241/(D241*(1-VLOOKUP(A241,FX!A:K,9,0)))-1)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 x14ac:dyDescent="0.15">
      <c r="A242" s="1">
        <v>42745</v>
      </c>
      <c r="B242">
        <v>10.86</v>
      </c>
      <c r="C242" s="93">
        <f t="shared" si="37"/>
        <v>0</v>
      </c>
      <c r="D242" s="26">
        <f t="shared" si="41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(+B242/(D242*(1-VLOOKUP(A242,FX!A:K,9,0)))-1)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 x14ac:dyDescent="0.15">
      <c r="A243" s="1">
        <v>42746</v>
      </c>
      <c r="B243">
        <v>10.84</v>
      </c>
      <c r="C243" s="93">
        <f t="shared" si="37"/>
        <v>-1.8416206261510082E-3</v>
      </c>
      <c r="D243" s="26">
        <f t="shared" si="41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(+B243/(D243*(1-VLOOKUP(A243,FX!A:K,9,0)))-1)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120</v>
      </c>
    </row>
    <row r="244" spans="1:14" x14ac:dyDescent="0.15">
      <c r="A244" s="1">
        <v>42747</v>
      </c>
      <c r="B244">
        <v>10.84</v>
      </c>
      <c r="C244" s="93">
        <f t="shared" si="37"/>
        <v>0</v>
      </c>
      <c r="D244" s="26">
        <f t="shared" si="41"/>
        <v>10.950760920758214</v>
      </c>
      <c r="E244" s="26">
        <f>D244*(1-VLOOKUP(A244,FX!A:K,9,0))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(+B244/(D244*(1-VLOOKUP(A244,FX!A:K,9,0)))-1)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7" x14ac:dyDescent="0.15">
      <c r="A245" s="1">
        <v>42748</v>
      </c>
      <c r="B245">
        <v>10.9</v>
      </c>
      <c r="C245" s="93">
        <f t="shared" si="37"/>
        <v>5.5350553505535416E-3</v>
      </c>
      <c r="D245" s="26">
        <f t="shared" si="41"/>
        <v>11.023237114510369</v>
      </c>
      <c r="E245" s="26">
        <f>D245*(1-VLOOKUP(A245,FX!A:K,9,0))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(+B245/(D245*(1-VLOOKUP(A245,FX!A:K,9,0)))-1)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131</v>
      </c>
    </row>
    <row r="246" spans="1:14" x14ac:dyDescent="0.15">
      <c r="A246" s="1">
        <v>42751</v>
      </c>
      <c r="B246">
        <v>10.94</v>
      </c>
      <c r="C246" s="93">
        <f t="shared" si="37"/>
        <v>3.669724770642091E-3</v>
      </c>
      <c r="D246" s="26">
        <f t="shared" si="41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(+B246/(D246*(1-VLOOKUP(A246,FX!A:K,9,0)))-1)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 x14ac:dyDescent="0.15">
      <c r="A247" s="1">
        <v>42752</v>
      </c>
      <c r="B247">
        <v>10.96</v>
      </c>
      <c r="C247" s="93">
        <f t="shared" si="37"/>
        <v>1.8281535648996261E-3</v>
      </c>
      <c r="D247" s="26">
        <f t="shared" si="41"/>
        <v>11.155951409704539</v>
      </c>
      <c r="E247" s="26">
        <f>D247*(1-VLOOKUP(A247,FX!A:K,9,0))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(+B247/(D247*(1-VLOOKUP(A247,FX!A:K,9,0)))-1)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 x14ac:dyDescent="0.15">
      <c r="A248" s="1">
        <v>42753</v>
      </c>
      <c r="B248">
        <v>11.04</v>
      </c>
      <c r="C248" s="93">
        <f t="shared" si="37"/>
        <v>7.2992700729925808E-3</v>
      </c>
      <c r="D248" s="26">
        <f t="shared" si="41"/>
        <v>11.209156720535681</v>
      </c>
      <c r="E248" s="26">
        <f>D248*(1-VLOOKUP(A248,FX!A:K,9,0))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(+B248/(D248*(1-VLOOKUP(A248,FX!A:K,9,0)))-1)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 x14ac:dyDescent="0.15">
      <c r="A249" s="1">
        <v>42754</v>
      </c>
      <c r="B249">
        <v>10.96</v>
      </c>
      <c r="C249" s="93">
        <f t="shared" si="37"/>
        <v>-7.246376811594013E-3</v>
      </c>
      <c r="D249" s="26">
        <f t="shared" ref="D249:D273" si="42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(+B249/(D249*(1-VLOOKUP(A249,FX!A:K,9,0)))-1)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7" x14ac:dyDescent="0.15">
      <c r="A250" s="1">
        <v>42755</v>
      </c>
      <c r="B250">
        <v>10.98</v>
      </c>
      <c r="C250" s="93">
        <f t="shared" si="37"/>
        <v>1.8248175182480342E-3</v>
      </c>
      <c r="D250" s="26">
        <f t="shared" si="42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(+B250/(D250*(1-VLOOKUP(A250,FX!A:K,9,0)))-1)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137</v>
      </c>
    </row>
    <row r="251" spans="1:14" x14ac:dyDescent="0.15">
      <c r="A251" s="1">
        <v>42758</v>
      </c>
      <c r="B251">
        <v>11</v>
      </c>
      <c r="C251" s="93">
        <f t="shared" si="37"/>
        <v>1.8214936247722413E-3</v>
      </c>
      <c r="D251" s="26">
        <f t="shared" si="42"/>
        <v>11.282374381522427</v>
      </c>
      <c r="E251" s="26">
        <f>D251*(1-VLOOKUP(A251,FX!A:K,9,0))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(+B251/(D251*(1-VLOOKUP(A251,FX!A:K,9,0)))-1)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 x14ac:dyDescent="0.15">
      <c r="A252" s="1">
        <v>42759</v>
      </c>
      <c r="B252">
        <v>11.04</v>
      </c>
      <c r="C252" s="93">
        <f t="shared" si="37"/>
        <v>3.6363636363636598E-3</v>
      </c>
      <c r="D252" s="26">
        <f t="shared" si="42"/>
        <v>11.34207908502268</v>
      </c>
      <c r="E252" s="26">
        <f>D252*(1-VLOOKUP(A252,FX!A:K,9,0))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(+B252/(D252*(1-VLOOKUP(A252,FX!A:K,9,0)))-1)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 x14ac:dyDescent="0.15">
      <c r="A253" s="1">
        <v>42760</v>
      </c>
      <c r="B253">
        <v>11.06</v>
      </c>
      <c r="C253" s="93">
        <f t="shared" si="37"/>
        <v>1.8115942028986698E-3</v>
      </c>
      <c r="D253" s="26">
        <f t="shared" si="42"/>
        <v>11.404236713359289</v>
      </c>
      <c r="E253" s="26">
        <f>D253*(1-VLOOKUP(A253,FX!A:K,9,0))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(+B253/(D253*(1-VLOOKUP(A253,FX!A:K,9,0)))-1)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 x14ac:dyDescent="0.15">
      <c r="A254" s="1">
        <v>42761</v>
      </c>
      <c r="B254">
        <v>11.14</v>
      </c>
      <c r="C254" s="93">
        <f t="shared" si="37"/>
        <v>7.2332730560578096E-3</v>
      </c>
      <c r="D254" s="26">
        <f t="shared" si="42"/>
        <v>11.392655791339292</v>
      </c>
      <c r="E254" s="26">
        <f>D254*(1-VLOOKUP(A254,FX!A:K,9,0))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(+B254/(D254*(1-VLOOKUP(A254,FX!A:K,9,0)))-1)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 x14ac:dyDescent="0.15">
      <c r="A255" s="1">
        <v>42762</v>
      </c>
      <c r="B255">
        <v>11.14</v>
      </c>
      <c r="C255" s="93">
        <f t="shared" si="37"/>
        <v>0</v>
      </c>
      <c r="D255" s="26">
        <f t="shared" si="42"/>
        <v>11.394</v>
      </c>
      <c r="E255" s="26">
        <f>D255*(1-VLOOKUP(A255,FX!A:K,9,0))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(+B255/(D255*(1-VLOOKUP(A255,FX!A:K,9,0)))-1)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7" x14ac:dyDescent="0.15">
      <c r="A256" s="1">
        <v>42767</v>
      </c>
      <c r="B256">
        <v>11.14</v>
      </c>
      <c r="C256" s="93">
        <f t="shared" si="37"/>
        <v>0</v>
      </c>
      <c r="D256" s="26">
        <f t="shared" si="42"/>
        <v>11.394</v>
      </c>
      <c r="E256" s="26">
        <f>D256*(1-VLOOKUP(A256,FX!A:K,9,0))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(+B256/(D256*(1-VLOOKUP(A256,FX!A:K,9,0)))-1)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150</v>
      </c>
    </row>
    <row r="257" spans="1:14" x14ac:dyDescent="0.15">
      <c r="A257" s="1">
        <v>42768</v>
      </c>
      <c r="B257">
        <v>11.14</v>
      </c>
      <c r="C257" s="93">
        <f t="shared" si="37"/>
        <v>0</v>
      </c>
      <c r="D257" s="26">
        <f t="shared" si="42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(+B257/(D257*(1-VLOOKUP(A257,FX!A:K,9,0)))-1)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152</v>
      </c>
    </row>
    <row r="258" spans="1:14" x14ac:dyDescent="0.15">
      <c r="A258" s="1">
        <v>42769</v>
      </c>
      <c r="B258">
        <v>11.04</v>
      </c>
      <c r="C258" s="93">
        <f t="shared" si="37"/>
        <v>-8.9766606822263562E-3</v>
      </c>
      <c r="D258" s="26">
        <f t="shared" si="42"/>
        <v>11.273425411421359</v>
      </c>
      <c r="E258" s="26">
        <f>D258*(1-VLOOKUP(A258,FX!A:K,9,0))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(+B258/(D258*(1-VLOOKUP(A258,FX!A:K,9,0)))-1)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 x14ac:dyDescent="0.15">
      <c r="A259" s="1">
        <v>42772</v>
      </c>
      <c r="B259">
        <v>11.1</v>
      </c>
      <c r="C259" s="93">
        <f t="shared" si="37"/>
        <v>5.4347826086957873E-3</v>
      </c>
      <c r="D259" s="26">
        <f t="shared" si="42"/>
        <v>11.298513707614454</v>
      </c>
      <c r="E259" s="26">
        <f>D259*(1-VLOOKUP(A259,FX!A:K,9,0))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(+B259/(D259*(1-VLOOKUP(A259,FX!A:K,9,0)))-1)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167</v>
      </c>
    </row>
    <row r="260" spans="1:14" x14ac:dyDescent="0.15">
      <c r="A260" s="1">
        <v>42773</v>
      </c>
      <c r="B260">
        <v>11</v>
      </c>
      <c r="C260" s="93">
        <f t="shared" si="37"/>
        <v>-9.009009009009028E-3</v>
      </c>
      <c r="D260" s="26">
        <f t="shared" si="42"/>
        <v>11.254871981097265</v>
      </c>
      <c r="E260" s="26">
        <f>D260*(1-VLOOKUP(A260,FX!A:K,9,0))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(+B260/(D260*(1-VLOOKUP(A260,FX!A:K,9,0)))-1)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 x14ac:dyDescent="0.15">
      <c r="A261" s="1">
        <v>42774</v>
      </c>
      <c r="B261">
        <v>11.04</v>
      </c>
      <c r="C261" s="93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D261*(1-VLOOKUP(A261,FX!A:K,9,0))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(+B261/(D261*(1-VLOOKUP(A261,FX!A:K,9,0)))-1)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178</v>
      </c>
    </row>
    <row r="262" spans="1:14" x14ac:dyDescent="0.15">
      <c r="A262" s="1">
        <v>42775</v>
      </c>
      <c r="B262">
        <v>11.1</v>
      </c>
      <c r="C262" s="93">
        <f t="shared" si="46"/>
        <v>5.4347826086957873E-3</v>
      </c>
      <c r="D262" s="26">
        <f t="shared" si="42"/>
        <v>11.295940062622012</v>
      </c>
      <c r="E262" s="26">
        <f>D262*(1-VLOOKUP(A262,FX!A:K,9,0))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(+B262/(D262*(1-VLOOKUP(A262,FX!A:K,9,0)))-1)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4" x14ac:dyDescent="0.15">
      <c r="A263" s="1">
        <v>42776</v>
      </c>
      <c r="B263">
        <v>11.24</v>
      </c>
      <c r="C263" s="93">
        <f t="shared" si="46"/>
        <v>1.2612612612612706E-2</v>
      </c>
      <c r="D263" s="26">
        <f t="shared" si="42"/>
        <v>11.387728801274426</v>
      </c>
      <c r="E263" s="26">
        <f>D263*(1-VLOOKUP(A263,FX!A:K,9,0))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(+B263/(D263*(1-VLOOKUP(A263,FX!A:K,9,0)))-1)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187</v>
      </c>
    </row>
    <row r="264" spans="1:14" x14ac:dyDescent="0.15">
      <c r="A264" s="1">
        <v>42779</v>
      </c>
      <c r="B264">
        <v>11.34</v>
      </c>
      <c r="C264" s="93">
        <f t="shared" si="46"/>
        <v>8.8967971530249379E-3</v>
      </c>
      <c r="D264" s="26">
        <f t="shared" si="42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(+B264/(D264*(1-VLOOKUP(A264,FX!A:K,9,0)))-1)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7" x14ac:dyDescent="0.15">
      <c r="A265" s="1">
        <v>42780</v>
      </c>
      <c r="B265">
        <v>11.32</v>
      </c>
      <c r="C265" s="93">
        <f t="shared" si="46"/>
        <v>-1.7636684303350414E-3</v>
      </c>
      <c r="D265" s="26">
        <f t="shared" si="42"/>
        <v>11.39727466122185</v>
      </c>
      <c r="E265" s="26">
        <f>D265*(1-VLOOKUP(A265,FX!A:K,9,0))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(+B265/(D265*(1-VLOOKUP(A265,FX!A:K,9,0)))-1)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193</v>
      </c>
    </row>
    <row r="266" spans="1:14" x14ac:dyDescent="0.15">
      <c r="A266" s="1">
        <v>42781</v>
      </c>
      <c r="B266">
        <v>11.34</v>
      </c>
      <c r="C266" s="93">
        <f t="shared" si="46"/>
        <v>1.7667844522968323E-3</v>
      </c>
      <c r="D266" s="26">
        <f t="shared" si="42"/>
        <v>11.435172475854877</v>
      </c>
      <c r="E266" s="26">
        <f>D266*(1-VLOOKUP(A266,FX!A:K,9,0))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(+B266/(D266*(1-VLOOKUP(A266,FX!A:K,9,0)))-1)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 x14ac:dyDescent="0.15">
      <c r="A267" s="1">
        <v>42782</v>
      </c>
      <c r="B267">
        <v>11.38</v>
      </c>
      <c r="C267" s="93">
        <f t="shared" si="46"/>
        <v>3.5273368606703048E-3</v>
      </c>
      <c r="D267" s="26">
        <f t="shared" si="42"/>
        <v>11.494746503148317</v>
      </c>
      <c r="E267" s="26">
        <f>D267*(1-VLOOKUP(A267,FX!A:K,9,0))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(+B267/(D267*(1-VLOOKUP(A267,FX!A:K,9,0)))-1)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 x14ac:dyDescent="0.15">
      <c r="A268" s="1">
        <v>42783</v>
      </c>
      <c r="B268">
        <v>11.32</v>
      </c>
      <c r="C268" s="93">
        <f t="shared" si="46"/>
        <v>-5.2724077328647478E-3</v>
      </c>
      <c r="D268" s="26">
        <f t="shared" si="42"/>
        <v>11.432996278537656</v>
      </c>
      <c r="E268" s="26">
        <f>D268*(1-VLOOKUP(A268,FX!A:K,9,0))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(+B268/(D268*(1-VLOOKUP(A268,FX!A:K,9,0)))-1)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 x14ac:dyDescent="0.15">
      <c r="A269" s="1">
        <v>42786</v>
      </c>
      <c r="B269">
        <v>11.5</v>
      </c>
      <c r="C269" s="93">
        <f t="shared" si="46"/>
        <v>1.5901060070671269E-2</v>
      </c>
      <c r="D269" s="26">
        <f t="shared" si="42"/>
        <v>11.634698138136985</v>
      </c>
      <c r="E269" s="26">
        <f>D269*(1-VLOOKUP(A269,FX!A:K,9,0))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(+B269/(D269*(1-VLOOKUP(A269,FX!A:K,9,0)))-1)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 x14ac:dyDescent="0.15">
      <c r="A270" s="1">
        <v>42787</v>
      </c>
      <c r="B270">
        <v>11.44</v>
      </c>
      <c r="C270" s="93">
        <f t="shared" si="46"/>
        <v>-5.2173913043478404E-3</v>
      </c>
      <c r="D270" s="26">
        <f t="shared" si="42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(+B270/(D270*(1-VLOOKUP(A270,FX!A:K,9,0)))-1)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 x14ac:dyDescent="0.15">
      <c r="A271" s="1">
        <v>42788</v>
      </c>
      <c r="B271">
        <v>11.46</v>
      </c>
      <c r="C271" s="93">
        <f t="shared" si="46"/>
        <v>1.7482517482518833E-3</v>
      </c>
      <c r="D271" s="26">
        <f t="shared" si="42"/>
        <v>11.593486112581381</v>
      </c>
      <c r="E271" s="26">
        <f>D271*(1-VLOOKUP(A271,FX!A:K,9,0))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(+B271/(D271*(1-VLOOKUP(A271,FX!A:K,9,0)))-1)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 x14ac:dyDescent="0.15">
      <c r="A272" s="1">
        <v>42789</v>
      </c>
      <c r="B272">
        <v>11.4</v>
      </c>
      <c r="C272" s="93">
        <f t="shared" si="46"/>
        <v>-5.2356020942408987E-3</v>
      </c>
      <c r="D272" s="26">
        <f t="shared" si="42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(+B272/(D272*(1-VLOOKUP(A272,FX!A:K,9,0)))-1)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0.5" x14ac:dyDescent="0.15">
      <c r="A273" s="1">
        <v>42790</v>
      </c>
      <c r="B273">
        <v>11.38</v>
      </c>
      <c r="C273" s="93">
        <f t="shared" si="46"/>
        <v>-1.7543859649122862E-3</v>
      </c>
      <c r="D273" s="26">
        <f t="shared" si="42"/>
        <v>11.54182588939724</v>
      </c>
      <c r="E273" s="26">
        <f>D273*(1-VLOOKUP(A273,FX!A:K,9,0))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(+B273/(D273*(1-VLOOKUP(A273,FX!A:K,9,0)))-1)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207</v>
      </c>
    </row>
    <row r="274" spans="1:14" x14ac:dyDescent="0.15">
      <c r="A274" s="1">
        <v>42793</v>
      </c>
      <c r="B274">
        <v>11.3</v>
      </c>
      <c r="C274" s="93">
        <f t="shared" si="46"/>
        <v>-7.0298769771529601E-3</v>
      </c>
      <c r="D274" s="26">
        <f t="shared" ref="D274:D279" si="48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(+B274/(D274*(1-VLOOKUP(A274,FX!A:K,9,0)))-1)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 x14ac:dyDescent="0.15">
      <c r="A275" s="1">
        <v>42794</v>
      </c>
      <c r="B275">
        <v>11.28</v>
      </c>
      <c r="C275" s="93">
        <f t="shared" si="46"/>
        <v>-1.7699115044248481E-3</v>
      </c>
      <c r="D275" s="26">
        <f t="shared" si="48"/>
        <v>11.424894306356109</v>
      </c>
      <c r="E275" s="26">
        <f>D275*(1-VLOOKUP(A275,FX!A:K,9,0))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(+B275/(D275*(1-VLOOKUP(A275,FX!A:K,9,0)))-1)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 x14ac:dyDescent="0.15">
      <c r="A276" s="1">
        <v>42795</v>
      </c>
      <c r="B276">
        <v>11.28</v>
      </c>
      <c r="C276" s="93">
        <f t="shared" si="46"/>
        <v>0</v>
      </c>
      <c r="D276" s="26">
        <f t="shared" si="48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(+B276/(D276*(1-VLOOKUP(A276,FX!A:K,9,0)))-1)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 x14ac:dyDescent="0.15">
      <c r="A277" s="1">
        <v>42796</v>
      </c>
      <c r="B277">
        <v>11.16</v>
      </c>
      <c r="C277" s="93">
        <f t="shared" si="46"/>
        <v>-1.0638297872340385E-2</v>
      </c>
      <c r="D277" s="26">
        <f t="shared" si="48"/>
        <v>11.353324165700769</v>
      </c>
      <c r="E277" s="26">
        <f>D277*(1-VLOOKUP(A277,FX!A:K,9,0))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(+B277/(D277*(1-VLOOKUP(A277,FX!A:K,9,0)))-1)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 x14ac:dyDescent="0.15">
      <c r="A278" s="1">
        <v>42797</v>
      </c>
      <c r="B278">
        <v>11.08</v>
      </c>
      <c r="C278" s="93">
        <f t="shared" si="46"/>
        <v>-7.1684587813619638E-3</v>
      </c>
      <c r="D278" s="26">
        <f t="shared" si="48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(+B278/(D278*(1-VLOOKUP(A278,FX!A:K,9,0)))-1)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 x14ac:dyDescent="0.15">
      <c r="A279" s="1">
        <v>42800</v>
      </c>
      <c r="B279">
        <v>11.12</v>
      </c>
      <c r="C279" s="93">
        <f t="shared" si="46"/>
        <v>3.6101083032489267E-3</v>
      </c>
      <c r="D279" s="26">
        <f t="shared" si="48"/>
        <v>11.333665095442676</v>
      </c>
      <c r="E279" s="26">
        <f>D279*(1-VLOOKUP(A279,FX!A:K,9,0))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(+B279/(D279*(1-VLOOKUP(A279,FX!A:K,9,0)))-1)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 x14ac:dyDescent="0.15">
      <c r="A280" s="1">
        <f>+A279+1</f>
        <v>42801</v>
      </c>
      <c r="B280">
        <v>11.2</v>
      </c>
      <c r="C280" s="93">
        <f t="shared" si="46"/>
        <v>7.194244604316502E-3</v>
      </c>
      <c r="D280" s="26">
        <f t="shared" ref="D280:D318" si="49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(+B280/(D280*(1-VLOOKUP(A280,FX!A:K,9,0)))-1)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 x14ac:dyDescent="0.15">
      <c r="A281" s="1">
        <f>+A280+1</f>
        <v>42802</v>
      </c>
      <c r="B281">
        <v>11.2</v>
      </c>
      <c r="C281" s="93">
        <f t="shared" si="46"/>
        <v>0</v>
      </c>
      <c r="D281" s="26">
        <f t="shared" si="49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(+B281/(D281*(1-VLOOKUP(A281,FX!A:K,9,0)))-1)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 x14ac:dyDescent="0.15">
      <c r="A282" s="1">
        <f>+A281+1</f>
        <v>42803</v>
      </c>
      <c r="B282">
        <v>11.12</v>
      </c>
      <c r="C282" s="93">
        <f t="shared" si="46"/>
        <v>-7.1428571428571175E-3</v>
      </c>
      <c r="D282" s="26">
        <f t="shared" si="49"/>
        <v>11.281525328175086</v>
      </c>
      <c r="E282" s="26">
        <f>D282*(1-VLOOKUP(A282,FX!A:K,9,0))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(+B282/(D282*(1-VLOOKUP(A282,FX!A:K,9,0)))-1)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 x14ac:dyDescent="0.15">
      <c r="A283" s="1">
        <f>+A282+1</f>
        <v>42804</v>
      </c>
      <c r="B283">
        <v>11.12</v>
      </c>
      <c r="C283" s="93">
        <f t="shared" si="46"/>
        <v>0</v>
      </c>
      <c r="D283" s="26">
        <f t="shared" si="49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(+B283/(D283*(1-VLOOKUP(A283,FX!A:K,9,0)))-1)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 x14ac:dyDescent="0.15">
      <c r="A284" s="1">
        <v>42807</v>
      </c>
      <c r="B284">
        <v>11.2</v>
      </c>
      <c r="C284" s="93">
        <f t="shared" si="46"/>
        <v>7.194244604316502E-3</v>
      </c>
      <c r="D284" s="26">
        <f t="shared" si="49"/>
        <v>11.334331028164636</v>
      </c>
      <c r="E284" s="26">
        <f>D284*(1-VLOOKUP(A284,FX!A:K,9,0))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(+B284/(D284*(1-VLOOKUP(A284,FX!A:K,9,0)))-1)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 x14ac:dyDescent="0.15">
      <c r="A285" s="1">
        <v>42808</v>
      </c>
      <c r="B285">
        <v>11.2</v>
      </c>
      <c r="C285" s="93">
        <f t="shared" si="46"/>
        <v>0</v>
      </c>
      <c r="D285" s="26">
        <f t="shared" si="49"/>
        <v>11.352530795624928</v>
      </c>
      <c r="E285" s="26">
        <f>D285*(1-VLOOKUP(A285,FX!A:K,9,0))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(+B285/(D285*(1-VLOOKUP(A285,FX!A:K,9,0)))-1)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 x14ac:dyDescent="0.15">
      <c r="A286" s="1">
        <v>42809</v>
      </c>
      <c r="B286">
        <v>11.22</v>
      </c>
      <c r="C286" s="93">
        <f t="shared" si="46"/>
        <v>1.7857142857145014E-3</v>
      </c>
      <c r="D286" s="26">
        <f t="shared" si="49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(+B286/(D286*(1-VLOOKUP(A286,FX!A:K,9,0)))-1)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 x14ac:dyDescent="0.15">
      <c r="A287" s="1">
        <v>42810</v>
      </c>
      <c r="B287">
        <v>11.34</v>
      </c>
      <c r="C287" s="93">
        <f t="shared" si="46"/>
        <v>1.0695187165775222E-2</v>
      </c>
      <c r="D287" s="26">
        <f t="shared" si="49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(+B287/(D287*(1-VLOOKUP(A287,FX!A:K,9,0)))-1)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 x14ac:dyDescent="0.15">
      <c r="A288" s="1">
        <v>42811</v>
      </c>
      <c r="B288">
        <v>11.2</v>
      </c>
      <c r="C288" s="93">
        <f t="shared" si="46"/>
        <v>-1.2345679012345734E-2</v>
      </c>
      <c r="D288" s="26">
        <f t="shared" si="49"/>
        <v>11.310299043760423</v>
      </c>
      <c r="E288" s="26">
        <f>D288*(1-VLOOKUP(A288,FX!A:K,9,0))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(+B288/(D288*(1-VLOOKUP(A288,FX!A:K,9,0)))-1)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0.5" x14ac:dyDescent="0.15">
      <c r="A289" s="1">
        <v>42814</v>
      </c>
      <c r="B289">
        <v>11.22</v>
      </c>
      <c r="C289" s="93">
        <f t="shared" si="46"/>
        <v>1.7857142857145014E-3</v>
      </c>
      <c r="D289" s="26">
        <f t="shared" si="49"/>
        <v>11.315180688748637</v>
      </c>
      <c r="E289" s="26">
        <f>D289*(1-VLOOKUP(A289,FX!A:K,9,0))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(+B289/(D289*(1-VLOOKUP(A289,FX!A:K,9,0)))-1)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251</v>
      </c>
    </row>
    <row r="290" spans="1:14" x14ac:dyDescent="0.15">
      <c r="A290" s="1">
        <v>42815</v>
      </c>
      <c r="B290">
        <v>11.26</v>
      </c>
      <c r="C290" s="93">
        <f t="shared" si="46"/>
        <v>3.5650623885916666E-3</v>
      </c>
      <c r="D290" s="26">
        <f t="shared" si="49"/>
        <v>11.341463791199926</v>
      </c>
      <c r="E290" s="26">
        <f>D290*(1-VLOOKUP(A290,FX!A:K,9,0))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(+B290/(D290*(1-VLOOKUP(A290,FX!A:K,9,0)))-1)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 x14ac:dyDescent="0.15">
      <c r="A291" s="1">
        <v>42816</v>
      </c>
      <c r="B291">
        <v>11.2</v>
      </c>
      <c r="C291" s="93">
        <f t="shared" si="46"/>
        <v>-5.3285968028419228E-3</v>
      </c>
      <c r="D291" s="26">
        <f t="shared" si="49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(+B291/(D291*(1-VLOOKUP(A291,FX!A:K,9,0)))-1)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 x14ac:dyDescent="0.15">
      <c r="A292" s="1">
        <v>42817</v>
      </c>
      <c r="B292">
        <v>11.2</v>
      </c>
      <c r="C292" s="93">
        <f t="shared" si="46"/>
        <v>0</v>
      </c>
      <c r="D292" s="26">
        <f t="shared" si="49"/>
        <v>11.308432659506714</v>
      </c>
      <c r="E292" s="26">
        <f>D292*(1-VLOOKUP(A292,FX!A:K,9,0))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(+B292/(D292*(1-VLOOKUP(A292,FX!A:K,9,0)))-1)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260</v>
      </c>
    </row>
    <row r="293" spans="1:14" x14ac:dyDescent="0.15">
      <c r="A293" s="1">
        <v>42818</v>
      </c>
      <c r="B293">
        <v>11.3</v>
      </c>
      <c r="C293" s="93">
        <f t="shared" si="46"/>
        <v>8.9285714285716189E-3</v>
      </c>
      <c r="D293" s="26">
        <f t="shared" si="49"/>
        <v>11.392985862760955</v>
      </c>
      <c r="E293" s="26">
        <f>D293*(1-VLOOKUP(A293,FX!A:K,9,0))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(+B293/(D293*(1-VLOOKUP(A293,FX!A:K,9,0)))-1)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 x14ac:dyDescent="0.15">
      <c r="A294" s="1">
        <v>42821</v>
      </c>
      <c r="B294">
        <v>11.3</v>
      </c>
      <c r="C294" s="93">
        <f t="shared" si="46"/>
        <v>0</v>
      </c>
      <c r="D294" s="26">
        <f t="shared" si="49"/>
        <v>11.401</v>
      </c>
      <c r="E294" s="26">
        <f>D294*(1-VLOOKUP(A294,FX!A:K,9,0))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(+B294/(D294*(1-VLOOKUP(A294,FX!A:K,9,0)))-1)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 x14ac:dyDescent="0.15">
      <c r="A295" s="1">
        <v>42822</v>
      </c>
      <c r="B295">
        <v>11.28</v>
      </c>
      <c r="C295" s="93">
        <f t="shared" si="46"/>
        <v>-1.7699115044248481E-3</v>
      </c>
      <c r="D295" s="26">
        <f t="shared" si="49"/>
        <v>11.382236872169662</v>
      </c>
      <c r="E295" s="26">
        <f>D295*(1-VLOOKUP(A295,FX!A:K,9,0))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(+B295/(D295*(1-VLOOKUP(A295,FX!A:K,9,0)))-1)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 x14ac:dyDescent="0.15">
      <c r="A296" s="1">
        <v>42823</v>
      </c>
      <c r="B296">
        <v>11.26</v>
      </c>
      <c r="C296" s="93">
        <f t="shared" si="46"/>
        <v>-1.7730496453900457E-3</v>
      </c>
      <c r="D296" s="26">
        <f t="shared" si="49"/>
        <v>11.349543342287935</v>
      </c>
      <c r="E296" s="26">
        <f>D296*(1-VLOOKUP(A296,FX!A:K,9,0))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(+B296/(D296*(1-VLOOKUP(A296,FX!A:K,9,0)))-1)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 x14ac:dyDescent="0.15">
      <c r="A297" s="1">
        <v>42824</v>
      </c>
      <c r="B297">
        <v>11.2</v>
      </c>
      <c r="C297" s="93">
        <f t="shared" si="46"/>
        <v>-5.3285968028419228E-3</v>
      </c>
      <c r="D297" s="26">
        <f t="shared" si="49"/>
        <v>11.288063759090791</v>
      </c>
      <c r="E297" s="26">
        <f>D297*(1-VLOOKUP(A297,FX!A:K,9,0))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(+B297/(D297*(1-VLOOKUP(A297,FX!A:K,9,0)))-1)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 x14ac:dyDescent="0.15">
      <c r="A298" s="1">
        <v>42825</v>
      </c>
      <c r="B298">
        <v>11.26</v>
      </c>
      <c r="C298" s="93">
        <f t="shared" si="46"/>
        <v>5.3571428571428381E-3</v>
      </c>
      <c r="D298" s="26">
        <f t="shared" si="49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(+B298/(D298*(1-VLOOKUP(A298,FX!A:K,9,0)))-1)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275</v>
      </c>
    </row>
    <row r="299" spans="1:14" x14ac:dyDescent="0.15">
      <c r="A299" s="1">
        <v>42828</v>
      </c>
      <c r="B299">
        <v>11.3</v>
      </c>
      <c r="C299" s="93">
        <f t="shared" si="46"/>
        <v>3.5523978685614299E-3</v>
      </c>
      <c r="D299" s="26">
        <f t="shared" si="49"/>
        <v>11.348000000000001</v>
      </c>
      <c r="E299" s="26">
        <f>D299*(1-VLOOKUP(A299,FX!A:K,9,0))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(+B299/(D299*(1-VLOOKUP(A299,FX!A:K,9,0)))-1)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279</v>
      </c>
    </row>
    <row r="300" spans="1:14" x14ac:dyDescent="0.15">
      <c r="A300" s="1">
        <v>42829</v>
      </c>
      <c r="B300">
        <v>11.3</v>
      </c>
      <c r="C300" s="93">
        <f t="shared" si="46"/>
        <v>0</v>
      </c>
      <c r="D300" s="26">
        <f t="shared" si="49"/>
        <v>11.347</v>
      </c>
      <c r="E300" s="26">
        <f>D300*(1-VLOOKUP(A300,FX!A:K,9,0))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(+B300/(D300*(1-VLOOKUP(A300,FX!A:K,9,0)))-1)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 x14ac:dyDescent="0.15">
      <c r="A301" s="1">
        <v>42830</v>
      </c>
      <c r="B301">
        <v>11.36</v>
      </c>
      <c r="C301" s="93">
        <f t="shared" si="46"/>
        <v>5.3097345132742113E-3</v>
      </c>
      <c r="D301" s="26">
        <f t="shared" si="49"/>
        <v>11.448802263448233</v>
      </c>
      <c r="E301" s="26">
        <f>D301*(1-VLOOKUP(A301,FX!A:K,9,0))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(+B301/(D301*(1-VLOOKUP(A301,FX!A:K,9,0)))-1)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93">
        <f t="shared" si="46"/>
        <v>-3.5211267605632646E-3</v>
      </c>
      <c r="D302" s="26">
        <f t="shared" si="49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(+B302/(D302*(1-VLOOKUP(A302,FX!A:K,9,0)))-1)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296</v>
      </c>
    </row>
    <row r="303" spans="1:14" x14ac:dyDescent="0.15">
      <c r="A303" s="1">
        <v>42832</v>
      </c>
      <c r="B303">
        <v>11.34</v>
      </c>
      <c r="C303" s="93">
        <f t="shared" si="46"/>
        <v>1.7667844522968323E-3</v>
      </c>
      <c r="D303" s="26">
        <f t="shared" si="49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(+B303/(D303*(1-VLOOKUP(A303,FX!A:K,9,0)))-1)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 x14ac:dyDescent="0.15">
      <c r="A304" s="1">
        <v>42835</v>
      </c>
      <c r="B304">
        <v>11.26</v>
      </c>
      <c r="C304" s="93">
        <f t="shared" si="46"/>
        <v>-7.0546737213403876E-3</v>
      </c>
      <c r="D304" s="26">
        <f t="shared" si="49"/>
        <v>11.415171985515491</v>
      </c>
      <c r="E304" s="26">
        <f>D304*(1-VLOOKUP(A304,FX!A:K,9,0))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(+B304/(D304*(1-VLOOKUP(A304,FX!A:K,9,0)))-1)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 x14ac:dyDescent="0.15">
      <c r="A305" s="1">
        <v>42836</v>
      </c>
      <c r="B305">
        <v>11.26</v>
      </c>
      <c r="C305" s="93">
        <f t="shared" si="46"/>
        <v>0</v>
      </c>
      <c r="D305" s="26">
        <f t="shared" si="49"/>
        <v>11.402496690557316</v>
      </c>
      <c r="E305" s="26">
        <f>D305*(1-VLOOKUP(A305,FX!A:K,9,0))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(+B305/(D305*(1-VLOOKUP(A305,FX!A:K,9,0)))-1)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 x14ac:dyDescent="0.15">
      <c r="A306" s="1">
        <v>42837</v>
      </c>
      <c r="B306">
        <v>11.28</v>
      </c>
      <c r="C306" s="93">
        <f t="shared" si="46"/>
        <v>1.7761989342806039E-3</v>
      </c>
      <c r="D306" s="26">
        <f t="shared" si="49"/>
        <v>11.410745952795184</v>
      </c>
      <c r="E306" s="26">
        <f>D306*(1-VLOOKUP(A306,FX!A:K,9,0))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(+B306/(D306*(1-VLOOKUP(A306,FX!A:K,9,0)))-1)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 x14ac:dyDescent="0.15">
      <c r="A307" s="1">
        <v>42838</v>
      </c>
      <c r="B307">
        <v>11.3</v>
      </c>
      <c r="C307" s="93">
        <f t="shared" si="46"/>
        <v>1.7730496453902678E-3</v>
      </c>
      <c r="D307" s="26">
        <f t="shared" si="49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(+B307/(D307*(1-VLOOKUP(A307,FX!A:K,9,0)))-1)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 x14ac:dyDescent="0.15">
      <c r="A308" s="1">
        <v>42839</v>
      </c>
      <c r="B308">
        <v>11.3</v>
      </c>
      <c r="C308" s="93">
        <f t="shared" si="46"/>
        <v>0</v>
      </c>
      <c r="D308" s="26">
        <f t="shared" si="49"/>
        <v>11.348833534416917</v>
      </c>
      <c r="E308" s="26">
        <f>D308*(1-VLOOKUP(A308,FX!A:K,9,0))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(+B308/(D308*(1-VLOOKUP(A308,FX!A:K,9,0)))-1)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306</v>
      </c>
    </row>
    <row r="309" spans="1:14" x14ac:dyDescent="0.15">
      <c r="A309" s="1">
        <v>42842</v>
      </c>
      <c r="B309">
        <v>11.3</v>
      </c>
      <c r="C309" s="93">
        <f t="shared" si="46"/>
        <v>0</v>
      </c>
      <c r="D309" s="26">
        <f t="shared" si="49"/>
        <v>11.345563562138317</v>
      </c>
      <c r="E309" s="26">
        <f>D309*(1-VLOOKUP(A309,FX!A:K,9,0))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(+B309/(D309*(1-VLOOKUP(A309,FX!A:K,9,0)))-1)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 x14ac:dyDescent="0.15">
      <c r="A310" s="1">
        <v>42843</v>
      </c>
      <c r="B310">
        <v>11.18</v>
      </c>
      <c r="C310" s="93">
        <f t="shared" si="46"/>
        <v>-1.0619469026548756E-2</v>
      </c>
      <c r="D310" s="26">
        <f t="shared" si="49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(+B310/(D310*(1-VLOOKUP(A310,FX!A:K,9,0)))-1)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 x14ac:dyDescent="0.15">
      <c r="A311" s="1">
        <v>42844</v>
      </c>
      <c r="B311">
        <v>11.06</v>
      </c>
      <c r="C311" s="93">
        <f t="shared" si="46"/>
        <v>-1.0733452593917669E-2</v>
      </c>
      <c r="D311" s="26">
        <f t="shared" si="49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(+B311/(D311*(1-VLOOKUP(A311,FX!A:K,9,0)))-1)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308</v>
      </c>
    </row>
    <row r="312" spans="1:14" x14ac:dyDescent="0.15">
      <c r="A312" s="1">
        <v>42845</v>
      </c>
      <c r="B312">
        <v>11.16</v>
      </c>
      <c r="C312" s="93">
        <f t="shared" si="46"/>
        <v>9.0415913200723175E-3</v>
      </c>
      <c r="D312" s="26">
        <f t="shared" si="49"/>
        <v>11.300303019352727</v>
      </c>
      <c r="E312" s="26">
        <f>D312*(1-VLOOKUP(A312,FX!A:K,9,0))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(+B312/(D312*(1-VLOOKUP(A312,FX!A:K,9,0)))-1)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 x14ac:dyDescent="0.15">
      <c r="A313" s="1">
        <v>42846</v>
      </c>
      <c r="B313">
        <v>11.18</v>
      </c>
      <c r="C313" s="93">
        <f t="shared" si="46"/>
        <v>1.7921146953405742E-3</v>
      </c>
      <c r="D313" s="26">
        <f t="shared" si="49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(+B313/(D313*(1-VLOOKUP(A313,FX!A:K,9,0)))-1)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 x14ac:dyDescent="0.15">
      <c r="A314" s="1">
        <v>42849</v>
      </c>
      <c r="B314">
        <v>11.14</v>
      </c>
      <c r="C314" s="93">
        <f t="shared" si="46"/>
        <v>-3.5778175313058158E-3</v>
      </c>
      <c r="D314" s="26">
        <f t="shared" si="49"/>
        <v>11.280077383119949</v>
      </c>
      <c r="E314" s="26">
        <f>D314*(1-VLOOKUP(A314,FX!A:K,9,0))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(+B314/(D314*(1-VLOOKUP(A314,FX!A:K,9,0)))-1)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323</v>
      </c>
    </row>
    <row r="315" spans="1:14" x14ac:dyDescent="0.15">
      <c r="A315" s="1">
        <v>42850</v>
      </c>
      <c r="B315">
        <v>11.2</v>
      </c>
      <c r="C315" s="93">
        <f t="shared" si="46"/>
        <v>5.3859964093356805E-3</v>
      </c>
      <c r="D315" s="26">
        <f t="shared" si="49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(+B315/(D315*(1-VLOOKUP(A315,FX!A:K,9,0)))-1)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 x14ac:dyDescent="0.15">
      <c r="A316" s="1">
        <v>42851</v>
      </c>
      <c r="B316">
        <v>11.24</v>
      </c>
      <c r="C316" s="93">
        <f t="shared" si="46"/>
        <v>3.5714285714285587E-3</v>
      </c>
      <c r="D316" s="26">
        <f t="shared" si="49"/>
        <v>11.352648899017003</v>
      </c>
      <c r="E316" s="26">
        <f>D316*(1-VLOOKUP(A316,FX!A:K,9,0))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(+B316/(D316*(1-VLOOKUP(A316,FX!A:K,9,0)))-1)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 x14ac:dyDescent="0.15">
      <c r="A317" s="1">
        <v>42852</v>
      </c>
      <c r="B317">
        <v>11.18</v>
      </c>
      <c r="C317" s="93">
        <f t="shared" si="46"/>
        <v>-5.3380782918149849E-3</v>
      </c>
      <c r="D317" s="26">
        <f t="shared" si="49"/>
        <v>11.374623708075621</v>
      </c>
      <c r="E317" s="26">
        <f>D317*(1-VLOOKUP(A317,FX!A:K,9,0))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(+B317/(D317*(1-VLOOKUP(A317,FX!A:K,9,0)))-1)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327</v>
      </c>
    </row>
    <row r="318" spans="1:14" x14ac:dyDescent="0.15">
      <c r="A318" s="1">
        <v>42853</v>
      </c>
      <c r="B318">
        <v>11.16</v>
      </c>
      <c r="C318" s="93">
        <f t="shared" si="46"/>
        <v>-1.7889087656529634E-3</v>
      </c>
      <c r="D318" s="26">
        <f t="shared" si="49"/>
        <v>11.341532306705288</v>
      </c>
      <c r="E318" s="26">
        <f>D318*(1-VLOOKUP(A318,FX!A:K,9,0))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(+B318/(D318*(1-VLOOKUP(A318,FX!A:K,9,0)))-1)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 x14ac:dyDescent="0.15">
      <c r="A319" s="1">
        <v>42856</v>
      </c>
      <c r="B319">
        <v>11.16</v>
      </c>
      <c r="C319" s="93">
        <f t="shared" si="46"/>
        <v>0</v>
      </c>
      <c r="D319" s="26">
        <f t="shared" ref="D319" si="52">+F318*(1+L319)</f>
        <v>11.333</v>
      </c>
      <c r="E319" s="26">
        <f>D319*(1-VLOOKUP(A319,FX!A:K,9,0))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(+B319/(D319*(1-VLOOKUP(A319,FX!A:K,9,0)))-1)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" si="53">+K319/J319-1</f>
        <v>0</v>
      </c>
      <c r="M319">
        <f t="shared" si="44"/>
        <v>1</v>
      </c>
    </row>
    <row r="320" spans="1:14" x14ac:dyDescent="0.15">
      <c r="A320" s="1">
        <v>42857</v>
      </c>
      <c r="B320">
        <v>11.12</v>
      </c>
      <c r="C320" s="93">
        <f t="shared" si="46"/>
        <v>-3.5842293906810374E-3</v>
      </c>
      <c r="D320" s="26">
        <f t="shared" ref="D320" si="54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(+B320/(D320*(1-VLOOKUP(A320,FX!A:K,9,0)))-1)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ref="L320" si="55">+K320/J320-1</f>
        <v>-4.3154472608843975E-3</v>
      </c>
      <c r="M320">
        <f t="shared" si="44"/>
        <v>2</v>
      </c>
    </row>
    <row r="321" spans="1:14" x14ac:dyDescent="0.15">
      <c r="A321" s="1">
        <v>42858</v>
      </c>
      <c r="B321">
        <v>11.12</v>
      </c>
      <c r="C321" s="93">
        <f t="shared" si="46"/>
        <v>0</v>
      </c>
      <c r="D321" s="26">
        <f t="shared" ref="D321" si="56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(+B321/(D321*(1-VLOOKUP(A321,FX!A:K,9,0)))-1)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ref="L321" si="57">+K321/J321-1</f>
        <v>-2.9190758708413922E-3</v>
      </c>
      <c r="M321">
        <f t="shared" si="44"/>
        <v>3</v>
      </c>
    </row>
    <row r="322" spans="1:14" x14ac:dyDescent="0.15">
      <c r="A322" s="1">
        <v>42859</v>
      </c>
      <c r="B322">
        <v>11.06</v>
      </c>
      <c r="C322" s="93">
        <f t="shared" si="46"/>
        <v>-5.3956834532372655E-3</v>
      </c>
      <c r="D322" s="26">
        <f t="shared" ref="D322" si="58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(+B322/(D322*(1-VLOOKUP(A322,FX!A:K,9,0)))-1)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ref="L322" si="59">+K322/J322-1</f>
        <v>-2.3324033448565151E-3</v>
      </c>
      <c r="M322">
        <f t="shared" si="44"/>
        <v>4</v>
      </c>
    </row>
    <row r="323" spans="1:14" x14ac:dyDescent="0.15">
      <c r="A323" s="1">
        <v>42860</v>
      </c>
      <c r="B323">
        <v>11.04</v>
      </c>
      <c r="C323" s="93">
        <f t="shared" si="46"/>
        <v>-1.8083182640146189E-3</v>
      </c>
      <c r="D323" s="26">
        <f t="shared" ref="D323" si="60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(+B323/(D323*(1-VLOOKUP(A323,FX!A:K,9,0)))-1)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ref="L323" si="61">+K323/J323-1</f>
        <v>-2.1085402682606835E-3</v>
      </c>
      <c r="M323">
        <f t="shared" ref="M323:M386" si="62">WEEKDAY(A323,2)</f>
        <v>5</v>
      </c>
    </row>
    <row r="324" spans="1:14" x14ac:dyDescent="0.15">
      <c r="A324" s="1">
        <v>42863</v>
      </c>
      <c r="B324">
        <v>11.02</v>
      </c>
      <c r="C324" s="93">
        <f t="shared" si="46"/>
        <v>-1.8115942028985588E-3</v>
      </c>
      <c r="D324" s="26">
        <f t="shared" ref="D324" si="63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:G387" si="64">+B324/D324-1</f>
        <v>-1.6713618334347369E-2</v>
      </c>
      <c r="H324" s="25">
        <f>(+B324/(D324*(1-VLOOKUP(A324,FX!A:K,9,0)))-1)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ref="L324" si="65">+K324/J324-1</f>
        <v>-2.3953775056528848E-4</v>
      </c>
      <c r="M324">
        <f t="shared" si="62"/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93">
        <f t="shared" ref="C325:C388" si="66">B325/(B324-O325)-1</f>
        <v>3.6297640653357721E-3</v>
      </c>
      <c r="D325" s="26">
        <f t="shared" ref="D325" si="67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si="64"/>
        <v>-1.1700847859387076E-2</v>
      </c>
      <c r="H325" s="25">
        <f>(+B325/(D325*(1-VLOOKUP(A325,FX!A:K,9,0)))-1)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ref="L325" si="68">+K325/J325-1</f>
        <v>-6.3015470444083288E-4</v>
      </c>
      <c r="M325">
        <f t="shared" si="62"/>
        <v>2</v>
      </c>
      <c r="N325" s="50" t="s">
        <v>338</v>
      </c>
    </row>
    <row r="326" spans="1:14" x14ac:dyDescent="0.15">
      <c r="A326" s="1">
        <v>42865</v>
      </c>
      <c r="B326">
        <v>11.06</v>
      </c>
      <c r="C326" s="93">
        <f t="shared" si="66"/>
        <v>0</v>
      </c>
      <c r="D326" s="26">
        <f t="shared" ref="D326" si="6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si="64"/>
        <v>-1.4526482004690866E-2</v>
      </c>
      <c r="H326" s="25">
        <f>(+B326/(D326*(1-VLOOKUP(A326,FX!A:K,9,0)))-1)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ref="L326" si="70">+K326/J326-1</f>
        <v>4.2082283631472706E-3</v>
      </c>
      <c r="M326">
        <f t="shared" si="62"/>
        <v>3</v>
      </c>
    </row>
    <row r="327" spans="1:14" x14ac:dyDescent="0.15">
      <c r="A327" s="1">
        <v>42866</v>
      </c>
      <c r="B327">
        <v>11.16</v>
      </c>
      <c r="C327" s="93">
        <f t="shared" si="66"/>
        <v>9.0415913200723175E-3</v>
      </c>
      <c r="D327" s="26">
        <f t="shared" ref="D327" si="71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si="64"/>
        <v>-1.3393049817593261E-2</v>
      </c>
      <c r="H327" s="25">
        <f>(+B327/(D327*(1-VLOOKUP(A327,FX!A:K,9,0)))-1)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ref="L327" si="72">+K327/J327-1</f>
        <v>7.3466401010089388E-3</v>
      </c>
      <c r="M327">
        <f t="shared" si="62"/>
        <v>4</v>
      </c>
    </row>
    <row r="328" spans="1:14" ht="27" x14ac:dyDescent="0.15">
      <c r="A328" s="1">
        <v>42867</v>
      </c>
      <c r="B328">
        <v>11.34</v>
      </c>
      <c r="C328" s="93">
        <f t="shared" si="66"/>
        <v>1.6129032258064502E-2</v>
      </c>
      <c r="D328" s="26">
        <f t="shared" ref="D328" si="73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si="64"/>
        <v>-1.3746348146804199E-2</v>
      </c>
      <c r="H328" s="25">
        <f>(+B328/(D328*(1-VLOOKUP(A328,FX!A:K,9,0)))-1)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ref="L328" si="74">+K328/J328-1</f>
        <v>1.6357843604795308E-2</v>
      </c>
      <c r="M328">
        <f t="shared" si="62"/>
        <v>5</v>
      </c>
      <c r="N328" s="50" t="s">
        <v>343</v>
      </c>
    </row>
    <row r="329" spans="1:14" x14ac:dyDescent="0.15">
      <c r="A329" s="1">
        <v>42870</v>
      </c>
      <c r="B329">
        <v>11.4</v>
      </c>
      <c r="C329" s="93">
        <f t="shared" si="66"/>
        <v>5.2910052910053462E-3</v>
      </c>
      <c r="D329" s="26">
        <f t="shared" ref="D329" si="7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si="64"/>
        <v>-1.2994108914469504E-2</v>
      </c>
      <c r="H329" s="25">
        <f>(+B329/(D329*(1-VLOOKUP(A329,FX!A:K,9,0)))-1)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ref="L329" si="76">+K329/J329-1</f>
        <v>2.1764023386845466E-3</v>
      </c>
      <c r="M329">
        <f t="shared" si="62"/>
        <v>1</v>
      </c>
      <c r="N329" s="50" t="s">
        <v>344</v>
      </c>
    </row>
    <row r="330" spans="1:14" x14ac:dyDescent="0.15">
      <c r="A330" s="1">
        <v>42871</v>
      </c>
      <c r="B330">
        <v>11.42</v>
      </c>
      <c r="C330" s="93">
        <f t="shared" si="66"/>
        <v>1.7543859649122862E-3</v>
      </c>
      <c r="D330" s="26">
        <f t="shared" ref="D330" si="77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si="64"/>
        <v>-1.2102360648783228E-2</v>
      </c>
      <c r="H330" s="25">
        <f>(+B330/(D330*(1-VLOOKUP(A330,FX!A:K,9,0)))-1)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ref="L330" si="78">+K330/J330-1</f>
        <v>3.376691183147873E-4</v>
      </c>
      <c r="M330">
        <f t="shared" si="62"/>
        <v>2</v>
      </c>
    </row>
    <row r="331" spans="1:14" x14ac:dyDescent="0.15">
      <c r="A331" s="1">
        <v>42872</v>
      </c>
      <c r="B331">
        <v>11.34</v>
      </c>
      <c r="C331" s="93">
        <f t="shared" si="66"/>
        <v>-7.0052539404553693E-3</v>
      </c>
      <c r="D331" s="26">
        <f t="shared" ref="D331" si="79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si="64"/>
        <v>-1.1200096486861488E-2</v>
      </c>
      <c r="H331" s="25">
        <f>(+B331/(D331*(1-VLOOKUP(A331,FX!A:K,9,0)))-1)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ref="L331" si="80">+K331/J331-1</f>
        <v>-8.9485204778720906E-3</v>
      </c>
      <c r="M331">
        <f t="shared" si="62"/>
        <v>3</v>
      </c>
    </row>
    <row r="332" spans="1:14" x14ac:dyDescent="0.15">
      <c r="A332" s="1">
        <v>42873</v>
      </c>
      <c r="B332">
        <v>11.26</v>
      </c>
      <c r="C332" s="93">
        <f t="shared" si="66"/>
        <v>-7.0546737213403876E-3</v>
      </c>
      <c r="D332" s="26">
        <f t="shared" ref="D332" si="81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si="64"/>
        <v>-1.8536234380933325E-2</v>
      </c>
      <c r="H332" s="25">
        <f>(+B332/(D332*(1-VLOOKUP(A332,FX!A:K,9,0)))-1)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ref="L332" si="82">+K332/J332-1</f>
        <v>-2.1170815758567718E-3</v>
      </c>
      <c r="M332">
        <f t="shared" si="62"/>
        <v>4</v>
      </c>
    </row>
    <row r="333" spans="1:14" x14ac:dyDescent="0.15">
      <c r="A333" s="1">
        <v>42874</v>
      </c>
      <c r="B333">
        <v>11.32</v>
      </c>
      <c r="C333" s="93">
        <f t="shared" si="66"/>
        <v>5.3285968028420339E-3</v>
      </c>
      <c r="D333" s="26">
        <f t="shared" ref="D333" si="83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si="64"/>
        <v>-1.6862433194199999E-2</v>
      </c>
      <c r="H333" s="25">
        <f>(+B333/(D333*(1-VLOOKUP(A333,FX!A:K,9,0)))-1)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ref="L333" si="84">+K333/J333-1</f>
        <v>3.587265589594768E-3</v>
      </c>
      <c r="M333">
        <f t="shared" si="62"/>
        <v>5</v>
      </c>
    </row>
    <row r="334" spans="1:14" x14ac:dyDescent="0.15">
      <c r="A334" s="1">
        <v>42877</v>
      </c>
      <c r="B334">
        <v>11.44</v>
      </c>
      <c r="C334" s="93">
        <f t="shared" si="66"/>
        <v>1.0600706713780772E-2</v>
      </c>
      <c r="D334" s="26">
        <f t="shared" ref="D334" si="85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si="64"/>
        <v>-1.2059689814795438E-2</v>
      </c>
      <c r="H334" s="25">
        <f>(+B334/(D334*(1-VLOOKUP(A334,FX!A:K,9,0)))-1)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ref="L334" si="86">+K334/J334-1</f>
        <v>8.5921914804025779E-3</v>
      </c>
      <c r="M334">
        <f t="shared" si="62"/>
        <v>1</v>
      </c>
    </row>
    <row r="335" spans="1:14" x14ac:dyDescent="0.15">
      <c r="A335" s="1">
        <v>42878</v>
      </c>
      <c r="B335">
        <v>11.54</v>
      </c>
      <c r="C335" s="93">
        <f t="shared" si="66"/>
        <v>8.7412587412587506E-3</v>
      </c>
      <c r="D335" s="26">
        <f t="shared" ref="D335" si="87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si="64"/>
        <v>-1.9630897585148688E-2</v>
      </c>
      <c r="H335" s="25">
        <f>(+B335/(D335*(1-VLOOKUP(A335,FX!A:K,9,0)))-1)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ref="L335" si="88">+K335/J335-1</f>
        <v>1.4660529539724854E-2</v>
      </c>
      <c r="M335">
        <f t="shared" si="62"/>
        <v>2</v>
      </c>
    </row>
    <row r="336" spans="1:14" x14ac:dyDescent="0.15">
      <c r="A336" s="1">
        <v>42879</v>
      </c>
      <c r="B336">
        <v>11.52</v>
      </c>
      <c r="C336" s="93">
        <f t="shared" si="66"/>
        <v>-1.7331022530329143E-3</v>
      </c>
      <c r="D336" s="26">
        <f t="shared" ref="D336" si="8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si="64"/>
        <v>-1.9952345903048174E-2</v>
      </c>
      <c r="H336" s="25">
        <f>(+B336/(D336*(1-VLOOKUP(A336,FX!A:K,9,0)))-1)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ref="L336" si="90">+K336/J336-1</f>
        <v>-1.399162550478672E-3</v>
      </c>
      <c r="M336">
        <f t="shared" si="62"/>
        <v>3</v>
      </c>
    </row>
    <row r="337" spans="1:14" x14ac:dyDescent="0.15">
      <c r="A337" s="1">
        <v>42880</v>
      </c>
      <c r="B337">
        <v>11.86</v>
      </c>
      <c r="C337" s="93">
        <f t="shared" si="66"/>
        <v>2.951388888888884E-2</v>
      </c>
      <c r="D337" s="26">
        <f t="shared" ref="D337" si="91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si="64"/>
        <v>-1.5680115741843581E-2</v>
      </c>
      <c r="H337" s="25">
        <f>(+B337/(D337*(1-VLOOKUP(A337,FX!A:K,9,0)))-1)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ref="L337" si="92">+K337/J337-1</f>
        <v>2.6139379571944232E-2</v>
      </c>
      <c r="M337">
        <f t="shared" si="62"/>
        <v>4</v>
      </c>
    </row>
    <row r="338" spans="1:14" x14ac:dyDescent="0.15">
      <c r="A338" s="1">
        <v>42881</v>
      </c>
      <c r="B338">
        <v>11.9</v>
      </c>
      <c r="C338" s="93">
        <f t="shared" si="66"/>
        <v>3.3726812816190499E-3</v>
      </c>
      <c r="D338" s="26">
        <f t="shared" ref="D338" si="93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si="64"/>
        <v>-1.2049318750065319E-2</v>
      </c>
      <c r="H338" s="25">
        <f>(+B338/(D338*(1-VLOOKUP(A338,FX!A:K,9,0)))-1)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ref="L338" si="94">+K338/J338-1</f>
        <v>-1.3981363632646904E-3</v>
      </c>
      <c r="M338">
        <f t="shared" si="62"/>
        <v>5</v>
      </c>
    </row>
    <row r="339" spans="1:14" x14ac:dyDescent="0.15">
      <c r="A339" s="1">
        <v>42884</v>
      </c>
      <c r="B339">
        <v>11.9</v>
      </c>
      <c r="C339" s="93">
        <f t="shared" si="66"/>
        <v>0</v>
      </c>
      <c r="D339" s="26">
        <f t="shared" ref="D339" si="95">+F338*(1+L339)</f>
        <v>12.052</v>
      </c>
      <c r="E339" s="26">
        <f>D339*(1-VLOOKUP(A339,FX!A:K,9,0))</f>
        <v>12.097847183947271</v>
      </c>
      <c r="F339">
        <v>12.051</v>
      </c>
      <c r="G339" s="25">
        <f t="shared" si="64"/>
        <v>-1.2612014603385235E-2</v>
      </c>
      <c r="H339" s="25">
        <f>(+B339/(D339*(1-VLOOKUP(A339,FX!A:K,9,0)))-1)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ref="L339" si="96">+K339/J339-1</f>
        <v>0</v>
      </c>
      <c r="M339">
        <f t="shared" si="62"/>
        <v>1</v>
      </c>
    </row>
    <row r="340" spans="1:14" x14ac:dyDescent="0.15">
      <c r="A340" s="1">
        <v>42885</v>
      </c>
      <c r="B340">
        <v>11.9</v>
      </c>
      <c r="C340" s="93">
        <f t="shared" si="66"/>
        <v>0</v>
      </c>
      <c r="D340" s="26">
        <f t="shared" ref="D340" si="97">+F339*(1+L340)</f>
        <v>12.051</v>
      </c>
      <c r="E340" s="26">
        <f>D340*(1-VLOOKUP(A340,FX!A:K,9,0))</f>
        <v>12.033993440081606</v>
      </c>
      <c r="F340">
        <v>12.03</v>
      </c>
      <c r="G340" s="25">
        <f t="shared" si="64"/>
        <v>-1.2530080491245488E-2</v>
      </c>
      <c r="H340" s="25">
        <f>(+B340/(D340*(1-VLOOKUP(A340,FX!A:K,9,0)))-1)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ref="L340" si="98">+K340/J340-1</f>
        <v>0</v>
      </c>
      <c r="M340">
        <f t="shared" si="62"/>
        <v>2</v>
      </c>
    </row>
    <row r="341" spans="1:14" x14ac:dyDescent="0.15">
      <c r="A341" s="1">
        <v>42886</v>
      </c>
      <c r="B341">
        <v>11.94</v>
      </c>
      <c r="C341" s="93">
        <f t="shared" si="66"/>
        <v>3.3613445378151141E-3</v>
      </c>
      <c r="D341" s="26">
        <f t="shared" ref="D341" si="99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si="64"/>
        <v>-1.1079051216920321E-2</v>
      </c>
      <c r="H341" s="25">
        <f>(+B341/(D341*(1-VLOOKUP(A341,FX!A:K,9,0)))-1)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ref="L341" si="100">+K341/J341-1</f>
        <v>3.6380607198611692E-3</v>
      </c>
      <c r="M341">
        <f t="shared" si="62"/>
        <v>3</v>
      </c>
    </row>
    <row r="342" spans="1:14" x14ac:dyDescent="0.15">
      <c r="A342" s="1">
        <v>42887</v>
      </c>
      <c r="B342">
        <v>12.02</v>
      </c>
      <c r="C342" s="93">
        <f t="shared" si="66"/>
        <v>6.7001675041875597E-3</v>
      </c>
      <c r="D342" s="26">
        <f t="shared" ref="D342" si="1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si="64"/>
        <v>-1.5565264789831557E-2</v>
      </c>
      <c r="H342" s="25">
        <f>(+B342/(D342*(1-VLOOKUP(A342,FX!A:K,9,0)))-1)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ref="L342" si="102">+K342/J342-1</f>
        <v>9.0118753348180647E-3</v>
      </c>
      <c r="M342">
        <f t="shared" si="62"/>
        <v>4</v>
      </c>
    </row>
    <row r="343" spans="1:14" x14ac:dyDescent="0.15">
      <c r="A343" s="1">
        <v>42888</v>
      </c>
      <c r="B343">
        <v>11.96</v>
      </c>
      <c r="C343" s="93">
        <f t="shared" si="66"/>
        <v>-4.991680532445808E-3</v>
      </c>
      <c r="D343" s="26">
        <f t="shared" ref="D343" si="103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si="64"/>
        <v>-2.068606015065344E-2</v>
      </c>
      <c r="H343" s="25">
        <f>(+B343/(D343*(1-VLOOKUP(A343,FX!A:K,9,0)))-1)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ref="L343" si="104">+K343/J343-1</f>
        <v>-7.5066051117861354E-3</v>
      </c>
      <c r="M343">
        <f t="shared" si="62"/>
        <v>5</v>
      </c>
    </row>
    <row r="344" spans="1:14" x14ac:dyDescent="0.15">
      <c r="A344" s="1">
        <v>42891</v>
      </c>
      <c r="B344">
        <v>11.84</v>
      </c>
      <c r="C344" s="93">
        <f t="shared" si="66"/>
        <v>-1.0033444816053616E-2</v>
      </c>
      <c r="D344" s="26">
        <f t="shared" ref="D344" si="105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si="64"/>
        <v>-2.050912032097818E-2</v>
      </c>
      <c r="H344" s="25">
        <f>(+B344/(D344*(1-VLOOKUP(A344,FX!A:K,9,0)))-1)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ref="L344" si="106">+K344/J344-1</f>
        <v>-1.064720487112103E-2</v>
      </c>
      <c r="M344">
        <f t="shared" si="62"/>
        <v>1</v>
      </c>
      <c r="N344" s="50" t="s">
        <v>351</v>
      </c>
    </row>
    <row r="345" spans="1:14" x14ac:dyDescent="0.15">
      <c r="A345" s="1">
        <v>42892</v>
      </c>
      <c r="B345">
        <v>11.94</v>
      </c>
      <c r="C345" s="93">
        <f t="shared" si="66"/>
        <v>8.4459459459458319E-3</v>
      </c>
      <c r="D345" s="26">
        <f t="shared" ref="D345" si="107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si="64"/>
        <v>-2.2366856526101819E-2</v>
      </c>
      <c r="H345" s="25">
        <f>(+B345/(D345*(1-VLOOKUP(A345,FX!A:K,9,0)))-1)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ref="L345" si="108">+K345/J345-1</f>
        <v>8.4361511169825931E-3</v>
      </c>
      <c r="M345">
        <f t="shared" si="62"/>
        <v>2</v>
      </c>
      <c r="N345" s="50" t="s">
        <v>353</v>
      </c>
    </row>
    <row r="346" spans="1:14" x14ac:dyDescent="0.15">
      <c r="A346" s="1">
        <v>42893</v>
      </c>
      <c r="B346">
        <v>12.04</v>
      </c>
      <c r="C346" s="93">
        <f t="shared" si="66"/>
        <v>8.3752093802345051E-3</v>
      </c>
      <c r="D346" s="26">
        <f t="shared" ref="D346" si="109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si="64"/>
        <v>-2.4095553226058164E-2</v>
      </c>
      <c r="H346" s="25">
        <f>(+B346/(D346*(1-VLOOKUP(A346,FX!A:K,9,0)))-1)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ref="L346" si="110">+K346/J346-1</f>
        <v>1.0175503853464107E-2</v>
      </c>
      <c r="M346">
        <f t="shared" si="62"/>
        <v>3</v>
      </c>
    </row>
    <row r="347" spans="1:14" x14ac:dyDescent="0.15">
      <c r="A347" s="1">
        <v>42894</v>
      </c>
      <c r="B347">
        <v>12.16</v>
      </c>
      <c r="C347" s="93">
        <f t="shared" si="66"/>
        <v>9.9667774086380501E-3</v>
      </c>
      <c r="D347" s="26">
        <f t="shared" ref="D347" si="111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si="64"/>
        <v>-2.3698519062617329E-2</v>
      </c>
      <c r="H347" s="25">
        <f>(+B347/(D347*(1-VLOOKUP(A347,FX!A:K,9,0)))-1)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ref="L347" si="112">+K347/J347-1</f>
        <v>8.5157134761482123E-3</v>
      </c>
      <c r="M347">
        <f t="shared" si="62"/>
        <v>4</v>
      </c>
    </row>
    <row r="348" spans="1:14" x14ac:dyDescent="0.15">
      <c r="A348" s="1">
        <v>42895</v>
      </c>
      <c r="B348">
        <v>12.24</v>
      </c>
      <c r="C348" s="93">
        <f t="shared" si="66"/>
        <v>6.5789473684210176E-3</v>
      </c>
      <c r="D348" s="26">
        <f t="shared" ref="D348" si="113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si="64"/>
        <v>-2.2789522432277498E-2</v>
      </c>
      <c r="H348" s="25">
        <f>(+B348/(D348*(1-VLOOKUP(A348,FX!A:K,9,0)))-1)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ref="L348" si="114">+K348/J348-1</f>
        <v>6.5452427661709667E-3</v>
      </c>
      <c r="M348">
        <f t="shared" si="62"/>
        <v>5</v>
      </c>
    </row>
    <row r="349" spans="1:14" x14ac:dyDescent="0.15">
      <c r="A349" s="1">
        <v>42898</v>
      </c>
      <c r="B349">
        <v>12.18</v>
      </c>
      <c r="C349" s="93">
        <f t="shared" si="66"/>
        <v>-4.9019607843138191E-3</v>
      </c>
      <c r="D349" s="26">
        <f t="shared" ref="D349" si="11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si="64"/>
        <v>-2.8374157081272222E-2</v>
      </c>
      <c r="H349" s="25">
        <f>(+B349/(D349*(1-VLOOKUP(A349,FX!A:K,9,0)))-1)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ref="L349" si="116">+K349/J349-1</f>
        <v>9.3337804110915634E-4</v>
      </c>
      <c r="M349">
        <f t="shared" si="62"/>
        <v>1</v>
      </c>
    </row>
    <row r="350" spans="1:14" x14ac:dyDescent="0.15">
      <c r="A350" s="1">
        <v>42899</v>
      </c>
      <c r="B350">
        <v>12.18</v>
      </c>
      <c r="C350" s="93">
        <f t="shared" si="66"/>
        <v>0</v>
      </c>
      <c r="D350" s="26">
        <f t="shared" ref="D350" si="117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si="64"/>
        <v>-2.6044606946367121E-2</v>
      </c>
      <c r="H350" s="25">
        <f>(+B350/(D350*(1-VLOOKUP(A350,FX!A:K,9,0)))-1)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ref="L350" si="118">+K350/J350-1</f>
        <v>-2.496115287998979E-3</v>
      </c>
      <c r="M350">
        <f t="shared" si="62"/>
        <v>2</v>
      </c>
    </row>
    <row r="351" spans="1:14" x14ac:dyDescent="0.15">
      <c r="A351" s="1">
        <v>42900</v>
      </c>
      <c r="B351">
        <v>12.02</v>
      </c>
      <c r="C351" s="93">
        <f t="shared" si="66"/>
        <v>-1.3136288998357948E-2</v>
      </c>
      <c r="D351" s="26">
        <f t="shared" ref="D351" si="119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si="64"/>
        <v>-2.2956196178948729E-2</v>
      </c>
      <c r="H351" s="25">
        <f>(+B351/(D351*(1-VLOOKUP(A351,FX!A:K,9,0)))-1)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ref="L351" si="120">+K351/J351-1</f>
        <v>-1.6357504514706744E-2</v>
      </c>
      <c r="M351">
        <f t="shared" si="62"/>
        <v>3</v>
      </c>
    </row>
    <row r="352" spans="1:14" x14ac:dyDescent="0.15">
      <c r="A352" s="1">
        <v>42901</v>
      </c>
      <c r="B352">
        <v>11.94</v>
      </c>
      <c r="C352" s="93">
        <f t="shared" si="66"/>
        <v>-6.6555740432612254E-3</v>
      </c>
      <c r="D352" s="26">
        <f t="shared" ref="D352" si="12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si="64"/>
        <v>-2.6249833092091723E-2</v>
      </c>
      <c r="H352" s="25">
        <f>(+B352/(D352*(1-VLOOKUP(A352,FX!A:K,9,0)))-1)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ref="L352" si="122">+K352/J352-1</f>
        <v>-7.3769856784321464E-3</v>
      </c>
      <c r="M352">
        <f t="shared" si="62"/>
        <v>4</v>
      </c>
      <c r="N352" s="50" t="s">
        <v>360</v>
      </c>
    </row>
    <row r="353" spans="1:14" x14ac:dyDescent="0.15">
      <c r="A353" s="1">
        <v>42902</v>
      </c>
      <c r="B353">
        <v>11.88</v>
      </c>
      <c r="C353" s="93">
        <f t="shared" si="66"/>
        <v>-5.0251256281406143E-3</v>
      </c>
      <c r="D353" s="26">
        <f t="shared" ref="D353" si="123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si="64"/>
        <v>-2.8589603862676394E-2</v>
      </c>
      <c r="H353" s="25">
        <f>(+B353/(D353*(1-VLOOKUP(A353,FX!A:K,9,0)))-1)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ref="L353" si="124">+K353/J353-1</f>
        <v>-3.9387050372770016E-3</v>
      </c>
      <c r="M353">
        <f t="shared" si="62"/>
        <v>5</v>
      </c>
    </row>
    <row r="354" spans="1:14" ht="27" x14ac:dyDescent="0.15">
      <c r="A354" s="1">
        <v>42905</v>
      </c>
      <c r="B354">
        <v>12.02</v>
      </c>
      <c r="C354" s="93">
        <f t="shared" si="66"/>
        <v>1.1784511784511675E-2</v>
      </c>
      <c r="D354" s="26">
        <f t="shared" ref="D354" si="125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si="64"/>
        <v>-2.7459183820633282E-2</v>
      </c>
      <c r="H354" s="25">
        <f>(+B354/(D354*(1-VLOOKUP(A354,FX!A:K,9,0)))-1)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ref="L354" si="126">+K354/J354-1</f>
        <v>1.0496152777334844E-2</v>
      </c>
      <c r="M354">
        <f t="shared" si="62"/>
        <v>1</v>
      </c>
      <c r="N354" s="50" t="s">
        <v>364</v>
      </c>
    </row>
    <row r="355" spans="1:14" x14ac:dyDescent="0.15">
      <c r="A355" s="1">
        <v>42906</v>
      </c>
      <c r="B355">
        <v>11.96</v>
      </c>
      <c r="C355" s="93">
        <f t="shared" si="66"/>
        <v>-4.991680532445808E-3</v>
      </c>
      <c r="D355" s="26">
        <f t="shared" ref="D355" si="127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si="64"/>
        <v>-3.0005397107126019E-2</v>
      </c>
      <c r="H355" s="25">
        <f>(+B355/(D355*(1-VLOOKUP(A355,FX!A:K,9,0)))-1)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ref="L355" si="128">+K355/J355-1</f>
        <v>-2.4299747985915277E-3</v>
      </c>
      <c r="M355">
        <f t="shared" si="62"/>
        <v>2</v>
      </c>
    </row>
    <row r="356" spans="1:14" x14ac:dyDescent="0.15">
      <c r="A356" s="1">
        <v>42907</v>
      </c>
      <c r="B356">
        <v>12.08</v>
      </c>
      <c r="C356" s="93">
        <f t="shared" si="66"/>
        <v>1.0033444816053505E-2</v>
      </c>
      <c r="D356" s="26">
        <f t="shared" ref="D356:D357" si="12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si="64"/>
        <v>-3.003134690107756E-2</v>
      </c>
      <c r="H356" s="25">
        <f>(+B356/(D356*(1-VLOOKUP(A356,FX!A:K,9,0)))-1)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130">+K356/J356-1</f>
        <v>1.1780868967885993E-2</v>
      </c>
      <c r="M356">
        <f t="shared" si="62"/>
        <v>3</v>
      </c>
    </row>
    <row r="357" spans="1:14" x14ac:dyDescent="0.15">
      <c r="A357" s="1">
        <v>42908</v>
      </c>
      <c r="B357">
        <v>12.18</v>
      </c>
      <c r="C357" s="93">
        <f t="shared" si="66"/>
        <v>8.2781456953642252E-3</v>
      </c>
      <c r="D357" s="26">
        <f t="shared" si="129"/>
        <v>12.535939017548623</v>
      </c>
      <c r="E357" s="26">
        <f>D357*(1-VLOOKUP(A357,FX!A:K,9,0))</f>
        <v>12.534452287920489</v>
      </c>
      <c r="F357">
        <v>12.53</v>
      </c>
      <c r="G357" s="25">
        <f t="shared" si="64"/>
        <v>-2.8393486682597668E-2</v>
      </c>
      <c r="H357" s="25">
        <f>(+B357/(D357*(1-VLOOKUP(A357,FX!A:K,9,0)))-1)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130"/>
        <v>7.7121396743267123E-3</v>
      </c>
      <c r="M357">
        <f t="shared" si="62"/>
        <v>4</v>
      </c>
    </row>
    <row r="358" spans="1:14" x14ac:dyDescent="0.15">
      <c r="A358" s="1">
        <v>42909</v>
      </c>
      <c r="B358">
        <v>12.3</v>
      </c>
      <c r="C358" s="93">
        <f t="shared" si="66"/>
        <v>9.8522167487684609E-3</v>
      </c>
      <c r="D358" s="26">
        <f t="shared" ref="D358" si="131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64"/>
        <v>-2.5469439908006763E-2</v>
      </c>
      <c r="H358" s="25">
        <f>(+B358/(D358*(1-VLOOKUP(A358,FX!A:K,9,0)))-1)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130"/>
        <v>7.2994059592015326E-3</v>
      </c>
      <c r="M358">
        <f t="shared" si="62"/>
        <v>5</v>
      </c>
    </row>
    <row r="359" spans="1:14" x14ac:dyDescent="0.15">
      <c r="A359" s="1">
        <v>42912</v>
      </c>
      <c r="B359">
        <v>12.42</v>
      </c>
      <c r="C359" s="93">
        <f t="shared" si="66"/>
        <v>9.7560975609756184E-3</v>
      </c>
      <c r="D359" s="26">
        <f t="shared" ref="D359" si="132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64"/>
        <v>-2.1462552944311541E-2</v>
      </c>
      <c r="H359" s="25">
        <f>(+B359/(D359*(1-VLOOKUP(A359,FX!A:K,9,0)))-1)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130"/>
        <v>6.5354127668488804E-3</v>
      </c>
      <c r="M359">
        <f t="shared" si="62"/>
        <v>1</v>
      </c>
    </row>
    <row r="360" spans="1:14" x14ac:dyDescent="0.15">
      <c r="A360" s="1">
        <v>42913</v>
      </c>
      <c r="B360">
        <v>12.44</v>
      </c>
      <c r="C360" s="93">
        <f t="shared" si="66"/>
        <v>1.6103059581320522E-3</v>
      </c>
      <c r="D360" s="26">
        <f t="shared" ref="D360" si="133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64"/>
        <v>-2.4758194964189073E-2</v>
      </c>
      <c r="H360" s="25">
        <f>(+B360/(D360*(1-VLOOKUP(A360,FX!A:K,9,0)))-1)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130"/>
        <v>4.8692966756056499E-3</v>
      </c>
      <c r="M360">
        <f t="shared" si="62"/>
        <v>2</v>
      </c>
    </row>
    <row r="361" spans="1:14" x14ac:dyDescent="0.15">
      <c r="A361" s="1">
        <v>42914</v>
      </c>
      <c r="B361">
        <v>12.4</v>
      </c>
      <c r="C361" s="93">
        <f t="shared" si="66"/>
        <v>-3.215434083601254E-3</v>
      </c>
      <c r="D361" s="26">
        <f t="shared" ref="D361" si="13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64"/>
        <v>-1.9869792196593239E-2</v>
      </c>
      <c r="H361" s="25">
        <f>(+B361/(D361*(1-VLOOKUP(A361,FX!A:K,9,0)))-1)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130"/>
        <v>-7.1898063633657472E-3</v>
      </c>
      <c r="M361">
        <f t="shared" si="62"/>
        <v>3</v>
      </c>
    </row>
    <row r="362" spans="1:14" x14ac:dyDescent="0.15">
      <c r="A362" s="1">
        <v>42915</v>
      </c>
      <c r="B362">
        <v>12.52</v>
      </c>
      <c r="C362" s="93">
        <f t="shared" si="66"/>
        <v>9.6774193548385679E-3</v>
      </c>
      <c r="D362" s="26">
        <f t="shared" ref="D362" si="135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64"/>
        <v>-2.0688507917499321E-2</v>
      </c>
      <c r="H362" s="25">
        <f>(+B362/(D362*(1-VLOOKUP(A362,FX!A:K,9,0)))-1)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" si="136">+K362/J362-1</f>
        <v>6.652918528698093E-3</v>
      </c>
      <c r="M362">
        <f t="shared" si="62"/>
        <v>4</v>
      </c>
    </row>
    <row r="363" spans="1:14" x14ac:dyDescent="0.15">
      <c r="A363" s="1">
        <v>42916</v>
      </c>
      <c r="B363">
        <v>12.54</v>
      </c>
      <c r="C363" s="93">
        <f t="shared" si="66"/>
        <v>1.5974440894568342E-3</v>
      </c>
      <c r="D363" s="26">
        <f t="shared" ref="D363" si="137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si="64"/>
        <v>-1.8806274190720784E-2</v>
      </c>
      <c r="H363" s="25">
        <f>(+B363/(D363*(1-VLOOKUP(A363,FX!A:K,9,0)))-1)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ref="L363" si="138">+K363/J363-1</f>
        <v>-2.2366475882688031E-3</v>
      </c>
      <c r="M363">
        <f t="shared" si="62"/>
        <v>5</v>
      </c>
    </row>
    <row r="364" spans="1:14" x14ac:dyDescent="0.15">
      <c r="A364" s="1">
        <v>42919</v>
      </c>
      <c r="B364">
        <v>12.42</v>
      </c>
      <c r="C364" s="93">
        <f t="shared" si="66"/>
        <v>-9.5693779904305609E-3</v>
      </c>
      <c r="D364" s="26">
        <f t="shared" ref="D364" si="139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si="64"/>
        <v>-2.3718342549722826E-2</v>
      </c>
      <c r="H364" s="25">
        <f>(+B364/(D364*(1-VLOOKUP(A364,FX!A:K,9,0)))-1)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ref="L364" si="140">+K364/J364-1</f>
        <v>-7.8968608887240999E-3</v>
      </c>
      <c r="M364">
        <f t="shared" si="62"/>
        <v>1</v>
      </c>
    </row>
    <row r="365" spans="1:14" x14ac:dyDescent="0.15">
      <c r="A365" s="1">
        <v>42920</v>
      </c>
      <c r="B365">
        <v>12.28</v>
      </c>
      <c r="C365" s="93">
        <f t="shared" si="66"/>
        <v>-1.1272141706924366E-2</v>
      </c>
      <c r="D365" s="26">
        <f t="shared" ref="D365" si="14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si="64"/>
        <v>-2.5301736646966444E-2</v>
      </c>
      <c r="H365" s="25">
        <f>(+B365/(D365*(1-VLOOKUP(A365,FX!A:K,9,0)))-1)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ref="L365" si="142">+K365/J365-1</f>
        <v>-9.997581301259939E-3</v>
      </c>
      <c r="M365">
        <f t="shared" si="62"/>
        <v>2</v>
      </c>
      <c r="N365" s="50" t="s">
        <v>370</v>
      </c>
    </row>
    <row r="366" spans="1:14" x14ac:dyDescent="0.15">
      <c r="A366" s="1">
        <v>42921</v>
      </c>
      <c r="B366">
        <v>12.52</v>
      </c>
      <c r="C366" s="93">
        <f t="shared" si="66"/>
        <v>1.9543973941368087E-2</v>
      </c>
      <c r="D366" s="26">
        <f t="shared" ref="D366" si="143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si="64"/>
        <v>-1.9187526358568796E-2</v>
      </c>
      <c r="H366" s="25">
        <f>(+B366/(D366*(1-VLOOKUP(A366,FX!A:K,9,0)))-1)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ref="L366" si="144">+K366/J366-1</f>
        <v>1.4942146821984359E-2</v>
      </c>
      <c r="M366">
        <f t="shared" si="62"/>
        <v>3</v>
      </c>
    </row>
    <row r="367" spans="1:14" x14ac:dyDescent="0.15">
      <c r="A367" s="1">
        <v>42922</v>
      </c>
      <c r="B367">
        <v>12.54</v>
      </c>
      <c r="C367" s="93">
        <f t="shared" si="66"/>
        <v>1.5974440894568342E-3</v>
      </c>
      <c r="D367" s="26">
        <f t="shared" ref="D367" si="145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si="64"/>
        <v>-1.8360737758167933E-2</v>
      </c>
      <c r="H367" s="25">
        <f>(+B367/(D367*(1-VLOOKUP(A367,FX!A:K,9,0)))-1)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ref="L367" si="146">+K367/J367-1</f>
        <v>1.2972382480456179E-3</v>
      </c>
      <c r="M367">
        <f t="shared" si="62"/>
        <v>4</v>
      </c>
    </row>
    <row r="368" spans="1:14" x14ac:dyDescent="0.15">
      <c r="A368" s="1">
        <v>42923</v>
      </c>
      <c r="B368">
        <v>12.44</v>
      </c>
      <c r="C368" s="93">
        <f t="shared" si="66"/>
        <v>-7.9744816586921896E-3</v>
      </c>
      <c r="D368" s="26">
        <f t="shared" ref="D368" si="14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si="64"/>
        <v>-2.0483989713309669E-2</v>
      </c>
      <c r="H368" s="25">
        <f>(+B368/(D368*(1-VLOOKUP(A368,FX!A:K,9,0)))-1)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ref="L368" si="148">+K368/J368-1</f>
        <v>-6.4812847875136415E-3</v>
      </c>
      <c r="M368">
        <f t="shared" si="62"/>
        <v>5</v>
      </c>
    </row>
    <row r="369" spans="1:14" x14ac:dyDescent="0.15">
      <c r="A369" s="1">
        <v>42926</v>
      </c>
      <c r="B369">
        <v>12.52</v>
      </c>
      <c r="C369" s="93">
        <f t="shared" si="66"/>
        <v>6.4308681672025081E-3</v>
      </c>
      <c r="D369" s="26">
        <f t="shared" ref="D369" si="149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si="64"/>
        <v>-1.979347148719357E-2</v>
      </c>
      <c r="H369" s="25">
        <f>(+B369/(D369*(1-VLOOKUP(A369,FX!A:K,9,0)))-1)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ref="L369" si="150">+K369/J369-1</f>
        <v>2.8121549148918401E-3</v>
      </c>
      <c r="M369">
        <f t="shared" si="62"/>
        <v>1</v>
      </c>
    </row>
    <row r="370" spans="1:14" x14ac:dyDescent="0.15">
      <c r="A370" s="1">
        <v>42927</v>
      </c>
      <c r="B370">
        <v>12.68</v>
      </c>
      <c r="C370" s="93">
        <f t="shared" si="66"/>
        <v>1.2779552715654896E-2</v>
      </c>
      <c r="D370" s="26">
        <f t="shared" ref="D370" si="151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si="64"/>
        <v>-1.8436482218897932E-2</v>
      </c>
      <c r="H370" s="25">
        <f>(+B370/(D370*(1-VLOOKUP(A370,FX!A:K,9,0)))-1)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ref="L370" si="152">+K370/J370-1</f>
        <v>1.1998866359390403E-2</v>
      </c>
      <c r="M370">
        <f t="shared" si="62"/>
        <v>2</v>
      </c>
    </row>
    <row r="371" spans="1:14" x14ac:dyDescent="0.15">
      <c r="A371" s="1">
        <v>42928</v>
      </c>
      <c r="B371">
        <v>12.66</v>
      </c>
      <c r="C371" s="93">
        <f t="shared" si="66"/>
        <v>-1.577287066246047E-3</v>
      </c>
      <c r="D371" s="26">
        <f t="shared" ref="D371" si="153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si="64"/>
        <v>-1.855110902855428E-2</v>
      </c>
      <c r="H371" s="25">
        <f>(+B371/(D371*(1-VLOOKUP(A371,FX!A:K,9,0)))-1)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ref="L371" si="154">+K371/J371-1</f>
        <v>-3.1455756455454065E-3</v>
      </c>
      <c r="M371">
        <f t="shared" si="62"/>
        <v>3</v>
      </c>
    </row>
    <row r="372" spans="1:14" x14ac:dyDescent="0.15">
      <c r="A372" s="1">
        <v>42929</v>
      </c>
      <c r="B372">
        <v>12.88</v>
      </c>
      <c r="C372" s="93">
        <f t="shared" si="66"/>
        <v>1.7377567140600458E-2</v>
      </c>
      <c r="D372" s="26">
        <f t="shared" ref="D372" si="155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si="64"/>
        <v>-1.6202036302697898E-2</v>
      </c>
      <c r="H372" s="25">
        <f>(+B372/(D372*(1-VLOOKUP(A372,FX!A:K,9,0)))-1)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ref="L372" si="156">+K372/J372-1</f>
        <v>1.2929902290782946E-2</v>
      </c>
      <c r="M372">
        <f t="shared" si="62"/>
        <v>4</v>
      </c>
    </row>
    <row r="373" spans="1:14" x14ac:dyDescent="0.15">
      <c r="A373" s="1">
        <v>42930</v>
      </c>
      <c r="B373">
        <v>12.96</v>
      </c>
      <c r="C373" s="93">
        <f t="shared" si="66"/>
        <v>6.2111801242235032E-3</v>
      </c>
      <c r="D373" s="26">
        <f t="shared" ref="D373" si="157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si="64"/>
        <v>-1.9787881949619779E-2</v>
      </c>
      <c r="H373" s="25">
        <f>(+B373/(D373*(1-VLOOKUP(A373,FX!A:K,9,0)))-1)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ref="L373" si="158">+K373/J373-1</f>
        <v>7.8996809215836628E-3</v>
      </c>
      <c r="M373">
        <f t="shared" si="62"/>
        <v>5</v>
      </c>
    </row>
    <row r="374" spans="1:14" x14ac:dyDescent="0.15">
      <c r="A374" s="1">
        <v>42933</v>
      </c>
      <c r="B374">
        <v>13</v>
      </c>
      <c r="C374" s="93">
        <f t="shared" si="66"/>
        <v>3.0864197530864335E-3</v>
      </c>
      <c r="D374" s="26">
        <f t="shared" ref="D374" si="159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si="64"/>
        <v>-2.1442671515561562E-2</v>
      </c>
      <c r="H374" s="25">
        <f>(+B374/(D374*(1-VLOOKUP(A374,FX!A:K,9,0)))-1)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ref="L374" si="160">+K374/J374-1</f>
        <v>2.8582284606288866E-3</v>
      </c>
      <c r="M374">
        <f t="shared" si="62"/>
        <v>1</v>
      </c>
    </row>
    <row r="375" spans="1:14" x14ac:dyDescent="0.15">
      <c r="A375" s="1">
        <v>42934</v>
      </c>
      <c r="B375">
        <v>12.98</v>
      </c>
      <c r="C375" s="93">
        <f t="shared" si="66"/>
        <v>-1.5384615384614886E-3</v>
      </c>
      <c r="D375" s="26">
        <f t="shared" ref="D375" si="16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si="64"/>
        <v>-2.2003677883482453E-2</v>
      </c>
      <c r="H375" s="25">
        <f>(+B375/(D375*(1-VLOOKUP(A375,FX!A:K,9,0)))-1)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ref="L375" si="162">+K375/J375-1</f>
        <v>-2.9273870394739276E-3</v>
      </c>
      <c r="M375">
        <f t="shared" si="62"/>
        <v>2</v>
      </c>
    </row>
    <row r="376" spans="1:14" x14ac:dyDescent="0.15">
      <c r="A376" s="1">
        <v>42935</v>
      </c>
      <c r="B376">
        <v>13.12</v>
      </c>
      <c r="C376" s="93">
        <f t="shared" si="66"/>
        <v>1.0785824345146189E-2</v>
      </c>
      <c r="D376" s="26">
        <f t="shared" ref="D376" si="163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si="64"/>
        <v>-2.2849866617327685E-2</v>
      </c>
      <c r="H376" s="25">
        <f>(+B376/(D376*(1-VLOOKUP(A376,FX!A:K,9,0)))-1)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ref="L376" si="164">+K376/J376-1</f>
        <v>1.2273869336030252E-2</v>
      </c>
      <c r="M376">
        <f t="shared" si="62"/>
        <v>3</v>
      </c>
    </row>
    <row r="377" spans="1:14" x14ac:dyDescent="0.15">
      <c r="A377" s="1">
        <v>42936</v>
      </c>
      <c r="B377">
        <v>13.14</v>
      </c>
      <c r="C377" s="93">
        <f t="shared" si="66"/>
        <v>1.5243902439026069E-3</v>
      </c>
      <c r="D377" s="26">
        <f t="shared" ref="D377" si="165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si="64"/>
        <v>-2.7091102520113708E-2</v>
      </c>
      <c r="H377" s="25">
        <f>(+B377/(D377*(1-VLOOKUP(A377,FX!A:K,9,0)))-1)</f>
        <v>-2.5068902541023119E-2</v>
      </c>
      <c r="I377" s="25">
        <f t="shared" ref="I377:I440" si="166">+B377/F377-1</f>
        <v>-2.7027027027027084E-2</v>
      </c>
      <c r="J377">
        <v>11881.19</v>
      </c>
      <c r="K377">
        <v>11915.5</v>
      </c>
      <c r="L377" s="25">
        <f t="shared" ref="L377" si="167">+K377/J377-1</f>
        <v>2.8877578761050682E-3</v>
      </c>
      <c r="M377">
        <f t="shared" si="62"/>
        <v>4</v>
      </c>
    </row>
    <row r="378" spans="1:14" x14ac:dyDescent="0.15">
      <c r="A378" s="1">
        <v>42937</v>
      </c>
      <c r="B378">
        <v>13.08</v>
      </c>
      <c r="C378" s="93">
        <f t="shared" si="66"/>
        <v>-4.5662100456621557E-3</v>
      </c>
      <c r="D378" s="26">
        <f t="shared" ref="D378" si="168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si="64"/>
        <v>-2.2696196020021264E-2</v>
      </c>
      <c r="H378" s="25">
        <f>(+B378/(D378*(1-VLOOKUP(A378,FX!A:K,9,0)))-1)</f>
        <v>-2.4111602075508665E-2</v>
      </c>
      <c r="I378" s="25">
        <f t="shared" si="166"/>
        <v>-2.3807746846779554E-2</v>
      </c>
      <c r="J378">
        <v>11915.5</v>
      </c>
      <c r="K378">
        <v>11808.53</v>
      </c>
      <c r="L378" s="25">
        <f t="shared" ref="L378" si="169">+K378/J378-1</f>
        <v>-8.9773824010741521E-3</v>
      </c>
      <c r="M378">
        <f t="shared" si="62"/>
        <v>5</v>
      </c>
    </row>
    <row r="379" spans="1:14" x14ac:dyDescent="0.15">
      <c r="A379" s="1">
        <v>42940</v>
      </c>
      <c r="B379">
        <v>13.16</v>
      </c>
      <c r="C379" s="93">
        <f t="shared" si="66"/>
        <v>6.1162079510703737E-3</v>
      </c>
      <c r="D379" s="26">
        <f t="shared" ref="D379" si="170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si="64"/>
        <v>-2.4727676919260921E-2</v>
      </c>
      <c r="H379" s="25">
        <f>(+B379/(D379*(1-VLOOKUP(A379,FX!A:K,9,0)))-1)</f>
        <v>-2.5388326470576539E-2</v>
      </c>
      <c r="I379" s="25">
        <f t="shared" si="166"/>
        <v>-2.4462564862861358E-2</v>
      </c>
      <c r="J379">
        <v>11808.53</v>
      </c>
      <c r="K379">
        <v>11891.96</v>
      </c>
      <c r="L379" s="25">
        <f t="shared" ref="L379" si="171">+K379/J379-1</f>
        <v>7.0652316588091235E-3</v>
      </c>
      <c r="M379">
        <f t="shared" si="62"/>
        <v>1</v>
      </c>
    </row>
    <row r="380" spans="1:14" x14ac:dyDescent="0.15">
      <c r="A380" s="1">
        <v>42941</v>
      </c>
      <c r="B380">
        <v>13.18</v>
      </c>
      <c r="C380" s="93">
        <f t="shared" si="66"/>
        <v>1.5197568389058169E-3</v>
      </c>
      <c r="D380" s="26">
        <f t="shared" ref="D380" si="172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si="64"/>
        <v>-2.0341356525056864E-2</v>
      </c>
      <c r="H380" s="25">
        <f>(+B380/(D380*(1-VLOOKUP(A380,FX!A:K,9,0)))-1)</f>
        <v>-2.14539276605199E-2</v>
      </c>
      <c r="I380" s="25">
        <f t="shared" si="166"/>
        <v>-1.9491147150721644E-2</v>
      </c>
      <c r="J380">
        <v>11891.96</v>
      </c>
      <c r="K380">
        <v>11859.93</v>
      </c>
      <c r="L380" s="25">
        <f t="shared" ref="L380" si="173">+K380/J380-1</f>
        <v>-2.6934163922515131E-3</v>
      </c>
      <c r="M380">
        <f t="shared" si="62"/>
        <v>2</v>
      </c>
    </row>
    <row r="381" spans="1:14" x14ac:dyDescent="0.15">
      <c r="A381" s="1">
        <v>42942</v>
      </c>
      <c r="B381">
        <v>13.12</v>
      </c>
      <c r="C381" s="93">
        <f t="shared" si="66"/>
        <v>-4.5523520485584168E-3</v>
      </c>
      <c r="D381" s="26">
        <f t="shared" ref="D381" si="174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si="64"/>
        <v>-1.9576731302327732E-2</v>
      </c>
      <c r="H381" s="25">
        <f>(+B381/(D381*(1-VLOOKUP(A381,FX!A:K,9,0)))-1)</f>
        <v>-1.8298526063696641E-2</v>
      </c>
      <c r="I381" s="25">
        <f t="shared" si="166"/>
        <v>-1.9138755980861233E-2</v>
      </c>
      <c r="J381">
        <v>11859.93</v>
      </c>
      <c r="K381">
        <v>11806.97</v>
      </c>
      <c r="L381" s="25">
        <f t="shared" ref="L381" si="175">+K381/J381-1</f>
        <v>-4.4654563728454555E-3</v>
      </c>
      <c r="M381">
        <f t="shared" si="62"/>
        <v>3</v>
      </c>
    </row>
    <row r="382" spans="1:14" x14ac:dyDescent="0.15">
      <c r="A382" s="1">
        <v>42943</v>
      </c>
      <c r="B382">
        <v>13.18</v>
      </c>
      <c r="C382" s="93">
        <f t="shared" si="66"/>
        <v>4.5731707317073766E-3</v>
      </c>
      <c r="D382" s="26">
        <f t="shared" ref="D382" si="176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si="64"/>
        <v>-1.3582894478422203E-2</v>
      </c>
      <c r="H382" s="25">
        <f>(+B382/(D382*(1-VLOOKUP(A382,FX!A:K,9,0)))-1)</f>
        <v>-1.7400472402015366E-2</v>
      </c>
      <c r="I382" s="25">
        <f t="shared" si="166"/>
        <v>-1.7004773269689744E-2</v>
      </c>
      <c r="J382">
        <v>11806.97</v>
      </c>
      <c r="K382">
        <v>11794.16</v>
      </c>
      <c r="L382" s="25">
        <f t="shared" ref="L382" si="177">+K382/J382-1</f>
        <v>-1.084952362883862E-3</v>
      </c>
      <c r="M382">
        <f t="shared" si="62"/>
        <v>4</v>
      </c>
    </row>
    <row r="383" spans="1:14" x14ac:dyDescent="0.15">
      <c r="A383" s="1">
        <v>42944</v>
      </c>
      <c r="B383">
        <v>13.24</v>
      </c>
      <c r="C383" s="93">
        <f t="shared" si="66"/>
        <v>4.5523520485584168E-3</v>
      </c>
      <c r="D383" s="26">
        <f t="shared" ref="D383" si="178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si="64"/>
        <v>-1.4791921525599272E-2</v>
      </c>
      <c r="H383" s="25">
        <f>(+B383/(D383*(1-VLOOKUP(A383,FX!A:K,9,0)))-1)</f>
        <v>-1.2267544202879233E-2</v>
      </c>
      <c r="I383" s="25">
        <f t="shared" si="166"/>
        <v>-1.4000595770032764E-2</v>
      </c>
      <c r="J383">
        <v>11794.16</v>
      </c>
      <c r="K383">
        <v>11821.24</v>
      </c>
      <c r="L383" s="25">
        <f t="shared" ref="L383" si="179">+K383/J383-1</f>
        <v>2.2960516052012991E-3</v>
      </c>
      <c r="M383">
        <f t="shared" si="62"/>
        <v>5</v>
      </c>
    </row>
    <row r="384" spans="1:14" ht="27" x14ac:dyDescent="0.15">
      <c r="A384" s="1">
        <v>42947</v>
      </c>
      <c r="B384">
        <v>13.28</v>
      </c>
      <c r="C384" s="93">
        <f t="shared" si="66"/>
        <v>3.0211480362536403E-3</v>
      </c>
      <c r="D384" s="26">
        <f t="shared" ref="D384" si="180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si="64"/>
        <v>-9.7878797400579032E-3</v>
      </c>
      <c r="H384" s="25">
        <f>(+B384/(D384*(1-VLOOKUP(A384,FX!A:K,9,0)))-1)</f>
        <v>-1.2665641674058481E-2</v>
      </c>
      <c r="I384" s="25">
        <f t="shared" si="166"/>
        <v>-1.0874422761805502E-2</v>
      </c>
      <c r="J384">
        <v>11821.24</v>
      </c>
      <c r="K384">
        <v>11806.51</v>
      </c>
      <c r="L384" s="25">
        <f t="shared" ref="L384" si="181">+K384/J384-1</f>
        <v>-1.2460621728346277E-3</v>
      </c>
      <c r="M384">
        <f t="shared" si="62"/>
        <v>1</v>
      </c>
      <c r="N384" s="50" t="s">
        <v>395</v>
      </c>
    </row>
    <row r="385" spans="1:14" x14ac:dyDescent="0.15">
      <c r="A385" s="1">
        <v>42948</v>
      </c>
      <c r="B385">
        <v>13.44</v>
      </c>
      <c r="C385" s="93">
        <f t="shared" si="66"/>
        <v>1.2048192771084265E-2</v>
      </c>
      <c r="D385" s="26">
        <f t="shared" ref="D385" si="18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si="64"/>
        <v>-1.3653229301051284E-2</v>
      </c>
      <c r="H385" s="25">
        <f>(+B385/(D385*(1-VLOOKUP(A385,FX!A:K,9,0)))-1)</f>
        <v>-1.4034393263986478E-2</v>
      </c>
      <c r="I385" s="25">
        <f t="shared" si="166"/>
        <v>-1.5745148297326983E-2</v>
      </c>
      <c r="J385">
        <v>11806.51</v>
      </c>
      <c r="K385">
        <v>11982.42</v>
      </c>
      <c r="L385" s="25">
        <f t="shared" ref="L385" si="183">+K385/J385-1</f>
        <v>1.4899407191456326E-2</v>
      </c>
      <c r="M385">
        <f t="shared" si="62"/>
        <v>2</v>
      </c>
    </row>
    <row r="386" spans="1:14" x14ac:dyDescent="0.15">
      <c r="A386" s="1">
        <v>42949</v>
      </c>
      <c r="B386">
        <v>13.44</v>
      </c>
      <c r="C386" s="93">
        <f t="shared" si="66"/>
        <v>0</v>
      </c>
      <c r="D386" s="26">
        <f t="shared" ref="D386" si="184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si="64"/>
        <v>-1.4774922256395984E-2</v>
      </c>
      <c r="H386" s="25">
        <f>(+B386/(D386*(1-VLOOKUP(A386,FX!A:K,9,0)))-1)</f>
        <v>-1.3672477266822192E-2</v>
      </c>
      <c r="I386" s="25">
        <f t="shared" si="166"/>
        <v>-1.4590512500916475E-2</v>
      </c>
      <c r="J386">
        <v>11982.42</v>
      </c>
      <c r="K386">
        <v>11970.62</v>
      </c>
      <c r="L386" s="25">
        <f t="shared" ref="L386" si="185">+K386/J386-1</f>
        <v>-9.847760302175157E-4</v>
      </c>
      <c r="M386">
        <f t="shared" si="62"/>
        <v>3</v>
      </c>
    </row>
    <row r="387" spans="1:14" x14ac:dyDescent="0.15">
      <c r="A387" s="1">
        <v>42950</v>
      </c>
      <c r="B387">
        <v>13.26</v>
      </c>
      <c r="C387" s="93">
        <f t="shared" si="66"/>
        <v>-1.3392857142857095E-2</v>
      </c>
      <c r="D387" s="26">
        <f t="shared" ref="D387" si="186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si="64"/>
        <v>-1.4045438163949653E-2</v>
      </c>
      <c r="H387" s="25">
        <f>(+B387/(D387*(1-VLOOKUP(A387,FX!A:K,9,0)))-1)</f>
        <v>-1.4388105362028281E-2</v>
      </c>
      <c r="I387" s="25">
        <f t="shared" si="166"/>
        <v>-1.4419503493384944E-2</v>
      </c>
      <c r="J387">
        <v>11970.62</v>
      </c>
      <c r="K387">
        <v>11803.77</v>
      </c>
      <c r="L387" s="25">
        <f t="shared" ref="L387" si="187">+K387/J387-1</f>
        <v>-1.3938292252197448E-2</v>
      </c>
      <c r="M387">
        <f t="shared" ref="M387:M450" si="188">WEEKDAY(A387,2)</f>
        <v>4</v>
      </c>
      <c r="N387" s="50" t="s">
        <v>396</v>
      </c>
    </row>
    <row r="388" spans="1:14" ht="27" x14ac:dyDescent="0.15">
      <c r="A388" s="1">
        <v>42951</v>
      </c>
      <c r="B388">
        <v>13.2</v>
      </c>
      <c r="C388" s="93">
        <f t="shared" si="66"/>
        <v>-4.5248868778280382E-3</v>
      </c>
      <c r="D388" s="26">
        <f t="shared" ref="D388" si="189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:G451" si="190">+B388/D388-1</f>
        <v>-1.2570817284852431E-2</v>
      </c>
      <c r="H388" s="25">
        <f>(+B388/(D388*(1-VLOOKUP(A388,FX!A:K,9,0)))-1)</f>
        <v>-1.3472089261871933E-2</v>
      </c>
      <c r="I388" s="25">
        <f t="shared" si="166"/>
        <v>-1.3747758517633102E-2</v>
      </c>
      <c r="J388">
        <v>11803.77</v>
      </c>
      <c r="K388">
        <v>11728.36</v>
      </c>
      <c r="L388" s="25">
        <f t="shared" ref="L388" si="191">+K388/J388-1</f>
        <v>-6.3886368507688474E-3</v>
      </c>
      <c r="M388">
        <f t="shared" si="188"/>
        <v>5</v>
      </c>
      <c r="N388" s="50" t="s">
        <v>398</v>
      </c>
    </row>
    <row r="389" spans="1:14" x14ac:dyDescent="0.15">
      <c r="A389" s="1">
        <v>42954</v>
      </c>
      <c r="B389">
        <v>13.26</v>
      </c>
      <c r="C389" s="93">
        <f t="shared" ref="C389:C452" si="192">B389/(B388-O389)-1</f>
        <v>4.5454545454546302E-3</v>
      </c>
      <c r="D389" s="26">
        <f t="shared" ref="D389" si="19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si="190"/>
        <v>-1.307252718750529E-2</v>
      </c>
      <c r="H389" s="25">
        <f>(+B389/(D389*(1-VLOOKUP(A389,FX!A:K,9,0)))-1)</f>
        <v>-1.2004757561060009E-2</v>
      </c>
      <c r="I389" s="25">
        <f t="shared" si="166"/>
        <v>-1.2364069715477433E-2</v>
      </c>
      <c r="J389">
        <v>11728.36</v>
      </c>
      <c r="K389">
        <v>11773.61</v>
      </c>
      <c r="L389" s="25">
        <f t="shared" ref="L389" si="194">+K389/J389-1</f>
        <v>3.8581694286328183E-3</v>
      </c>
      <c r="M389">
        <f t="shared" si="188"/>
        <v>1</v>
      </c>
    </row>
    <row r="390" spans="1:14" x14ac:dyDescent="0.15">
      <c r="A390" s="1">
        <v>42955</v>
      </c>
      <c r="B390">
        <v>13.26</v>
      </c>
      <c r="C390" s="93">
        <f t="shared" si="192"/>
        <v>0</v>
      </c>
      <c r="D390" s="26">
        <f t="shared" ref="D390" si="195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si="190"/>
        <v>-1.1106704078264307E-2</v>
      </c>
      <c r="H390" s="25">
        <f>(+B390/(D390*(1-VLOOKUP(A390,FX!A:K,9,0)))-1)</f>
        <v>-1.4839688742908752E-2</v>
      </c>
      <c r="I390" s="25">
        <f t="shared" si="166"/>
        <v>-1.199612547500184E-2</v>
      </c>
      <c r="J390">
        <v>11773.61</v>
      </c>
      <c r="K390">
        <v>11758.64</v>
      </c>
      <c r="L390" s="25">
        <f t="shared" ref="L390" si="196">+K390/J390-1</f>
        <v>-1.2714876745536507E-3</v>
      </c>
      <c r="M390">
        <f t="shared" si="188"/>
        <v>2</v>
      </c>
    </row>
    <row r="391" spans="1:14" x14ac:dyDescent="0.15">
      <c r="A391" s="1">
        <v>42956</v>
      </c>
      <c r="B391">
        <v>13.2</v>
      </c>
      <c r="C391" s="93">
        <f t="shared" si="192"/>
        <v>-4.5248868778280382E-3</v>
      </c>
      <c r="D391" s="26">
        <f t="shared" ref="D391" si="197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si="190"/>
        <v>-1.0848271629589123E-2</v>
      </c>
      <c r="H391" s="25">
        <f>(+B391/(D391*(1-VLOOKUP(A391,FX!A:K,9,0)))-1)</f>
        <v>-1.1705013965557343E-2</v>
      </c>
      <c r="I391" s="25">
        <f t="shared" si="166"/>
        <v>-1.1606140022463629E-2</v>
      </c>
      <c r="J391">
        <v>11758.64</v>
      </c>
      <c r="K391">
        <v>11691.85</v>
      </c>
      <c r="L391" s="25">
        <f t="shared" ref="L391" si="198">+K391/J391-1</f>
        <v>-5.6800786485511345E-3</v>
      </c>
      <c r="M391">
        <f t="shared" si="188"/>
        <v>3</v>
      </c>
      <c r="N391" s="50" t="s">
        <v>401</v>
      </c>
    </row>
    <row r="392" spans="1:14" x14ac:dyDescent="0.15">
      <c r="A392" s="1">
        <v>42957</v>
      </c>
      <c r="B392">
        <v>13.12</v>
      </c>
      <c r="C392" s="93">
        <f t="shared" si="192"/>
        <v>-6.0606060606060996E-3</v>
      </c>
      <c r="D392" s="26">
        <f t="shared" ref="D392" si="199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si="190"/>
        <v>-1.3656718687724667E-2</v>
      </c>
      <c r="H392" s="25">
        <f>(+B392/(D392*(1-VLOOKUP(A392,FX!A:K,9,0)))-1)</f>
        <v>-1.6538263548798504E-2</v>
      </c>
      <c r="I392" s="25">
        <f t="shared" si="166"/>
        <v>-1.8037572038021255E-2</v>
      </c>
      <c r="J392">
        <v>11691.85</v>
      </c>
      <c r="K392">
        <v>11645.15</v>
      </c>
      <c r="L392" s="25">
        <f t="shared" ref="L392" si="200">+K392/J392-1</f>
        <v>-3.9942353006582332E-3</v>
      </c>
      <c r="M392">
        <f t="shared" si="188"/>
        <v>4</v>
      </c>
    </row>
    <row r="393" spans="1:14" x14ac:dyDescent="0.15">
      <c r="A393" s="1">
        <v>42958</v>
      </c>
      <c r="B393">
        <v>12.82</v>
      </c>
      <c r="C393" s="93">
        <f t="shared" si="192"/>
        <v>-2.286585365853655E-2</v>
      </c>
      <c r="D393" s="26">
        <f t="shared" ref="D393" si="201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si="190"/>
        <v>-2.5448178858477832E-2</v>
      </c>
      <c r="H393" s="25">
        <f>(+B393/(D393*(1-VLOOKUP(A393,FX!A:K,9,0)))-1)</f>
        <v>-2.3778390785250125E-2</v>
      </c>
      <c r="I393" s="25">
        <f t="shared" si="166"/>
        <v>-2.7977860338160521E-2</v>
      </c>
      <c r="J393">
        <v>11645.15</v>
      </c>
      <c r="K393">
        <v>11465.4</v>
      </c>
      <c r="L393" s="25">
        <f t="shared" ref="L393" si="202">+K393/J393-1</f>
        <v>-1.5435610533140354E-2</v>
      </c>
      <c r="M393">
        <f t="shared" si="188"/>
        <v>5</v>
      </c>
    </row>
    <row r="394" spans="1:14" x14ac:dyDescent="0.15">
      <c r="A394" s="1">
        <v>42961</v>
      </c>
      <c r="B394">
        <v>13.04</v>
      </c>
      <c r="C394" s="93">
        <f t="shared" si="192"/>
        <v>1.7160686427456939E-2</v>
      </c>
      <c r="D394" s="26">
        <f t="shared" ref="D394" si="203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si="190"/>
        <v>-1.9232974202872621E-2</v>
      </c>
      <c r="H394" s="25">
        <f>(+B394/(D394*(1-VLOOKUP(A394,FX!A:K,9,0)))-1)</f>
        <v>-2.0426132721744095E-2</v>
      </c>
      <c r="I394" s="25">
        <f t="shared" si="166"/>
        <v>-2.0211886693215164E-2</v>
      </c>
      <c r="J394">
        <v>11465.4</v>
      </c>
      <c r="K394">
        <v>11558.17</v>
      </c>
      <c r="L394" s="25">
        <f t="shared" ref="L394" si="204">+K394/J394-1</f>
        <v>8.0913007832261741E-3</v>
      </c>
      <c r="M394">
        <f t="shared" si="188"/>
        <v>1</v>
      </c>
    </row>
    <row r="395" spans="1:14" x14ac:dyDescent="0.15">
      <c r="A395" s="1">
        <v>42962</v>
      </c>
      <c r="B395">
        <v>13.1</v>
      </c>
      <c r="C395" s="93">
        <f t="shared" si="192"/>
        <v>4.6012269938651151E-3</v>
      </c>
      <c r="D395" s="26">
        <f t="shared" ref="D395" si="205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si="190"/>
        <v>-2.1800600539575887E-2</v>
      </c>
      <c r="H395" s="25">
        <f>(+B395/(D395*(1-VLOOKUP(A395,FX!A:K,9,0)))-1)</f>
        <v>-2.0673609257416348E-2</v>
      </c>
      <c r="I395" s="25">
        <f t="shared" si="166"/>
        <v>-2.0487513085090558E-2</v>
      </c>
      <c r="J395">
        <v>11558.17</v>
      </c>
      <c r="K395">
        <v>11630.21</v>
      </c>
      <c r="L395" s="25">
        <f t="shared" ref="L395" si="206">+K395/J395-1</f>
        <v>6.232820593571331E-3</v>
      </c>
      <c r="M395">
        <f t="shared" si="188"/>
        <v>2</v>
      </c>
    </row>
    <row r="396" spans="1:14" x14ac:dyDescent="0.15">
      <c r="A396" s="1">
        <v>42963</v>
      </c>
      <c r="B396">
        <v>13.1</v>
      </c>
      <c r="C396" s="93">
        <f t="shared" si="192"/>
        <v>0</v>
      </c>
      <c r="D396" s="26">
        <f t="shared" ref="D396" si="20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si="190"/>
        <v>-1.7840035965375312E-2</v>
      </c>
      <c r="H396" s="25">
        <f>(+B396/(D396*(1-VLOOKUP(A396,FX!A:K,9,0)))-1)</f>
        <v>-1.682441058013151E-2</v>
      </c>
      <c r="I396" s="25">
        <f t="shared" si="166"/>
        <v>-1.6442675876567447E-2</v>
      </c>
      <c r="J396">
        <v>11630.21</v>
      </c>
      <c r="K396">
        <v>11598.86</v>
      </c>
      <c r="L396" s="25">
        <f t="shared" ref="L396" si="208">+K396/J396-1</f>
        <v>-2.6955661161749411E-3</v>
      </c>
      <c r="M396">
        <f t="shared" si="188"/>
        <v>3</v>
      </c>
    </row>
    <row r="397" spans="1:14" x14ac:dyDescent="0.15">
      <c r="A397" s="1">
        <v>42964</v>
      </c>
      <c r="B397">
        <v>13.14</v>
      </c>
      <c r="C397" s="93">
        <f t="shared" si="192"/>
        <v>3.0534351145039551E-3</v>
      </c>
      <c r="D397" s="26">
        <f t="shared" ref="D397" si="209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si="190"/>
        <v>-1.4954528303141923E-2</v>
      </c>
      <c r="H397" s="25">
        <f>(+B397/(D397*(1-VLOOKUP(A397,FX!A:K,9,0)))-1)</f>
        <v>-1.7497865672643109E-2</v>
      </c>
      <c r="I397" s="25">
        <f t="shared" si="166"/>
        <v>-1.6025161000449151E-2</v>
      </c>
      <c r="J397">
        <v>11598.86</v>
      </c>
      <c r="K397">
        <v>11616.7</v>
      </c>
      <c r="L397" s="25">
        <f t="shared" ref="L397" si="210">+K397/J397-1</f>
        <v>1.5380821908359543E-3</v>
      </c>
      <c r="M397">
        <f t="shared" si="188"/>
        <v>4</v>
      </c>
    </row>
    <row r="398" spans="1:14" x14ac:dyDescent="0.15">
      <c r="A398" s="1">
        <v>42965</v>
      </c>
      <c r="B398">
        <v>13.14</v>
      </c>
      <c r="C398" s="93">
        <f t="shared" si="192"/>
        <v>0</v>
      </c>
      <c r="D398" s="26">
        <f t="shared" ref="D398" si="211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si="190"/>
        <v>-1.8509156523979442E-2</v>
      </c>
      <c r="H398" s="25">
        <f>(+B398/(D398*(1-VLOOKUP(A398,FX!A:K,9,0)))-1)</f>
        <v>-1.7870558573872097E-2</v>
      </c>
      <c r="I398" s="25">
        <f t="shared" si="166"/>
        <v>-1.8670649738610878E-2</v>
      </c>
      <c r="J398">
        <v>11616.7</v>
      </c>
      <c r="K398">
        <v>11646.1</v>
      </c>
      <c r="L398" s="25">
        <f t="shared" ref="L398" si="212">+K398/J398-1</f>
        <v>2.5308392228429177E-3</v>
      </c>
      <c r="M398">
        <f t="shared" si="188"/>
        <v>5</v>
      </c>
      <c r="N398" s="50" t="s">
        <v>410</v>
      </c>
    </row>
    <row r="399" spans="1:14" x14ac:dyDescent="0.15">
      <c r="A399" s="1">
        <v>42968</v>
      </c>
      <c r="B399">
        <v>13.24</v>
      </c>
      <c r="C399" s="93">
        <f t="shared" si="192"/>
        <v>7.6103500761035558E-3</v>
      </c>
      <c r="D399" s="26">
        <f t="shared" ref="D399" si="21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si="190"/>
        <v>-1.3422720297224799E-2</v>
      </c>
      <c r="H399" s="25">
        <f>(+B399/(D399*(1-VLOOKUP(A399,FX!A:K,9,0)))-1)</f>
        <v>-1.3739251522719598E-2</v>
      </c>
      <c r="I399" s="93">
        <f t="shared" si="166"/>
        <v>-1.4000595770032764E-2</v>
      </c>
      <c r="J399" s="92">
        <v>11646.1</v>
      </c>
      <c r="K399" s="92">
        <v>11672.31</v>
      </c>
      <c r="L399" s="25">
        <f t="shared" ref="L399" si="214">+K399/J399-1</f>
        <v>2.2505388069824495E-3</v>
      </c>
      <c r="M399">
        <f t="shared" si="188"/>
        <v>1</v>
      </c>
    </row>
    <row r="400" spans="1:14" x14ac:dyDescent="0.15">
      <c r="A400" s="1">
        <v>42969</v>
      </c>
      <c r="B400">
        <v>13.36</v>
      </c>
      <c r="C400" s="93">
        <f t="shared" si="192"/>
        <v>9.0634441087613649E-3</v>
      </c>
      <c r="D400" s="26">
        <f t="shared" ref="D400" si="215">+F399*(1+L400)</f>
        <v>13.559929587202534</v>
      </c>
      <c r="E400" s="26">
        <f>D400*(1-VLOOKUP(A400,FX!A:K,9,0))</f>
        <v>13.599780681318034</v>
      </c>
      <c r="F400">
        <v>13.584</v>
      </c>
      <c r="G400" s="93">
        <f t="shared" si="190"/>
        <v>-1.4744146414390147E-2</v>
      </c>
      <c r="H400" s="93">
        <f>(+B400/(D400*(1-VLOOKUP(A400,FX!A:K,9,0)))-1)</f>
        <v>-1.7631216777445613E-2</v>
      </c>
      <c r="I400" s="93">
        <f t="shared" si="166"/>
        <v>-1.6489988221436991E-2</v>
      </c>
      <c r="J400" s="92">
        <v>11672.31</v>
      </c>
      <c r="K400" s="92">
        <v>11786.99</v>
      </c>
      <c r="L400" s="93">
        <f t="shared" ref="L400" si="216">+K400/J400-1</f>
        <v>9.8249618113295245E-3</v>
      </c>
      <c r="M400" s="92">
        <f t="shared" si="188"/>
        <v>2</v>
      </c>
    </row>
    <row r="401" spans="1:14" x14ac:dyDescent="0.15">
      <c r="A401" s="1">
        <v>42970</v>
      </c>
      <c r="B401">
        <v>13.36</v>
      </c>
      <c r="C401" s="93">
        <f t="shared" si="192"/>
        <v>0</v>
      </c>
      <c r="D401" s="26">
        <f t="shared" ref="D401" si="217">+F400*(1+L401)</f>
        <v>13.688896642823996</v>
      </c>
      <c r="E401" s="26">
        <f>D401*(1-VLOOKUP(A401,FX!A:K,9,0))</f>
        <v>13.685722765556614</v>
      </c>
      <c r="F401">
        <v>13.69</v>
      </c>
      <c r="G401" s="93">
        <f t="shared" si="190"/>
        <v>-2.4026526856451347E-2</v>
      </c>
      <c r="H401" s="93">
        <f>(+B401/(D401*(1-VLOOKUP(A401,FX!A:K,9,0)))-1)</f>
        <v>-2.3800187329263589E-2</v>
      </c>
      <c r="I401" s="93">
        <f t="shared" si="166"/>
        <v>-2.4105186267348477E-2</v>
      </c>
      <c r="J401" s="92">
        <v>11786.99</v>
      </c>
      <c r="K401" s="92">
        <v>11878.01</v>
      </c>
      <c r="L401" s="93">
        <f t="shared" ref="L401" si="218">+K401/J401-1</f>
        <v>7.7220732349820853E-3</v>
      </c>
      <c r="M401" s="92">
        <f t="shared" si="188"/>
        <v>3</v>
      </c>
    </row>
    <row r="402" spans="1:14" x14ac:dyDescent="0.15">
      <c r="A402" s="1">
        <v>42971</v>
      </c>
      <c r="B402">
        <v>13.4</v>
      </c>
      <c r="C402" s="93">
        <f t="shared" si="192"/>
        <v>2.9940119760478723E-3</v>
      </c>
      <c r="D402" s="26">
        <f t="shared" ref="D402:D407" si="219">+F401*(1+L402)</f>
        <v>13.641235611015651</v>
      </c>
      <c r="E402" s="26">
        <f>D402*(1-VLOOKUP(A402,FX!A:K,9,0))</f>
        <v>13.657538670968604</v>
      </c>
      <c r="F402">
        <v>13.654</v>
      </c>
      <c r="G402" s="93">
        <f t="shared" si="190"/>
        <v>-1.7684293263056428E-2</v>
      </c>
      <c r="H402" s="93">
        <f>(+B402/(D402*(1-VLOOKUP(A402,FX!A:K,9,0)))-1)</f>
        <v>-1.8856887552956003E-2</v>
      </c>
      <c r="I402" s="93">
        <f t="shared" si="166"/>
        <v>-1.8602607294565643E-2</v>
      </c>
      <c r="J402" s="92">
        <v>11878.01</v>
      </c>
      <c r="K402">
        <v>11835.7</v>
      </c>
      <c r="L402" s="93">
        <f t="shared" ref="L402" si="220">+K402/J402-1</f>
        <v>-3.5620444838823095E-3</v>
      </c>
      <c r="M402" s="92">
        <f t="shared" si="188"/>
        <v>4</v>
      </c>
    </row>
    <row r="403" spans="1:14" x14ac:dyDescent="0.15">
      <c r="A403" s="1">
        <v>42972</v>
      </c>
      <c r="B403">
        <v>13.74</v>
      </c>
      <c r="C403" s="93">
        <f t="shared" si="192"/>
        <v>2.5373134328358304E-2</v>
      </c>
      <c r="D403" s="26">
        <f t="shared" si="219"/>
        <v>13.945083525266776</v>
      </c>
      <c r="E403" s="26">
        <f>D403*(1-VLOOKUP(A403,FX!A:K,9,0))</f>
        <v>13.938213633784336</v>
      </c>
      <c r="F403">
        <v>13.930999999999999</v>
      </c>
      <c r="G403" s="93">
        <f t="shared" si="190"/>
        <v>-1.4706511072177464E-2</v>
      </c>
      <c r="H403" s="93">
        <f>(+B403/(D403*(1-VLOOKUP(A403,FX!A:K,9,0)))-1)</f>
        <v>-1.422087786801407E-2</v>
      </c>
      <c r="I403" s="93">
        <f t="shared" si="166"/>
        <v>-1.3710429976311778E-2</v>
      </c>
      <c r="J403">
        <v>11835.7</v>
      </c>
      <c r="K403">
        <v>12088.02</v>
      </c>
      <c r="L403" s="93">
        <f t="shared" ref="L403" si="221">+K403/J403-1</f>
        <v>2.1318553190770251E-2</v>
      </c>
      <c r="M403" s="92">
        <f t="shared" si="188"/>
        <v>5</v>
      </c>
    </row>
    <row r="404" spans="1:14" ht="54" x14ac:dyDescent="0.15">
      <c r="A404" s="90">
        <v>42975</v>
      </c>
      <c r="B404">
        <v>13.9</v>
      </c>
      <c r="C404" s="93">
        <f t="shared" si="192"/>
        <v>1.1644832605531397E-2</v>
      </c>
      <c r="D404" s="26">
        <f t="shared" si="219"/>
        <v>14.061516474162021</v>
      </c>
      <c r="E404" s="26">
        <f>D404*(1-VLOOKUP(A404,FX!A:K,9,0))</f>
        <v>14.117634426710463</v>
      </c>
      <c r="F404">
        <v>14.103</v>
      </c>
      <c r="G404" s="93">
        <f t="shared" si="190"/>
        <v>-1.1486419296155348E-2</v>
      </c>
      <c r="H404" s="93">
        <f>(+B404/(D404*(1-VLOOKUP(A404,FX!A:K,9,0)))-1)</f>
        <v>-1.5415785685645722E-2</v>
      </c>
      <c r="I404" s="93">
        <f t="shared" si="166"/>
        <v>-1.4394100545983113E-2</v>
      </c>
      <c r="J404">
        <v>12088.02</v>
      </c>
      <c r="K404">
        <v>12201.27</v>
      </c>
      <c r="L404" s="93">
        <f t="shared" ref="L404" si="222">+K404/J404-1</f>
        <v>9.3687799987094422E-3</v>
      </c>
      <c r="M404" s="92">
        <f t="shared" si="188"/>
        <v>1</v>
      </c>
      <c r="N404" s="50" t="s">
        <v>425</v>
      </c>
    </row>
    <row r="405" spans="1:14" x14ac:dyDescent="0.15">
      <c r="A405" s="90">
        <v>42976</v>
      </c>
      <c r="B405">
        <v>13.98</v>
      </c>
      <c r="C405" s="93">
        <f t="shared" si="192"/>
        <v>5.7553956834532904E-3</v>
      </c>
      <c r="D405" s="26">
        <f t="shared" si="219"/>
        <v>14.120095217956816</v>
      </c>
      <c r="E405" s="26">
        <f>D405*(1-VLOOKUP(A405,FX!A:K,9,0))</f>
        <v>14.168991358491219</v>
      </c>
      <c r="F405">
        <v>14.135</v>
      </c>
      <c r="G405" s="93">
        <f t="shared" si="190"/>
        <v>-9.9216907389302333E-3</v>
      </c>
      <c r="H405" s="93">
        <f>(+B405/(D405*(1-VLOOKUP(A405,FX!A:K,9,0)))-1)</f>
        <v>-1.3338377708725146E-2</v>
      </c>
      <c r="I405" s="93">
        <f t="shared" si="166"/>
        <v>-1.0965688008489516E-2</v>
      </c>
      <c r="J405">
        <v>12201.27</v>
      </c>
      <c r="K405">
        <v>12216.06</v>
      </c>
      <c r="L405" s="93">
        <f t="shared" ref="L405" si="223">+K405/J405-1</f>
        <v>1.2121688971720168E-3</v>
      </c>
      <c r="M405" s="92">
        <f t="shared" si="188"/>
        <v>2</v>
      </c>
    </row>
    <row r="406" spans="1:14" ht="27" x14ac:dyDescent="0.15">
      <c r="A406" s="90">
        <v>42977</v>
      </c>
      <c r="B406">
        <v>14.02</v>
      </c>
      <c r="C406" s="93">
        <f t="shared" si="192"/>
        <v>2.8612303290413976E-3</v>
      </c>
      <c r="D406" s="26">
        <f t="shared" si="219"/>
        <v>14.083116381222752</v>
      </c>
      <c r="E406" s="26">
        <f>D406*(1-VLOOKUP(A406,FX!A:K,9,0))</f>
        <v>14.129242839389496</v>
      </c>
      <c r="F406">
        <v>14.124000000000001</v>
      </c>
      <c r="G406" s="93">
        <f t="shared" si="190"/>
        <v>-4.4817055766794844E-3</v>
      </c>
      <c r="H406" s="93">
        <f>(+B406/(D406*(1-VLOOKUP(A406,FX!A:K,9,0)))-1)</f>
        <v>-7.7316839006368321E-3</v>
      </c>
      <c r="I406" s="93">
        <f t="shared" si="166"/>
        <v>-7.3633531577457223E-3</v>
      </c>
      <c r="J406">
        <v>12216.06</v>
      </c>
      <c r="K406">
        <v>12171.22</v>
      </c>
      <c r="L406" s="93">
        <f t="shared" ref="L406" si="224">+K406/J406-1</f>
        <v>-3.6705779113723747E-3</v>
      </c>
      <c r="M406" s="92">
        <f t="shared" si="188"/>
        <v>3</v>
      </c>
      <c r="N406" s="50" t="s">
        <v>427</v>
      </c>
    </row>
    <row r="407" spans="1:14" x14ac:dyDescent="0.15">
      <c r="A407" s="90">
        <v>42978</v>
      </c>
      <c r="B407">
        <v>13.9</v>
      </c>
      <c r="C407" s="93">
        <f t="shared" si="192"/>
        <v>-8.5592011412267688E-3</v>
      </c>
      <c r="D407" s="26">
        <f t="shared" si="219"/>
        <v>14.019676226376649</v>
      </c>
      <c r="E407" s="26">
        <f>D407*(1-VLOOKUP(A407,FX!A:K,9,0))</f>
        <v>13.983750619364692</v>
      </c>
      <c r="F407">
        <v>14.04</v>
      </c>
      <c r="G407" s="93">
        <f t="shared" si="190"/>
        <v>-8.5363045796656989E-3</v>
      </c>
      <c r="H407" s="93">
        <f>(+B407/(D407*(1-VLOOKUP(A407,FX!A:K,9,0)))-1)</f>
        <v>-5.9891385111454642E-3</v>
      </c>
      <c r="I407" s="93">
        <f t="shared" si="166"/>
        <v>-9.9715099715098621E-3</v>
      </c>
      <c r="J407">
        <v>12171.22</v>
      </c>
      <c r="K407">
        <v>12081.32</v>
      </c>
      <c r="L407" s="93">
        <f t="shared" ref="L407" si="225">+K407/J407-1</f>
        <v>-7.386276807090808E-3</v>
      </c>
      <c r="M407" s="92">
        <f t="shared" si="188"/>
        <v>4</v>
      </c>
    </row>
    <row r="408" spans="1:14" x14ac:dyDescent="0.15">
      <c r="A408" s="90">
        <v>42979</v>
      </c>
      <c r="B408">
        <v>13.94</v>
      </c>
      <c r="C408" s="93">
        <f t="shared" si="192"/>
        <v>2.8776978417266452E-3</v>
      </c>
      <c r="D408" s="26">
        <f t="shared" ref="D408" si="226">+F407*(1+L408)</f>
        <v>14.028460102041828</v>
      </c>
      <c r="E408" s="26">
        <f>D408*(1-VLOOKUP(A408,FX!A:K,9,0))</f>
        <v>14.074674742713251</v>
      </c>
      <c r="F408">
        <v>14.048</v>
      </c>
      <c r="G408" s="93">
        <f t="shared" si="190"/>
        <v>-6.3057599621325622E-3</v>
      </c>
      <c r="H408" s="93">
        <f>(+B408/(D408*(1-VLOOKUP(A408,FX!A:K,9,0)))-1)</f>
        <v>-9.5685864984536018E-3</v>
      </c>
      <c r="I408" s="93">
        <f t="shared" si="166"/>
        <v>-7.6879271070615651E-3</v>
      </c>
      <c r="J408">
        <v>12081.32</v>
      </c>
      <c r="K408">
        <v>12071.39</v>
      </c>
      <c r="L408" s="93">
        <f t="shared" ref="L408" si="227">+K408/J408-1</f>
        <v>-8.2193005400077457E-4</v>
      </c>
      <c r="M408" s="92">
        <f t="shared" si="188"/>
        <v>5</v>
      </c>
    </row>
    <row r="409" spans="1:14" x14ac:dyDescent="0.15">
      <c r="A409" s="90">
        <v>42982</v>
      </c>
      <c r="B409">
        <v>14.04</v>
      </c>
      <c r="C409" s="93">
        <f t="shared" si="192"/>
        <v>7.1736011477760986E-3</v>
      </c>
      <c r="D409" s="26">
        <f t="shared" ref="D409" si="228">+F408*(1+L409)</f>
        <v>14.091524001792669</v>
      </c>
      <c r="E409" s="26">
        <f>D409*(1-VLOOKUP(A409,FX!A:K,9,0))</f>
        <v>14.165237235703207</v>
      </c>
      <c r="F409">
        <v>14.154999999999999</v>
      </c>
      <c r="G409" s="93">
        <f t="shared" si="190"/>
        <v>-3.6563825024259478E-3</v>
      </c>
      <c r="H409" s="93">
        <f>(+B409/(D409*(1-VLOOKUP(A409,FX!A:K,9,0)))-1)</f>
        <v>-8.8411675441305571E-3</v>
      </c>
      <c r="I409" s="93">
        <f t="shared" si="166"/>
        <v>-8.1243376898622044E-3</v>
      </c>
      <c r="J409">
        <v>12071.39</v>
      </c>
      <c r="K409">
        <v>12108.79</v>
      </c>
      <c r="L409" s="93">
        <f t="shared" ref="L409" si="229">+K409/J409-1</f>
        <v>3.0982347517560793E-3</v>
      </c>
      <c r="M409" s="92">
        <f t="shared" si="188"/>
        <v>1</v>
      </c>
    </row>
    <row r="410" spans="1:14" x14ac:dyDescent="0.15">
      <c r="A410" s="90">
        <v>42983</v>
      </c>
      <c r="B410">
        <v>14.06</v>
      </c>
      <c r="C410" s="93">
        <f t="shared" si="192"/>
        <v>1.4245014245015675E-3</v>
      </c>
      <c r="D410" s="26">
        <f t="shared" ref="D410" si="230">+F409*(1+L410)</f>
        <v>14.245561307116564</v>
      </c>
      <c r="E410" s="26">
        <f>D410*(1-VLOOKUP(A410,FX!A:K,9,0))</f>
        <v>14.260076532956013</v>
      </c>
      <c r="F410">
        <v>14.308999999999999</v>
      </c>
      <c r="G410" s="93">
        <f t="shared" si="190"/>
        <v>-1.3025903515915815E-2</v>
      </c>
      <c r="H410" s="93">
        <f>(+B410/(D410*(1-VLOOKUP(A410,FX!A:K,9,0)))-1)</f>
        <v>-1.4030537107821428E-2</v>
      </c>
      <c r="I410" s="93">
        <f t="shared" si="166"/>
        <v>-1.7401635334404864E-2</v>
      </c>
      <c r="J410">
        <v>12108.79</v>
      </c>
      <c r="K410">
        <v>12186.26</v>
      </c>
      <c r="L410" s="93">
        <f t="shared" ref="L410" si="231">+K410/J410-1</f>
        <v>6.3978316578285899E-3</v>
      </c>
      <c r="M410" s="92">
        <f t="shared" si="188"/>
        <v>2</v>
      </c>
    </row>
    <row r="411" spans="1:14" x14ac:dyDescent="0.15">
      <c r="A411" s="90">
        <v>42984</v>
      </c>
      <c r="B411">
        <v>14.02</v>
      </c>
      <c r="C411" s="93">
        <f t="shared" si="192"/>
        <v>-2.8449502133712778E-3</v>
      </c>
      <c r="D411" s="26">
        <f t="shared" ref="D411" si="232">+F410*(1+L411)</f>
        <v>14.23654065726482</v>
      </c>
      <c r="E411" s="26">
        <f>D411*(1-VLOOKUP(A411,FX!A:K,9,0))</f>
        <v>14.239565515904506</v>
      </c>
      <c r="F411">
        <v>14.249000000000001</v>
      </c>
      <c r="G411" s="93">
        <f t="shared" si="190"/>
        <v>-1.521020186560007E-2</v>
      </c>
      <c r="H411" s="93">
        <f>(+B411/(D411*(1-VLOOKUP(A411,FX!A:K,9,0)))-1)</f>
        <v>-1.5419397147986569E-2</v>
      </c>
      <c r="I411" s="93">
        <f t="shared" si="166"/>
        <v>-1.607130324935091E-2</v>
      </c>
      <c r="J411">
        <v>12186.26</v>
      </c>
      <c r="K411">
        <v>12124.55</v>
      </c>
      <c r="L411" s="93">
        <f t="shared" ref="L411" si="233">+K411/J411-1</f>
        <v>-5.0638998347319886E-3</v>
      </c>
      <c r="M411" s="92">
        <f t="shared" si="188"/>
        <v>3</v>
      </c>
    </row>
    <row r="412" spans="1:14" x14ac:dyDescent="0.15">
      <c r="A412" s="90">
        <v>42985</v>
      </c>
      <c r="B412">
        <v>13.94</v>
      </c>
      <c r="C412" s="93">
        <f t="shared" si="192"/>
        <v>-5.7061340941512162E-3</v>
      </c>
      <c r="D412" s="26">
        <f t="shared" ref="D412" si="234">+F411*(1+L412)</f>
        <v>14.137718524811232</v>
      </c>
      <c r="E412" s="26">
        <f>D412*(1-VLOOKUP(A412,FX!A:K,9,0))</f>
        <v>14.153688603192826</v>
      </c>
      <c r="F412">
        <v>14.15</v>
      </c>
      <c r="G412" s="93">
        <f t="shared" si="190"/>
        <v>-1.398517904174168E-2</v>
      </c>
      <c r="H412" s="93">
        <f>(+B412/(D412*(1-VLOOKUP(A412,FX!A:K,9,0)))-1)</f>
        <v>-1.5097732413345777E-2</v>
      </c>
      <c r="I412" s="93">
        <f t="shared" si="166"/>
        <v>-1.4840989399293347E-2</v>
      </c>
      <c r="J412">
        <v>12124.55</v>
      </c>
      <c r="K412">
        <v>12029.86</v>
      </c>
      <c r="L412" s="93">
        <f t="shared" ref="L412" si="235">+K412/J412-1</f>
        <v>-7.8097743833790423E-3</v>
      </c>
      <c r="M412" s="92">
        <f t="shared" si="188"/>
        <v>4</v>
      </c>
    </row>
    <row r="413" spans="1:14" x14ac:dyDescent="0.15">
      <c r="A413" s="90">
        <v>42986</v>
      </c>
      <c r="B413">
        <v>14.06</v>
      </c>
      <c r="C413" s="93">
        <f t="shared" si="192"/>
        <v>8.6083213773315848E-3</v>
      </c>
      <c r="D413" s="26">
        <f t="shared" ref="D413" si="236">+F412*(1+L413)</f>
        <v>14.123146445594546</v>
      </c>
      <c r="E413" s="26">
        <f>D413*(1-VLOOKUP(A413,FX!A:K,9,0))</f>
        <v>14.300602117287461</v>
      </c>
      <c r="F413">
        <v>14.131</v>
      </c>
      <c r="G413" s="93">
        <f t="shared" si="190"/>
        <v>-4.4711315454951661E-3</v>
      </c>
      <c r="H413" s="93">
        <f>(+B413/(D413*(1-VLOOKUP(A413,FX!A:K,9,0)))-1)</f>
        <v>-1.6824614468268106E-2</v>
      </c>
      <c r="I413" s="93">
        <f t="shared" si="166"/>
        <v>-5.0244144080390241E-3</v>
      </c>
      <c r="J413">
        <v>12029.86</v>
      </c>
      <c r="K413">
        <v>12007.03</v>
      </c>
      <c r="L413" s="93">
        <f t="shared" ref="L413" si="237">+K413/J413-1</f>
        <v>-1.8977776964985704E-3</v>
      </c>
      <c r="M413" s="92">
        <f t="shared" si="188"/>
        <v>5</v>
      </c>
    </row>
    <row r="414" spans="1:14" x14ac:dyDescent="0.15">
      <c r="A414" s="90">
        <v>42989</v>
      </c>
      <c r="B414">
        <v>13.96</v>
      </c>
      <c r="C414" s="93">
        <f t="shared" si="192"/>
        <v>-7.1123755334281391E-3</v>
      </c>
      <c r="D414" s="26">
        <f t="shared" ref="D414" si="238">+F413*(1+L414)</f>
        <v>14.074897469232608</v>
      </c>
      <c r="E414" s="26">
        <f>D414*(1-VLOOKUP(A414,FX!A:K,9,0))</f>
        <v>13.9304723955768</v>
      </c>
      <c r="F414">
        <v>14.101000000000001</v>
      </c>
      <c r="G414" s="93">
        <f t="shared" si="190"/>
        <v>-8.163289962414999E-3</v>
      </c>
      <c r="H414" s="93">
        <f>(+B414/(D414*(1-VLOOKUP(A414,FX!A:K,9,0)))-1)</f>
        <v>2.1196412860038372E-3</v>
      </c>
      <c r="I414" s="93">
        <f t="shared" si="166"/>
        <v>-9.9992908304376016E-3</v>
      </c>
      <c r="J414">
        <v>12007.03</v>
      </c>
      <c r="K414">
        <v>11959.36</v>
      </c>
      <c r="L414" s="93">
        <f t="shared" ref="L414" si="239">+K414/J414-1</f>
        <v>-3.9701741396498402E-3</v>
      </c>
      <c r="M414" s="92">
        <f t="shared" si="188"/>
        <v>1</v>
      </c>
      <c r="N414" s="50" t="s">
        <v>436</v>
      </c>
    </row>
    <row r="415" spans="1:14" x14ac:dyDescent="0.15">
      <c r="A415" s="90">
        <v>42990</v>
      </c>
      <c r="B415">
        <v>14.06</v>
      </c>
      <c r="C415" s="93">
        <f t="shared" si="192"/>
        <v>7.1633237822348317E-3</v>
      </c>
      <c r="D415" s="26">
        <f t="shared" ref="D415" si="240">+F414*(1+L415)</f>
        <v>14.181943599824741</v>
      </c>
      <c r="E415" s="26">
        <f>D415*(1-VLOOKUP(A415,FX!A:K,9,0))</f>
        <v>14.138435174188151</v>
      </c>
      <c r="F415">
        <v>14.119</v>
      </c>
      <c r="G415" s="93">
        <f t="shared" si="190"/>
        <v>-8.5985111255306723E-3</v>
      </c>
      <c r="H415" s="93">
        <f>(+B415/(D415*(1-VLOOKUP(A415,FX!A:K,9,0)))-1)</f>
        <v>-5.547655962050646E-3</v>
      </c>
      <c r="I415" s="93">
        <f t="shared" si="166"/>
        <v>-4.1787662015723148E-3</v>
      </c>
      <c r="J415">
        <v>11959.36</v>
      </c>
      <c r="K415">
        <v>12028.01</v>
      </c>
      <c r="L415" s="93">
        <f t="shared" ref="L415" si="241">+K415/J415-1</f>
        <v>5.7402737270222381E-3</v>
      </c>
      <c r="M415" s="92">
        <f t="shared" si="188"/>
        <v>2</v>
      </c>
    </row>
    <row r="416" spans="1:14" x14ac:dyDescent="0.15">
      <c r="A416" s="90">
        <v>42991</v>
      </c>
      <c r="B416">
        <v>13.98</v>
      </c>
      <c r="C416" s="93">
        <f t="shared" si="192"/>
        <v>-5.6899004267425557E-3</v>
      </c>
      <c r="D416" s="26">
        <f t="shared" ref="D416" si="242">+F415*(1+L416)</f>
        <v>14.108552793853679</v>
      </c>
      <c r="E416" s="26">
        <f>D416*(1-VLOOKUP(A416,FX!A:K,9,0))</f>
        <v>14.132079569541462</v>
      </c>
      <c r="F416">
        <v>14.08</v>
      </c>
      <c r="G416" s="93">
        <f t="shared" si="190"/>
        <v>-9.111692441600594E-3</v>
      </c>
      <c r="H416" s="93">
        <f>(+B416/(D416*(1-VLOOKUP(A416,FX!A:K,9,0)))-1)</f>
        <v>-1.0761301533373402E-2</v>
      </c>
      <c r="I416" s="93">
        <f t="shared" si="166"/>
        <v>-7.1022727272727071E-3</v>
      </c>
      <c r="J416">
        <v>12028.01</v>
      </c>
      <c r="K416">
        <v>12019.11</v>
      </c>
      <c r="L416" s="93">
        <f t="shared" ref="L416" si="243">+K416/J416-1</f>
        <v>-7.399395244932494E-4</v>
      </c>
      <c r="M416" s="92">
        <f t="shared" si="188"/>
        <v>3</v>
      </c>
    </row>
    <row r="417" spans="1:14" x14ac:dyDescent="0.15">
      <c r="A417" s="90">
        <v>42992</v>
      </c>
      <c r="B417">
        <v>13.8</v>
      </c>
      <c r="C417" s="93">
        <f t="shared" si="192"/>
        <v>-1.2875536480686622E-2</v>
      </c>
      <c r="D417" s="26">
        <f t="shared" ref="D417" si="244">+F416*(1+L417)</f>
        <v>13.982416734683348</v>
      </c>
      <c r="E417" s="26">
        <f>D417*(1-VLOOKUP(A417,FX!A:K,9,0))</f>
        <v>13.932354115996471</v>
      </c>
      <c r="F417">
        <v>13.967000000000001</v>
      </c>
      <c r="G417" s="93">
        <f t="shared" si="190"/>
        <v>-1.3046152045437354E-2</v>
      </c>
      <c r="H417" s="93">
        <f>(+B417/(D417*(1-VLOOKUP(A417,FX!A:K,9,0)))-1)</f>
        <v>-9.4997668659962953E-3</v>
      </c>
      <c r="I417" s="93">
        <f t="shared" si="166"/>
        <v>-1.1956755208706205E-2</v>
      </c>
      <c r="J417">
        <v>12019.11</v>
      </c>
      <c r="K417">
        <v>11935.81</v>
      </c>
      <c r="L417" s="93">
        <f t="shared" ref="L417" si="245">+K417/J417-1</f>
        <v>-6.9306296389667343E-3</v>
      </c>
      <c r="M417" s="92">
        <f t="shared" si="188"/>
        <v>4</v>
      </c>
    </row>
    <row r="418" spans="1:14" x14ac:dyDescent="0.15">
      <c r="A418" s="90">
        <v>42993</v>
      </c>
      <c r="B418">
        <v>13.78</v>
      </c>
      <c r="C418" s="93">
        <f t="shared" si="192"/>
        <v>-1.4492753623189802E-3</v>
      </c>
      <c r="D418" s="26">
        <f t="shared" ref="D418" si="246">+F417*(1+L418)</f>
        <v>13.946264478908429</v>
      </c>
      <c r="E418" s="26">
        <f>D418*(1-VLOOKUP(A418,FX!A:K,9,0))</f>
        <v>13.960331743276354</v>
      </c>
      <c r="F418">
        <v>13.958</v>
      </c>
      <c r="G418" s="93">
        <f t="shared" si="190"/>
        <v>-1.1921793047871665E-2</v>
      </c>
      <c r="H418" s="93">
        <f>(+B418/(D418*(1-VLOOKUP(A418,FX!A:K,9,0)))-1)</f>
        <v>-1.2917439684999366E-2</v>
      </c>
      <c r="I418" s="93">
        <f t="shared" si="166"/>
        <v>-1.2752543344318745E-2</v>
      </c>
      <c r="J418">
        <v>11935.81</v>
      </c>
      <c r="K418">
        <v>11918.09</v>
      </c>
      <c r="L418" s="93">
        <f t="shared" ref="L418" si="247">+K418/J418-1</f>
        <v>-1.4846080827358721E-3</v>
      </c>
      <c r="M418" s="92">
        <f t="shared" si="188"/>
        <v>5</v>
      </c>
      <c r="N418" s="50" t="s">
        <v>440</v>
      </c>
    </row>
    <row r="419" spans="1:14" x14ac:dyDescent="0.15">
      <c r="A419" s="90">
        <v>42996</v>
      </c>
      <c r="B419">
        <v>13.86</v>
      </c>
      <c r="C419" s="93">
        <f t="shared" si="192"/>
        <v>5.8055152394775877E-3</v>
      </c>
      <c r="D419" s="26">
        <f t="shared" ref="D419" si="248">+F418*(1+L419)</f>
        <v>13.976152992635564</v>
      </c>
      <c r="E419" s="26">
        <f>D419*(1-VLOOKUP(A419,FX!A:K,9,0))</f>
        <v>13.96631211922911</v>
      </c>
      <c r="F419">
        <v>13.98</v>
      </c>
      <c r="G419" s="93">
        <f t="shared" si="190"/>
        <v>-8.3107985936308193E-3</v>
      </c>
      <c r="H419" s="93">
        <f>(+B419/(D419*(1-VLOOKUP(A419,FX!A:K,9,0)))-1)</f>
        <v>-7.6120394791076018E-3</v>
      </c>
      <c r="I419" s="93">
        <f t="shared" si="166"/>
        <v>-8.5836909871245259E-3</v>
      </c>
      <c r="J419">
        <v>11918.09</v>
      </c>
      <c r="K419">
        <v>11933.59</v>
      </c>
      <c r="L419" s="93">
        <f t="shared" ref="L419" si="249">+K419/J419-1</f>
        <v>1.3005439630007221E-3</v>
      </c>
      <c r="M419" s="92">
        <f t="shared" si="188"/>
        <v>1</v>
      </c>
    </row>
    <row r="420" spans="1:14" x14ac:dyDescent="0.15">
      <c r="A420" s="90">
        <v>42997</v>
      </c>
      <c r="B420">
        <v>13.7</v>
      </c>
      <c r="C420" s="93">
        <f t="shared" si="192"/>
        <v>-1.1544011544011523E-2</v>
      </c>
      <c r="D420" s="26">
        <f t="shared" ref="D420" si="250">+F419*(1+L420)</f>
        <v>13.987438918213213</v>
      </c>
      <c r="E420" s="26">
        <f>D420*(1-VLOOKUP(A420,FX!A:K,9,0))</f>
        <v>13.896638063026742</v>
      </c>
      <c r="F420">
        <v>13.935</v>
      </c>
      <c r="G420" s="93">
        <f t="shared" si="190"/>
        <v>-2.0549788985239847E-2</v>
      </c>
      <c r="H420" s="93">
        <f>(+B420/(D420*(1-VLOOKUP(A420,FX!A:K,9,0)))-1)</f>
        <v>-1.4150045653841703E-2</v>
      </c>
      <c r="I420" s="93">
        <f t="shared" si="166"/>
        <v>-1.6864011481880214E-2</v>
      </c>
      <c r="J420">
        <v>11933.59</v>
      </c>
      <c r="K420">
        <v>11939.94</v>
      </c>
      <c r="L420" s="93">
        <f t="shared" ref="L420" si="251">+K420/J420-1</f>
        <v>5.3211146017262401E-4</v>
      </c>
      <c r="M420" s="92">
        <f t="shared" si="188"/>
        <v>2</v>
      </c>
      <c r="N420" s="50" t="s">
        <v>445</v>
      </c>
    </row>
    <row r="421" spans="1:14" x14ac:dyDescent="0.15">
      <c r="A421" s="90">
        <v>42998</v>
      </c>
      <c r="B421">
        <v>13.78</v>
      </c>
      <c r="C421" s="93">
        <f t="shared" si="192"/>
        <v>5.839416058394109E-3</v>
      </c>
      <c r="D421" s="26">
        <f t="shared" ref="D421" si="252">+F420*(1+L421)</f>
        <v>13.92317736521289</v>
      </c>
      <c r="E421" s="26">
        <f>D421*(1-VLOOKUP(A421,FX!A:K,9,0))</f>
        <v>13.980766117166377</v>
      </c>
      <c r="F421">
        <v>13.898</v>
      </c>
      <c r="G421" s="93">
        <f t="shared" si="190"/>
        <v>-1.028338298487963E-2</v>
      </c>
      <c r="H421" s="93">
        <f>(+B421/(D421*(1-VLOOKUP(A421,FX!A:K,9,0)))-1)</f>
        <v>-1.4360165636407074E-2</v>
      </c>
      <c r="I421" s="93">
        <f t="shared" si="166"/>
        <v>-8.4904302777378815E-3</v>
      </c>
      <c r="J421">
        <v>11939.94</v>
      </c>
      <c r="K421">
        <v>11929.81</v>
      </c>
      <c r="L421" s="93">
        <f t="shared" ref="L421" si="253">+K421/J421-1</f>
        <v>-8.4841297359961043E-4</v>
      </c>
      <c r="M421" s="92">
        <f t="shared" si="188"/>
        <v>3</v>
      </c>
    </row>
    <row r="422" spans="1:14" x14ac:dyDescent="0.15">
      <c r="A422" s="90">
        <v>42999</v>
      </c>
      <c r="B422">
        <v>13.78</v>
      </c>
      <c r="C422" s="93">
        <f t="shared" si="192"/>
        <v>0</v>
      </c>
      <c r="D422" s="26">
        <f t="shared" ref="D422" si="254">+F421*(1+L422)</f>
        <v>13.967409558073431</v>
      </c>
      <c r="E422" s="26">
        <f>D422*(1-VLOOKUP(A422,FX!A:K,9,0))</f>
        <v>13.910453613468988</v>
      </c>
      <c r="F422">
        <v>13.923999999999999</v>
      </c>
      <c r="G422" s="93">
        <f t="shared" si="190"/>
        <v>-1.3417631758718351E-2</v>
      </c>
      <c r="H422" s="93">
        <f>(+B422/(D422*(1-VLOOKUP(A422,FX!A:K,9,0)))-1)</f>
        <v>-9.378099168719789E-3</v>
      </c>
      <c r="I422" s="93">
        <f t="shared" si="166"/>
        <v>-1.0341855788566501E-2</v>
      </c>
      <c r="J422">
        <v>11929.81</v>
      </c>
      <c r="K422">
        <v>11989.39</v>
      </c>
      <c r="L422" s="93">
        <f t="shared" ref="L422" si="255">+K422/J422-1</f>
        <v>4.994211978229357E-3</v>
      </c>
      <c r="M422" s="92">
        <f t="shared" si="188"/>
        <v>4</v>
      </c>
    </row>
    <row r="423" spans="1:14" x14ac:dyDescent="0.15">
      <c r="A423" s="90">
        <v>43000</v>
      </c>
      <c r="B423">
        <v>13.8</v>
      </c>
      <c r="C423" s="93">
        <f t="shared" si="192"/>
        <v>1.4513788098695635E-3</v>
      </c>
      <c r="D423" s="26">
        <f t="shared" ref="D423" si="256">+F422*(1+L423)</f>
        <v>13.939492544658236</v>
      </c>
      <c r="E423" s="26">
        <f>D423*(1-VLOOKUP(A423,FX!A:K,9,0))</f>
        <v>13.97052831995587</v>
      </c>
      <c r="F423">
        <v>13.946</v>
      </c>
      <c r="G423" s="93">
        <f t="shared" si="190"/>
        <v>-1.0007003067818987E-2</v>
      </c>
      <c r="H423" s="93">
        <f>(+B423/(D423*(1-VLOOKUP(A423,FX!A:K,9,0)))-1)</f>
        <v>-1.2206289987779617E-2</v>
      </c>
      <c r="I423" s="93">
        <f t="shared" si="166"/>
        <v>-1.046895167072992E-2</v>
      </c>
      <c r="J423">
        <v>11989.39</v>
      </c>
      <c r="K423">
        <v>12002.73</v>
      </c>
      <c r="L423" s="93">
        <f t="shared" ref="L423" si="257">+K423/J423-1</f>
        <v>1.112650435093121E-3</v>
      </c>
      <c r="M423" s="92">
        <f t="shared" si="188"/>
        <v>5</v>
      </c>
      <c r="N423" s="50" t="s">
        <v>448</v>
      </c>
    </row>
    <row r="424" spans="1:14" x14ac:dyDescent="0.15">
      <c r="A424" s="90">
        <v>43003</v>
      </c>
      <c r="B424">
        <v>13.68</v>
      </c>
      <c r="C424" s="93">
        <f t="shared" si="192"/>
        <v>-8.6956521739131043E-3</v>
      </c>
      <c r="D424" s="26">
        <f t="shared" ref="D424" si="258">+F423*(1+L424)</f>
        <v>13.909922932532849</v>
      </c>
      <c r="E424" s="26">
        <f>D424*(1-VLOOKUP(A424,FX!A:K,9,0))</f>
        <v>13.864811312898315</v>
      </c>
      <c r="F424">
        <v>13.898999999999999</v>
      </c>
      <c r="G424" s="93">
        <f t="shared" si="190"/>
        <v>-1.6529418146171038E-2</v>
      </c>
      <c r="H424" s="93">
        <f>(+B424/(D424*(1-VLOOKUP(A424,FX!A:K,9,0)))-1)</f>
        <v>-1.332952239504237E-2</v>
      </c>
      <c r="I424" s="93">
        <f t="shared" si="166"/>
        <v>-1.575652924670834E-2</v>
      </c>
      <c r="J424">
        <v>12002.73</v>
      </c>
      <c r="K424">
        <v>11971.68</v>
      </c>
      <c r="L424" s="93">
        <f t="shared" ref="L424" si="259">+K424/J424-1</f>
        <v>-2.5869114776387869E-3</v>
      </c>
      <c r="M424" s="92">
        <f t="shared" si="188"/>
        <v>1</v>
      </c>
    </row>
    <row r="425" spans="1:14" x14ac:dyDescent="0.15">
      <c r="A425" s="90">
        <v>43004</v>
      </c>
      <c r="B425">
        <v>13.72</v>
      </c>
      <c r="C425" s="93">
        <f t="shared" si="192"/>
        <v>2.9239766081872176E-3</v>
      </c>
      <c r="D425" s="26">
        <f t="shared" ref="D425" si="260">+F424*(1+L425)</f>
        <v>13.904723680385709</v>
      </c>
      <c r="E425" s="26">
        <f>D425*(1-VLOOKUP(A425,FX!A:K,9,0))</f>
        <v>13.871521250713755</v>
      </c>
      <c r="F425">
        <v>13.885999999999999</v>
      </c>
      <c r="G425" s="93">
        <f t="shared" si="190"/>
        <v>-1.3284958740049202E-2</v>
      </c>
      <c r="H425" s="93">
        <f>(+B425/(D425*(1-VLOOKUP(A425,FX!A:K,9,0)))-1)</f>
        <v>-1.0923189171191838E-2</v>
      </c>
      <c r="I425" s="93">
        <f t="shared" si="166"/>
        <v>-1.1954486533198749E-2</v>
      </c>
      <c r="J425">
        <v>11971.68</v>
      </c>
      <c r="K425">
        <v>11976.61</v>
      </c>
      <c r="L425" s="93">
        <f t="shared" ref="L425" si="261">+K425/J425-1</f>
        <v>4.1180519359018675E-4</v>
      </c>
      <c r="M425" s="92">
        <f t="shared" si="188"/>
        <v>2</v>
      </c>
    </row>
    <row r="426" spans="1:14" x14ac:dyDescent="0.15">
      <c r="A426" s="90">
        <v>43005</v>
      </c>
      <c r="B426">
        <v>13.66</v>
      </c>
      <c r="C426" s="93">
        <f t="shared" si="192"/>
        <v>-4.3731778425656342E-3</v>
      </c>
      <c r="D426" s="26">
        <f t="shared" ref="D426" si="262">+F425*(1+L426)</f>
        <v>13.831333036643922</v>
      </c>
      <c r="E426" s="26">
        <f>D426*(1-VLOOKUP(A426,FX!A:K,9,0))</f>
        <v>13.795745778910129</v>
      </c>
      <c r="F426">
        <v>13.8</v>
      </c>
      <c r="G426" s="93">
        <f t="shared" si="190"/>
        <v>-1.2387311923586997E-2</v>
      </c>
      <c r="H426" s="93">
        <f>(+B426/(D426*(1-VLOOKUP(A426,FX!A:K,9,0)))-1)</f>
        <v>-9.8396839928470703E-3</v>
      </c>
      <c r="I426" s="93">
        <f t="shared" si="166"/>
        <v>-1.0144927536231974E-2</v>
      </c>
      <c r="J426">
        <v>11976.61</v>
      </c>
      <c r="K426">
        <v>11929.46</v>
      </c>
      <c r="L426" s="93">
        <f t="shared" ref="L426" si="263">+K426/J426-1</f>
        <v>-3.9368402244042144E-3</v>
      </c>
      <c r="M426" s="92">
        <f t="shared" si="188"/>
        <v>3</v>
      </c>
    </row>
    <row r="427" spans="1:14" ht="27" x14ac:dyDescent="0.15">
      <c r="A427" s="90">
        <v>43006</v>
      </c>
      <c r="B427">
        <v>13.58</v>
      </c>
      <c r="C427" s="93">
        <f t="shared" si="192"/>
        <v>-5.8565153733528552E-3</v>
      </c>
      <c r="D427" s="26">
        <f t="shared" ref="D427" si="264">+F426*(1+L427)</f>
        <v>13.808745408425866</v>
      </c>
      <c r="E427" s="26">
        <f>D427*(1-VLOOKUP(A427,FX!A:K,9,0))</f>
        <v>13.726115064030134</v>
      </c>
      <c r="F427">
        <v>13.789</v>
      </c>
      <c r="G427" s="93">
        <f t="shared" si="190"/>
        <v>-1.6565256412526042E-2</v>
      </c>
      <c r="H427" s="93">
        <f>(+B427/(D427*(1-VLOOKUP(A427,FX!A:K,9,0)))-1)</f>
        <v>-1.0645041466469607E-2</v>
      </c>
      <c r="I427" s="93">
        <f t="shared" si="166"/>
        <v>-1.5157009210239991E-2</v>
      </c>
      <c r="J427">
        <v>11929.46</v>
      </c>
      <c r="K427">
        <v>11937.02</v>
      </c>
      <c r="L427" s="93">
        <f t="shared" ref="L427" si="265">+K427/J427-1</f>
        <v>6.3372524825111576E-4</v>
      </c>
      <c r="M427" s="92">
        <f t="shared" si="188"/>
        <v>4</v>
      </c>
      <c r="N427" s="50" t="s">
        <v>456</v>
      </c>
    </row>
    <row r="428" spans="1:14" x14ac:dyDescent="0.15">
      <c r="A428" s="90">
        <v>43007</v>
      </c>
      <c r="B428">
        <v>13.66</v>
      </c>
      <c r="C428" s="93">
        <f t="shared" si="192"/>
        <v>5.8910162002945299E-3</v>
      </c>
      <c r="D428" s="26">
        <f t="shared" ref="D428" si="266">+F427*(1+L428)</f>
        <v>13.818548632740836</v>
      </c>
      <c r="E428" s="26">
        <f>D428*(1-VLOOKUP(A428,FX!A:K,9,0))</f>
        <v>13.815711093123406</v>
      </c>
      <c r="F428">
        <v>13.802</v>
      </c>
      <c r="G428" s="93">
        <f t="shared" si="190"/>
        <v>-1.1473609635470727E-2</v>
      </c>
      <c r="H428" s="93">
        <f>(+B428/(D428*(1-VLOOKUP(A428,FX!A:K,9,0)))-1)</f>
        <v>-1.1270581157484472E-2</v>
      </c>
      <c r="I428" s="93">
        <f t="shared" si="166"/>
        <v>-1.0288364005216599E-2</v>
      </c>
      <c r="J428">
        <v>11937.02</v>
      </c>
      <c r="K428">
        <v>11962.6</v>
      </c>
      <c r="L428" s="93">
        <f t="shared" ref="L428" si="267">+K428/J428-1</f>
        <v>2.1429133904442565E-3</v>
      </c>
      <c r="M428" s="92">
        <f t="shared" si="188"/>
        <v>5</v>
      </c>
      <c r="N428" s="50" t="s">
        <v>565</v>
      </c>
    </row>
    <row r="429" spans="1:14" x14ac:dyDescent="0.15">
      <c r="A429" s="90">
        <v>43010</v>
      </c>
      <c r="B429">
        <v>13.66</v>
      </c>
      <c r="C429" s="93">
        <f t="shared" si="192"/>
        <v>0</v>
      </c>
      <c r="D429" s="26">
        <f t="shared" ref="D429" si="268">+F428*(1+L429)</f>
        <v>13.802</v>
      </c>
      <c r="E429" s="26">
        <f>D429*(1-VLOOKUP(A429,FX!A:K,9,0))</f>
        <v>13.811145817317394</v>
      </c>
      <c r="F429">
        <v>13.81</v>
      </c>
      <c r="G429" s="93">
        <f t="shared" si="190"/>
        <v>-1.0288364005216599E-2</v>
      </c>
      <c r="H429" s="93">
        <f>(+B429/(D429*(1-VLOOKUP(A429,FX!A:K,9,0)))-1)</f>
        <v>-1.0943756536686222E-2</v>
      </c>
      <c r="I429" s="93">
        <f t="shared" si="166"/>
        <v>-1.086169442433027E-2</v>
      </c>
      <c r="J429">
        <v>11962.6</v>
      </c>
      <c r="K429">
        <v>11962.6</v>
      </c>
      <c r="L429" s="93">
        <f t="shared" ref="L429" si="269">+K429/J429-1</f>
        <v>0</v>
      </c>
      <c r="M429" s="92">
        <f t="shared" si="188"/>
        <v>1</v>
      </c>
    </row>
    <row r="430" spans="1:14" x14ac:dyDescent="0.15">
      <c r="A430" s="90">
        <v>43011</v>
      </c>
      <c r="B430">
        <v>14</v>
      </c>
      <c r="C430" s="93">
        <f t="shared" si="192"/>
        <v>2.4890190336749551E-2</v>
      </c>
      <c r="D430" s="26">
        <f t="shared" ref="D430" si="270">+F429*(1+L430)</f>
        <v>13.81</v>
      </c>
      <c r="E430" s="26">
        <f>D430*(1-VLOOKUP(A430,FX!A:K,9,0))</f>
        <v>13.784786982007574</v>
      </c>
      <c r="F430">
        <v>13.801</v>
      </c>
      <c r="G430" s="93">
        <f t="shared" si="190"/>
        <v>1.3758146270818283E-2</v>
      </c>
      <c r="H430" s="93">
        <f>(+B430/(D430*(1-VLOOKUP(A430,FX!A:K,9,0)))-1)</f>
        <v>1.5612357178484526E-2</v>
      </c>
      <c r="I430" s="93">
        <f t="shared" si="166"/>
        <v>1.4419244982247559E-2</v>
      </c>
      <c r="J430">
        <v>11962.6</v>
      </c>
      <c r="K430">
        <v>11962.6</v>
      </c>
      <c r="L430" s="93">
        <f t="shared" ref="L430" si="271">+K430/J430-1</f>
        <v>0</v>
      </c>
      <c r="M430" s="92">
        <f t="shared" si="188"/>
        <v>2</v>
      </c>
    </row>
    <row r="431" spans="1:14" x14ac:dyDescent="0.15">
      <c r="A431" s="90">
        <v>43012</v>
      </c>
      <c r="B431">
        <v>14.06</v>
      </c>
      <c r="C431" s="93">
        <f t="shared" si="192"/>
        <v>4.2857142857142261E-3</v>
      </c>
      <c r="D431" s="26">
        <f t="shared" ref="D431" si="272">+F430*(1+L431)</f>
        <v>13.801</v>
      </c>
      <c r="E431" s="26">
        <f>D431*(1-VLOOKUP(A431,FX!A:K,9,0))</f>
        <v>13.87864983825629</v>
      </c>
      <c r="F431">
        <v>13.795999999999999</v>
      </c>
      <c r="G431" s="93">
        <f t="shared" si="190"/>
        <v>1.8766756032171594E-2</v>
      </c>
      <c r="H431" s="93">
        <f>(+B431/(D431*(1-VLOOKUP(A431,FX!A:K,9,0)))-1)</f>
        <v>1.3066844675612588E-2</v>
      </c>
      <c r="I431" s="93">
        <f t="shared" si="166"/>
        <v>1.9135981443896943E-2</v>
      </c>
      <c r="J431">
        <v>11962.6</v>
      </c>
      <c r="K431">
        <v>11962.6</v>
      </c>
      <c r="L431" s="93">
        <f t="shared" ref="L431" si="273">+K431/J431-1</f>
        <v>0</v>
      </c>
      <c r="M431" s="92">
        <f t="shared" si="188"/>
        <v>3</v>
      </c>
    </row>
    <row r="432" spans="1:14" x14ac:dyDescent="0.15">
      <c r="A432" s="90">
        <v>43013</v>
      </c>
      <c r="B432">
        <v>14.06</v>
      </c>
      <c r="C432" s="93">
        <f t="shared" si="192"/>
        <v>0</v>
      </c>
      <c r="D432" s="26">
        <f t="shared" ref="D432" si="274">+F431*(1+L432)</f>
        <v>13.795999999999999</v>
      </c>
      <c r="E432" s="26">
        <f>D432*(1-VLOOKUP(A432,FX!A:K,9,0))</f>
        <v>13.778461737695348</v>
      </c>
      <c r="F432">
        <v>13.8</v>
      </c>
      <c r="G432" s="93">
        <f t="shared" si="190"/>
        <v>1.9135981443896943E-2</v>
      </c>
      <c r="H432" s="93">
        <f>(+B432/(D432*(1-VLOOKUP(A432,FX!A:K,9,0)))-1)</f>
        <v>2.0433214364881991E-2</v>
      </c>
      <c r="I432" s="93">
        <f t="shared" si="166"/>
        <v>1.8840579710144967E-2</v>
      </c>
      <c r="J432">
        <v>11962.6</v>
      </c>
      <c r="K432">
        <v>11962.6</v>
      </c>
      <c r="L432" s="93">
        <f t="shared" ref="L432" si="275">+K432/J432-1</f>
        <v>0</v>
      </c>
      <c r="M432" s="92">
        <f t="shared" si="188"/>
        <v>4</v>
      </c>
      <c r="N432" s="50" t="s">
        <v>466</v>
      </c>
    </row>
    <row r="433" spans="1:14" x14ac:dyDescent="0.15">
      <c r="A433" s="90">
        <v>43014</v>
      </c>
      <c r="B433">
        <v>14.04</v>
      </c>
      <c r="C433" s="93">
        <f t="shared" si="192"/>
        <v>-1.4224751066856944E-3</v>
      </c>
      <c r="D433" s="26">
        <f t="shared" ref="D433" si="276">+F432*(1+L433)</f>
        <v>13.8</v>
      </c>
      <c r="E433" s="26">
        <f>D433*(1-VLOOKUP(A433,FX!A:K,9,0))</f>
        <v>13.789650546542619</v>
      </c>
      <c r="F433">
        <v>13.79</v>
      </c>
      <c r="G433" s="93">
        <f t="shared" si="190"/>
        <v>1.7391304347825987E-2</v>
      </c>
      <c r="H433" s="93">
        <f>(+B433/(D433*(1-VLOOKUP(A433,FX!A:K,9,0)))-1)</f>
        <v>1.8154880184411137E-2</v>
      </c>
      <c r="I433" s="93">
        <f t="shared" si="166"/>
        <v>1.8129079042784602E-2</v>
      </c>
      <c r="J433">
        <v>11962.6</v>
      </c>
      <c r="K433">
        <v>11962.6</v>
      </c>
      <c r="L433" s="93">
        <f t="shared" ref="L433" si="277">+K433/J433-1</f>
        <v>0</v>
      </c>
      <c r="M433" s="92">
        <f t="shared" si="188"/>
        <v>5</v>
      </c>
    </row>
    <row r="434" spans="1:14" x14ac:dyDescent="0.15">
      <c r="A434" s="90">
        <v>43017</v>
      </c>
      <c r="B434">
        <v>13.9</v>
      </c>
      <c r="C434" s="93">
        <f t="shared" si="192"/>
        <v>-9.9715099715098621E-3</v>
      </c>
      <c r="D434" s="26">
        <f t="shared" ref="D434" si="278">+F433*(1+L434)</f>
        <v>13.959570912677846</v>
      </c>
      <c r="E434" s="26">
        <f>D434*(1-VLOOKUP(A434,FX!A:K,9,0))</f>
        <v>14.022640697777193</v>
      </c>
      <c r="F434">
        <v>13.929</v>
      </c>
      <c r="G434" s="93">
        <f t="shared" si="190"/>
        <v>-4.2673885215013252E-3</v>
      </c>
      <c r="H434" s="93">
        <f>(+B434/(D434*(1-VLOOKUP(A434,FX!A:K,9,0)))-1)</f>
        <v>-8.7459060258624488E-3</v>
      </c>
      <c r="I434" s="93">
        <f t="shared" si="166"/>
        <v>-2.0819872209060231E-3</v>
      </c>
      <c r="J434">
        <v>11962.6</v>
      </c>
      <c r="K434">
        <v>12109.7</v>
      </c>
      <c r="L434" s="93">
        <f t="shared" ref="L434" si="279">+K434/J434-1</f>
        <v>1.2296657917175269E-2</v>
      </c>
      <c r="M434" s="92">
        <f t="shared" si="188"/>
        <v>1</v>
      </c>
    </row>
    <row r="435" spans="1:14" x14ac:dyDescent="0.15">
      <c r="A435" s="90">
        <v>43018</v>
      </c>
      <c r="B435">
        <v>14</v>
      </c>
      <c r="C435" s="93">
        <f t="shared" si="192"/>
        <v>7.194244604316502E-3</v>
      </c>
      <c r="D435" s="26">
        <f t="shared" ref="D435" si="280">+F434*(1+L435)</f>
        <v>13.96901667341057</v>
      </c>
      <c r="E435" s="26">
        <f>D435*(1-VLOOKUP(A435,FX!A:K,9,0))</f>
        <v>14.058795823739679</v>
      </c>
      <c r="F435">
        <v>14.013999999999999</v>
      </c>
      <c r="G435" s="93">
        <f t="shared" si="190"/>
        <v>2.2180034081000777E-3</v>
      </c>
      <c r="H435" s="93">
        <f>(+B435/(D435*(1-VLOOKUP(A435,FX!A:K,9,0)))-1)</f>
        <v>-4.1821379637931866E-3</v>
      </c>
      <c r="I435" s="93">
        <f t="shared" si="166"/>
        <v>-9.9900099900096517E-4</v>
      </c>
      <c r="J435">
        <v>12109.7</v>
      </c>
      <c r="K435">
        <v>12144.49</v>
      </c>
      <c r="L435" s="93">
        <f t="shared" ref="L435" si="281">+K435/J435-1</f>
        <v>2.8729035401371394E-3</v>
      </c>
      <c r="M435" s="92">
        <f t="shared" si="188"/>
        <v>2</v>
      </c>
    </row>
    <row r="436" spans="1:14" x14ac:dyDescent="0.15">
      <c r="A436" s="90">
        <v>43019</v>
      </c>
      <c r="B436">
        <v>14.06</v>
      </c>
      <c r="C436" s="93">
        <f t="shared" si="192"/>
        <v>4.2857142857142261E-3</v>
      </c>
      <c r="D436" s="26">
        <f t="shared" ref="D436" si="282">+F435*(1+L436)</f>
        <v>14.093194829918753</v>
      </c>
      <c r="E436" s="26">
        <f>D436*(1-VLOOKUP(A436,FX!A:K,9,0))</f>
        <v>14.111498232329343</v>
      </c>
      <c r="F436">
        <v>14.182</v>
      </c>
      <c r="G436" s="93">
        <f t="shared" si="190"/>
        <v>-2.3553800482685183E-3</v>
      </c>
      <c r="H436" s="93">
        <f>(+B436/(D436*(1-VLOOKUP(A436,FX!A:K,9,0)))-1)</f>
        <v>-3.6493809148741008E-3</v>
      </c>
      <c r="I436" s="93">
        <f t="shared" si="166"/>
        <v>-8.6024538146947105E-3</v>
      </c>
      <c r="J436">
        <v>12144.49</v>
      </c>
      <c r="K436">
        <v>12213.12</v>
      </c>
      <c r="L436" s="93">
        <f t="shared" ref="L436" si="283">+K436/J436-1</f>
        <v>5.6511224431821105E-3</v>
      </c>
      <c r="M436" s="92">
        <f t="shared" si="188"/>
        <v>3</v>
      </c>
      <c r="N436" s="50" t="s">
        <v>486</v>
      </c>
    </row>
    <row r="437" spans="1:14" x14ac:dyDescent="0.15">
      <c r="A437" s="90">
        <v>43020</v>
      </c>
      <c r="B437">
        <v>14.12</v>
      </c>
      <c r="C437" s="93">
        <f t="shared" si="192"/>
        <v>4.2674253200567502E-3</v>
      </c>
      <c r="D437" s="26">
        <f t="shared" ref="D437" si="284">+F436*(1+L437)</f>
        <v>14.243892505764293</v>
      </c>
      <c r="E437" s="26">
        <f>D437*(1-VLOOKUP(A437,FX!A:K,9,0))</f>
        <v>14.239982848892696</v>
      </c>
      <c r="F437">
        <v>14.24</v>
      </c>
      <c r="G437" s="93">
        <f t="shared" si="190"/>
        <v>-8.6979388333741081E-3</v>
      </c>
      <c r="H437" s="93">
        <f>(+B437/(D437*(1-VLOOKUP(A437,FX!A:K,9,0)))-1)</f>
        <v>-8.425772008709087E-3</v>
      </c>
      <c r="I437" s="93">
        <f t="shared" si="166"/>
        <v>-8.4269662921349076E-3</v>
      </c>
      <c r="J437">
        <v>12213.12</v>
      </c>
      <c r="K437">
        <v>12266.42</v>
      </c>
      <c r="L437" s="93">
        <f t="shared" ref="L437" si="285">+K437/J437-1</f>
        <v>4.364159199287343E-3</v>
      </c>
      <c r="M437" s="92">
        <f t="shared" si="188"/>
        <v>4</v>
      </c>
      <c r="N437" s="50" t="s">
        <v>487</v>
      </c>
    </row>
    <row r="438" spans="1:14" x14ac:dyDescent="0.15">
      <c r="A438" s="90">
        <v>43021</v>
      </c>
      <c r="B438">
        <v>14.14</v>
      </c>
      <c r="C438" s="93">
        <f t="shared" si="192"/>
        <v>1.4164305949009304E-3</v>
      </c>
      <c r="D438" s="26">
        <f t="shared" ref="D438" si="286">+F437*(1+L438)</f>
        <v>14.2530136095128</v>
      </c>
      <c r="E438" s="26">
        <f>D438*(1-VLOOKUP(A438,FX!A:K,9,0))</f>
        <v>14.267323680306403</v>
      </c>
      <c r="F438">
        <v>14.257</v>
      </c>
      <c r="G438" s="93">
        <f t="shared" si="190"/>
        <v>-7.9291027574247552E-3</v>
      </c>
      <c r="H438" s="93">
        <f>(+B438/(D438*(1-VLOOKUP(A438,FX!A:K,9,0)))-1)</f>
        <v>-8.9241460528544092E-3</v>
      </c>
      <c r="I438" s="93">
        <f t="shared" si="166"/>
        <v>-8.2064950550606586E-3</v>
      </c>
      <c r="J438">
        <v>12266.42</v>
      </c>
      <c r="K438">
        <v>12277.63</v>
      </c>
      <c r="L438" s="93">
        <f t="shared" ref="L438" si="287">+K438/J438-1</f>
        <v>9.1387707252810202E-4</v>
      </c>
      <c r="M438" s="92">
        <f t="shared" si="188"/>
        <v>5</v>
      </c>
    </row>
    <row r="439" spans="1:14" x14ac:dyDescent="0.15">
      <c r="A439" s="90">
        <v>43024</v>
      </c>
      <c r="B439">
        <v>14.2</v>
      </c>
      <c r="C439" s="93">
        <f t="shared" si="192"/>
        <v>4.2432814710040567E-3</v>
      </c>
      <c r="D439" s="26">
        <f t="shared" ref="D439" si="288">+F438*(1+L439)</f>
        <v>14.322237204574497</v>
      </c>
      <c r="E439" s="26">
        <f>D439*(1-VLOOKUP(A439,FX!A:K,9,0))</f>
        <v>14.315535835194751</v>
      </c>
      <c r="F439">
        <v>14.327999999999999</v>
      </c>
      <c r="G439" s="93">
        <f t="shared" si="190"/>
        <v>-8.5347842539191809E-3</v>
      </c>
      <c r="H439" s="93">
        <f>(+B439/(D439*(1-VLOOKUP(A439,FX!A:K,9,0)))-1)</f>
        <v>-8.0706608907161748E-3</v>
      </c>
      <c r="I439" s="93">
        <f t="shared" si="166"/>
        <v>-8.9335566722501536E-3</v>
      </c>
      <c r="J439">
        <v>12277.63</v>
      </c>
      <c r="K439">
        <v>12333.81</v>
      </c>
      <c r="L439" s="93">
        <f t="shared" ref="L439" si="289">+K439/J439-1</f>
        <v>4.5758016815948821E-3</v>
      </c>
      <c r="M439" s="92">
        <f t="shared" si="188"/>
        <v>1</v>
      </c>
    </row>
    <row r="440" spans="1:14" x14ac:dyDescent="0.15">
      <c r="A440" s="90">
        <v>43025</v>
      </c>
      <c r="B440">
        <v>14.14</v>
      </c>
      <c r="C440" s="93">
        <f t="shared" si="192"/>
        <v>-4.2253521126759397E-3</v>
      </c>
      <c r="D440" s="26">
        <f t="shared" ref="D440" si="290">+F439*(1+L440)</f>
        <v>14.330253668574432</v>
      </c>
      <c r="E440" s="26">
        <f>D440*(1-VLOOKUP(A440,FX!A:K,9,0))</f>
        <v>14.263179168812558</v>
      </c>
      <c r="F440">
        <v>14.317</v>
      </c>
      <c r="G440" s="93">
        <f t="shared" si="190"/>
        <v>-1.3276364325053747E-2</v>
      </c>
      <c r="H440" s="93">
        <f>(+B440/(D440*(1-VLOOKUP(A440,FX!A:K,9,0)))-1)</f>
        <v>-8.6361650060385875E-3</v>
      </c>
      <c r="I440" s="93">
        <f t="shared" si="166"/>
        <v>-1.2362925193825536E-2</v>
      </c>
      <c r="J440">
        <v>12333.81</v>
      </c>
      <c r="K440">
        <v>12335.75</v>
      </c>
      <c r="L440" s="93">
        <f t="shared" ref="L440" si="291">+K440/J440-1</f>
        <v>1.5729121820440284E-4</v>
      </c>
      <c r="M440" s="92">
        <f t="shared" si="188"/>
        <v>2</v>
      </c>
    </row>
    <row r="441" spans="1:14" x14ac:dyDescent="0.15">
      <c r="A441" s="90">
        <v>43026</v>
      </c>
      <c r="B441">
        <v>14.26</v>
      </c>
      <c r="C441" s="93">
        <f t="shared" si="192"/>
        <v>8.4865629420083355E-3</v>
      </c>
      <c r="D441" s="26">
        <f t="shared" ref="D441" si="292">+F440*(1+L441)</f>
        <v>14.46307442757838</v>
      </c>
      <c r="E441" s="26">
        <f>D441*(1-VLOOKUP(A441,FX!A:K,9,0))</f>
        <v>14.446921633707616</v>
      </c>
      <c r="F441">
        <v>14.45</v>
      </c>
      <c r="G441" s="93">
        <f t="shared" si="190"/>
        <v>-1.404088934169867E-2</v>
      </c>
      <c r="H441" s="93">
        <f>(+B441/(D441*(1-VLOOKUP(A441,FX!A:K,9,0)))-1)</f>
        <v>-1.2938509562583245E-2</v>
      </c>
      <c r="I441" s="93">
        <f t="shared" ref="I441:I500" si="293">+B441/F441-1</f>
        <v>-1.314878892733562E-2</v>
      </c>
      <c r="J441">
        <v>12335.75</v>
      </c>
      <c r="K441">
        <v>12461.61</v>
      </c>
      <c r="L441" s="93">
        <f t="shared" ref="L441" si="294">+K441/J441-1</f>
        <v>1.0202865654702853E-2</v>
      </c>
      <c r="M441" s="92">
        <f t="shared" si="188"/>
        <v>3</v>
      </c>
    </row>
    <row r="442" spans="1:14" ht="27" x14ac:dyDescent="0.15">
      <c r="A442" s="90">
        <v>43027</v>
      </c>
      <c r="B442">
        <v>14.12</v>
      </c>
      <c r="C442" s="93">
        <f t="shared" si="192"/>
        <v>-9.817671809256745E-3</v>
      </c>
      <c r="D442" s="26">
        <f t="shared" ref="D442" si="295">+F441*(1+L442)</f>
        <v>14.462801556139214</v>
      </c>
      <c r="E442" s="26">
        <f>D442*(1-VLOOKUP(A442,FX!A:K,9,0))</f>
        <v>14.425160603360979</v>
      </c>
      <c r="F442">
        <v>14.414</v>
      </c>
      <c r="G442" s="93">
        <f t="shared" si="190"/>
        <v>-2.3702292727213803E-2</v>
      </c>
      <c r="H442" s="93">
        <f>(+B442/(D442*(1-VLOOKUP(A442,FX!A:K,9,0)))-1)</f>
        <v>-2.1154745638664041E-2</v>
      </c>
      <c r="I442" s="93">
        <f t="shared" si="293"/>
        <v>-2.039683640904677E-2</v>
      </c>
      <c r="J442">
        <v>12461.61</v>
      </c>
      <c r="K442">
        <v>12472.65</v>
      </c>
      <c r="L442" s="93">
        <f t="shared" ref="L442" si="296">+K442/J442-1</f>
        <v>8.8592084008398686E-4</v>
      </c>
      <c r="M442" s="92">
        <f t="shared" si="188"/>
        <v>4</v>
      </c>
      <c r="N442" s="50" t="s">
        <v>508</v>
      </c>
    </row>
    <row r="443" spans="1:14" x14ac:dyDescent="0.15">
      <c r="A443" s="90">
        <v>43028</v>
      </c>
      <c r="B443">
        <v>14.16</v>
      </c>
      <c r="C443" s="93">
        <f t="shared" si="192"/>
        <v>2.8328611898018607E-3</v>
      </c>
      <c r="D443" s="26">
        <f t="shared" ref="D443" si="297">+F442*(1+L443)</f>
        <v>14.32754593129768</v>
      </c>
      <c r="E443" s="26">
        <f>D443*(1-VLOOKUP(A443,FX!A:K,9,0))</f>
        <v>14.340595757517029</v>
      </c>
      <c r="F443">
        <v>14.332000000000001</v>
      </c>
      <c r="G443" s="93">
        <f t="shared" si="190"/>
        <v>-1.1693972722271018E-2</v>
      </c>
      <c r="H443" s="93">
        <f>(+B443/(D443*(1-VLOOKUP(A443,FX!A:K,9,0)))-1)</f>
        <v>-1.2593323218274555E-2</v>
      </c>
      <c r="I443" s="93">
        <f t="shared" si="293"/>
        <v>-1.2001116382919341E-2</v>
      </c>
      <c r="J443">
        <v>12472.65</v>
      </c>
      <c r="K443">
        <v>12397.84</v>
      </c>
      <c r="L443" s="93">
        <f t="shared" ref="L443" si="298">+K443/J443-1</f>
        <v>-5.9979234565228357E-3</v>
      </c>
      <c r="M443" s="92">
        <f t="shared" si="188"/>
        <v>5</v>
      </c>
    </row>
    <row r="444" spans="1:14" x14ac:dyDescent="0.15">
      <c r="A444" s="90">
        <v>43031</v>
      </c>
      <c r="B444">
        <v>14.08</v>
      </c>
      <c r="C444" s="93">
        <f t="shared" si="192"/>
        <v>-5.6497175141243527E-3</v>
      </c>
      <c r="D444" s="26">
        <f t="shared" ref="D444" si="299">+F443*(1+L444)</f>
        <v>14.303539087453943</v>
      </c>
      <c r="E444" s="26">
        <f>D444*(1-VLOOKUP(A444,FX!A:K,9,0))</f>
        <v>14.287188576108935</v>
      </c>
      <c r="F444">
        <v>14.279</v>
      </c>
      <c r="G444" s="93">
        <f t="shared" si="190"/>
        <v>-1.5628236206940982E-2</v>
      </c>
      <c r="H444" s="93">
        <f>(+B444/(D444*(1-VLOOKUP(A444,FX!A:K,9,0)))-1)</f>
        <v>-1.4501703747047623E-2</v>
      </c>
      <c r="I444" s="93">
        <f t="shared" si="293"/>
        <v>-1.3936550178583973E-2</v>
      </c>
      <c r="J444">
        <v>12397.84</v>
      </c>
      <c r="K444">
        <v>12373.22</v>
      </c>
      <c r="L444" s="93">
        <f t="shared" ref="L444" si="300">+K444/J444-1</f>
        <v>-1.9858297897054067E-3</v>
      </c>
      <c r="M444" s="92">
        <f t="shared" si="188"/>
        <v>1</v>
      </c>
      <c r="N444" s="50" t="s">
        <v>517</v>
      </c>
    </row>
    <row r="445" spans="1:14" x14ac:dyDescent="0.15">
      <c r="A445" s="90">
        <v>43032</v>
      </c>
      <c r="B445">
        <v>14.14</v>
      </c>
      <c r="C445" s="93">
        <f t="shared" si="192"/>
        <v>4.2613636363637575E-3</v>
      </c>
      <c r="D445" s="26">
        <f t="shared" ref="D445" si="301">+F444*(1+L445)</f>
        <v>14.389797899819124</v>
      </c>
      <c r="E445" s="26">
        <f>D445*(1-VLOOKUP(A445,FX!A:K,9,0))</f>
        <v>14.385631604542455</v>
      </c>
      <c r="F445">
        <v>14.375999999999999</v>
      </c>
      <c r="G445" s="93">
        <f t="shared" si="190"/>
        <v>-1.735937513217356E-2</v>
      </c>
      <c r="H445" s="93">
        <f>(+B445/(D445*(1-VLOOKUP(A445,FX!A:K,9,0)))-1)</f>
        <v>-1.7074787628017174E-2</v>
      </c>
      <c r="I445" s="93">
        <f t="shared" si="293"/>
        <v>-1.6416249304396113E-2</v>
      </c>
      <c r="J445">
        <v>12373.22</v>
      </c>
      <c r="K445">
        <v>12469.23</v>
      </c>
      <c r="L445" s="93">
        <f t="shared" ref="L445" si="302">+K445/J445-1</f>
        <v>7.7594999523162844E-3</v>
      </c>
      <c r="M445" s="92">
        <f t="shared" si="188"/>
        <v>2</v>
      </c>
    </row>
    <row r="446" spans="1:14" x14ac:dyDescent="0.15">
      <c r="A446" s="90">
        <v>43033</v>
      </c>
      <c r="B446">
        <v>14.26</v>
      </c>
      <c r="C446" s="93">
        <f t="shared" si="192"/>
        <v>8.4865629420083355E-3</v>
      </c>
      <c r="D446" s="26">
        <f t="shared" ref="D446" si="303">+F445*(1+L446)</f>
        <v>14.436920188335607</v>
      </c>
      <c r="E446" s="26">
        <f>D446*(1-VLOOKUP(A446,FX!A:K,9,0))</f>
        <v>14.422810950511192</v>
      </c>
      <c r="F446">
        <v>14.428000000000001</v>
      </c>
      <c r="G446" s="93">
        <f t="shared" si="190"/>
        <v>-1.2254704329428323E-2</v>
      </c>
      <c r="H446" s="93">
        <f>(+B446/(D446*(1-VLOOKUP(A446,FX!A:K,9,0)))-1)</f>
        <v>-1.1288434069464226E-2</v>
      </c>
      <c r="I446" s="93">
        <f t="shared" si="293"/>
        <v>-1.1644025505960665E-2</v>
      </c>
      <c r="J446">
        <v>12469.23</v>
      </c>
      <c r="K446">
        <v>12522.07</v>
      </c>
      <c r="L446" s="93">
        <f t="shared" ref="L446" si="304">+K446/J446-1</f>
        <v>4.2376313533394327E-3</v>
      </c>
      <c r="M446" s="92">
        <f t="shared" si="188"/>
        <v>3</v>
      </c>
    </row>
    <row r="447" spans="1:14" x14ac:dyDescent="0.15">
      <c r="A447" s="90">
        <v>43034</v>
      </c>
      <c r="B447">
        <v>14.34</v>
      </c>
      <c r="C447" s="93">
        <f t="shared" si="192"/>
        <v>5.6100981767182034E-3</v>
      </c>
      <c r="D447" s="26">
        <f t="shared" ref="D447" si="305">+F446*(1+L447)</f>
        <v>14.504276015067799</v>
      </c>
      <c r="E447" s="26">
        <f>D447*(1-VLOOKUP(A447,FX!A:K,9,0))</f>
        <v>14.519107162306897</v>
      </c>
      <c r="F447">
        <v>14.505000000000001</v>
      </c>
      <c r="G447" s="93">
        <f t="shared" si="190"/>
        <v>-1.1326040327496512E-2</v>
      </c>
      <c r="H447" s="93">
        <f>(+B447/(D447*(1-VLOOKUP(A447,FX!A:K,9,0)))-1)</f>
        <v>-1.2335962556421998E-2</v>
      </c>
      <c r="I447" s="93">
        <f t="shared" si="293"/>
        <v>-1.1375387797311287E-2</v>
      </c>
      <c r="J447">
        <v>12522.07</v>
      </c>
      <c r="K447">
        <v>12588.27</v>
      </c>
      <c r="L447" s="93">
        <f t="shared" ref="L447" si="306">+K447/J447-1</f>
        <v>5.2866658627528373E-3</v>
      </c>
      <c r="M447" s="92">
        <f t="shared" si="188"/>
        <v>4</v>
      </c>
    </row>
    <row r="448" spans="1:14" x14ac:dyDescent="0.15">
      <c r="A448" s="90">
        <v>43035</v>
      </c>
      <c r="B448">
        <v>14.54</v>
      </c>
      <c r="C448" s="93">
        <f t="shared" si="192"/>
        <v>1.3947001394700065E-2</v>
      </c>
      <c r="D448" s="26">
        <f t="shared" ref="D448" si="307">+F447*(1+L448)</f>
        <v>14.754441932847008</v>
      </c>
      <c r="E448" s="26">
        <f>D448*(1-VLOOKUP(A448,FX!A:K,9,0))</f>
        <v>14.707453065395585</v>
      </c>
      <c r="F448">
        <v>14.715</v>
      </c>
      <c r="G448" s="93">
        <f t="shared" si="190"/>
        <v>-1.4534059222504947E-2</v>
      </c>
      <c r="H448" s="93">
        <f>(+B448/(D448*(1-VLOOKUP(A448,FX!A:K,9,0)))-1)</f>
        <v>-1.1385592369461794E-2</v>
      </c>
      <c r="I448" s="93">
        <f t="shared" si="293"/>
        <v>-1.1892626571525677E-2</v>
      </c>
      <c r="J448">
        <v>12588.27</v>
      </c>
      <c r="K448">
        <v>12804.75</v>
      </c>
      <c r="L448" s="93">
        <f t="shared" ref="L448" si="308">+K448/J448-1</f>
        <v>1.7196961933609645E-2</v>
      </c>
      <c r="M448" s="92">
        <f t="shared" si="188"/>
        <v>5</v>
      </c>
    </row>
    <row r="449" spans="1:14" x14ac:dyDescent="0.15">
      <c r="A449" s="90">
        <v>43038</v>
      </c>
      <c r="B449">
        <v>14.52</v>
      </c>
      <c r="C449" s="93">
        <f t="shared" si="192"/>
        <v>-1.3755158184318717E-3</v>
      </c>
      <c r="D449" s="26">
        <f t="shared" ref="D449" si="309">+F448*(1+L449)</f>
        <v>14.738707643647862</v>
      </c>
      <c r="E449" s="26">
        <f>D449*(1-VLOOKUP(A449,FX!A:K,9,0))</f>
        <v>14.754134011811532</v>
      </c>
      <c r="F449">
        <v>14.727</v>
      </c>
      <c r="G449" s="93">
        <f t="shared" si="190"/>
        <v>-1.4838997348734395E-2</v>
      </c>
      <c r="H449" s="93">
        <f>(+B449/(D449*(1-VLOOKUP(A449,FX!A:K,9,0)))-1)</f>
        <v>-1.5869044677518485E-2</v>
      </c>
      <c r="I449" s="93">
        <f t="shared" si="293"/>
        <v>-1.4055815848441733E-2</v>
      </c>
      <c r="J449">
        <v>12804.75</v>
      </c>
      <c r="K449">
        <v>12825.38</v>
      </c>
      <c r="L449" s="93">
        <f t="shared" ref="L449" si="310">+K449/J449-1</f>
        <v>1.6111208731133253E-3</v>
      </c>
      <c r="M449" s="92">
        <f t="shared" si="188"/>
        <v>1</v>
      </c>
    </row>
    <row r="450" spans="1:14" x14ac:dyDescent="0.15">
      <c r="A450" s="90">
        <v>43039</v>
      </c>
      <c r="B450">
        <v>14.56</v>
      </c>
      <c r="C450" s="93">
        <f t="shared" si="192"/>
        <v>2.7548209366392573E-3</v>
      </c>
      <c r="D450" s="26">
        <f t="shared" ref="D450" si="311">+F449*(1+L450)</f>
        <v>14.685076659716907</v>
      </c>
      <c r="E450" s="26">
        <f>D450*(1-VLOOKUP(A450,FX!A:K,9,0))</f>
        <v>14.72947779961868</v>
      </c>
      <c r="F450">
        <v>14.707000000000001</v>
      </c>
      <c r="G450" s="93">
        <f t="shared" si="190"/>
        <v>-8.5172629748681006E-3</v>
      </c>
      <c r="H450" s="93">
        <f>(+B450/(D450*(1-VLOOKUP(A450,FX!A:K,9,0)))-1)</f>
        <v>-1.1506029061197687E-2</v>
      </c>
      <c r="I450" s="93">
        <f t="shared" si="293"/>
        <v>-9.9952403617324936E-3</v>
      </c>
      <c r="J450">
        <v>12825.38</v>
      </c>
      <c r="K450">
        <v>12788.87</v>
      </c>
      <c r="L450" s="93">
        <f t="shared" ref="L450" si="312">+K450/J450-1</f>
        <v>-2.8466992790855405E-3</v>
      </c>
      <c r="M450" s="92">
        <f t="shared" si="188"/>
        <v>2</v>
      </c>
      <c r="N450" s="50" t="s">
        <v>564</v>
      </c>
    </row>
    <row r="451" spans="1:14" x14ac:dyDescent="0.15">
      <c r="A451" s="90">
        <v>43040</v>
      </c>
      <c r="B451">
        <v>14.6</v>
      </c>
      <c r="C451" s="93">
        <f t="shared" si="192"/>
        <v>2.7472527472527375E-3</v>
      </c>
      <c r="D451" s="26">
        <f t="shared" ref="D451" si="313">+F450*(1+L451)</f>
        <v>14.698915610214193</v>
      </c>
      <c r="E451" s="26">
        <f>D451*(1-VLOOKUP(A451,FX!A:K,9,0))</f>
        <v>14.692406334059196</v>
      </c>
      <c r="F451">
        <v>14.72</v>
      </c>
      <c r="G451" s="93">
        <f t="shared" si="190"/>
        <v>-6.7294494939108551E-3</v>
      </c>
      <c r="H451" s="93">
        <f>(+B451/(D451*(1-VLOOKUP(A451,FX!A:K,9,0)))-1)</f>
        <v>-6.2893941236150663E-3</v>
      </c>
      <c r="I451" s="93">
        <f t="shared" si="293"/>
        <v>-8.15217391304357E-3</v>
      </c>
      <c r="J451">
        <v>12788.87</v>
      </c>
      <c r="K451">
        <v>12781.84</v>
      </c>
      <c r="L451" s="93">
        <f t="shared" ref="L451" si="314">+K451/J451-1</f>
        <v>-5.4969672848348416E-4</v>
      </c>
      <c r="M451" s="92">
        <f t="shared" ref="M451:M485" si="315">WEEKDAY(A451,2)</f>
        <v>3</v>
      </c>
    </row>
    <row r="452" spans="1:14" x14ac:dyDescent="0.15">
      <c r="A452" s="90">
        <v>43041</v>
      </c>
      <c r="B452">
        <v>14.62</v>
      </c>
      <c r="C452" s="93">
        <f t="shared" si="192"/>
        <v>1.36986301369868E-3</v>
      </c>
      <c r="D452" s="26">
        <f t="shared" ref="D452" si="316">+F451*(1+L452)</f>
        <v>14.730053763777359</v>
      </c>
      <c r="E452" s="26">
        <f>D452*(1-VLOOKUP(A452,FX!A:K,9,0))</f>
        <v>14.793752103006714</v>
      </c>
      <c r="F452">
        <v>14.750999999999999</v>
      </c>
      <c r="G452" s="93">
        <f t="shared" ref="G452:G487" si="317">+B452/D452-1</f>
        <v>-7.4713755660548165E-3</v>
      </c>
      <c r="H452" s="93">
        <f>(+B452/(D452*(1-VLOOKUP(A452,FX!A:K,9,0)))-1)</f>
        <v>-1.1744965158054899E-2</v>
      </c>
      <c r="I452" s="93">
        <f t="shared" si="293"/>
        <v>-8.8807538471967762E-3</v>
      </c>
      <c r="J452">
        <v>12781.84</v>
      </c>
      <c r="K452">
        <v>12790.57</v>
      </c>
      <c r="L452" s="93">
        <f t="shared" ref="L452" si="318">+K452/J452-1</f>
        <v>6.830002566140525E-4</v>
      </c>
      <c r="M452" s="92">
        <f t="shared" si="315"/>
        <v>4</v>
      </c>
    </row>
    <row r="453" spans="1:14" ht="54" x14ac:dyDescent="0.15">
      <c r="A453" s="90">
        <v>43042</v>
      </c>
      <c r="B453">
        <v>14.56</v>
      </c>
      <c r="C453" s="93">
        <f t="shared" ref="C453:C487" si="319">B453/(B452-O453)-1</f>
        <v>-4.1039671682625567E-3</v>
      </c>
      <c r="D453" s="26">
        <f t="shared" ref="D453" si="320">+F452*(1+L453)</f>
        <v>14.762878696570992</v>
      </c>
      <c r="E453" s="26">
        <f>D453*(1-VLOOKUP(A453,FX!A:K,9,0))</f>
        <v>14.721648316363897</v>
      </c>
      <c r="F453">
        <v>14.791</v>
      </c>
      <c r="G453" s="93">
        <f t="shared" si="317"/>
        <v>-1.3742488896702376E-2</v>
      </c>
      <c r="H453" s="93">
        <f>(+B453/(D453*(1-VLOOKUP(A453,FX!A:K,9,0)))-1)</f>
        <v>-1.0980313677525833E-2</v>
      </c>
      <c r="I453" s="93">
        <f t="shared" si="293"/>
        <v>-1.5617605300520587E-2</v>
      </c>
      <c r="J453">
        <v>12790.57</v>
      </c>
      <c r="K453">
        <v>12800.87</v>
      </c>
      <c r="L453" s="93">
        <f t="shared" ref="L453" si="321">+K453/J453-1</f>
        <v>8.0528076543906479E-4</v>
      </c>
      <c r="M453" s="92">
        <f t="shared" si="315"/>
        <v>5</v>
      </c>
      <c r="N453" s="50" t="s">
        <v>556</v>
      </c>
    </row>
    <row r="454" spans="1:14" x14ac:dyDescent="0.15">
      <c r="A454" s="90">
        <v>43045</v>
      </c>
      <c r="B454">
        <v>14.56</v>
      </c>
      <c r="C454" s="93">
        <f t="shared" si="319"/>
        <v>0</v>
      </c>
      <c r="D454" s="26">
        <f t="shared" ref="D454" si="322">+F453*(1+L454)</f>
        <v>14.801214340119067</v>
      </c>
      <c r="E454" s="26">
        <f>D454*(1-VLOOKUP(A454,FX!A:K,9,0))</f>
        <v>14.761564223733245</v>
      </c>
      <c r="F454">
        <v>14.762</v>
      </c>
      <c r="G454" s="93">
        <f t="shared" si="317"/>
        <v>-1.6296929061100696E-2</v>
      </c>
      <c r="H454" s="93">
        <f>(+B454/(D454*(1-VLOOKUP(A454,FX!A:K,9,0)))-1)</f>
        <v>-1.365466563558182E-2</v>
      </c>
      <c r="I454" s="93">
        <f t="shared" si="293"/>
        <v>-1.3683782685273038E-2</v>
      </c>
      <c r="J454">
        <v>12800.87</v>
      </c>
      <c r="K454">
        <v>12809.71</v>
      </c>
      <c r="L454" s="93">
        <f t="shared" ref="L454" si="323">+K454/J454-1</f>
        <v>6.9057806227212915E-4</v>
      </c>
      <c r="M454" s="92">
        <f t="shared" si="315"/>
        <v>1</v>
      </c>
    </row>
    <row r="455" spans="1:14" x14ac:dyDescent="0.15">
      <c r="A455" s="90">
        <v>43046</v>
      </c>
      <c r="B455">
        <v>14.76</v>
      </c>
      <c r="C455" s="93">
        <f t="shared" si="319"/>
        <v>1.3736263736263687E-2</v>
      </c>
      <c r="D455" s="26">
        <f t="shared" ref="D455" si="324">+F454*(1+L455)</f>
        <v>14.913172755667382</v>
      </c>
      <c r="E455" s="26">
        <f>D455*(1-VLOOKUP(A455,FX!A:K,9,0))</f>
        <v>14.939452808608157</v>
      </c>
      <c r="F455">
        <v>14.919</v>
      </c>
      <c r="G455" s="93">
        <f t="shared" si="317"/>
        <v>-1.0270970381481948E-2</v>
      </c>
      <c r="H455" s="93">
        <f>(+B455/(D455*(1-VLOOKUP(A455,FX!A:K,9,0)))-1)</f>
        <v>-1.201200679216019E-2</v>
      </c>
      <c r="I455" s="93">
        <f t="shared" si="293"/>
        <v>-1.0657550774180624E-2</v>
      </c>
      <c r="J455">
        <v>12809.71</v>
      </c>
      <c r="K455">
        <v>12940.89</v>
      </c>
      <c r="L455" s="93">
        <f t="shared" ref="L455" si="325">+K455/J455-1</f>
        <v>1.024066899250653E-2</v>
      </c>
      <c r="M455" s="92">
        <f t="shared" si="315"/>
        <v>2</v>
      </c>
    </row>
    <row r="456" spans="1:14" x14ac:dyDescent="0.15">
      <c r="A456" s="90">
        <v>43047</v>
      </c>
      <c r="B456">
        <v>14.7</v>
      </c>
      <c r="C456" s="93">
        <f t="shared" si="319"/>
        <v>-4.0650406504065817E-3</v>
      </c>
      <c r="D456" s="26">
        <f t="shared" ref="D456" si="326">+F455*(1+L456)</f>
        <v>14.885082937108653</v>
      </c>
      <c r="E456" s="26">
        <f>D456*(1-VLOOKUP(A456,FX!A:K,9,0))</f>
        <v>14.842634356046256</v>
      </c>
      <c r="F456">
        <v>14.872</v>
      </c>
      <c r="G456" s="93">
        <f t="shared" si="317"/>
        <v>-1.2434121992511038E-2</v>
      </c>
      <c r="H456" s="93">
        <f>(+B456/(D456*(1-VLOOKUP(A456,FX!A:K,9,0)))-1)</f>
        <v>-9.609773617319739E-3</v>
      </c>
      <c r="I456" s="93">
        <f t="shared" si="293"/>
        <v>-1.1565357719203861E-2</v>
      </c>
      <c r="J456">
        <v>12940.89</v>
      </c>
      <c r="K456">
        <v>12911.47</v>
      </c>
      <c r="L456" s="93">
        <f t="shared" ref="L456" si="327">+K456/J456-1</f>
        <v>-2.2734139614818405E-3</v>
      </c>
      <c r="M456" s="92">
        <f t="shared" si="315"/>
        <v>3</v>
      </c>
    </row>
    <row r="457" spans="1:14" x14ac:dyDescent="0.15">
      <c r="A457" s="90">
        <v>43048</v>
      </c>
      <c r="B457">
        <v>14.82</v>
      </c>
      <c r="C457" s="93">
        <f t="shared" si="319"/>
        <v>8.1632653061225469E-3</v>
      </c>
      <c r="D457" s="26">
        <f t="shared" ref="D457" si="328">+F456*(1+L457)</f>
        <v>14.966462731199469</v>
      </c>
      <c r="E457" s="26">
        <f>D457*(1-VLOOKUP(A457,FX!A:K,9,0))</f>
        <v>14.989581350844455</v>
      </c>
      <c r="F457">
        <v>14.946</v>
      </c>
      <c r="G457" s="93">
        <f t="shared" si="317"/>
        <v>-9.7860619326000098E-3</v>
      </c>
      <c r="H457" s="93">
        <f>(+B457/(D457*(1-VLOOKUP(A457,FX!A:K,9,0)))-1)</f>
        <v>-1.1313281330228797E-2</v>
      </c>
      <c r="I457" s="93">
        <f t="shared" si="293"/>
        <v>-8.4303492573263306E-3</v>
      </c>
      <c r="J457">
        <v>12911.47</v>
      </c>
      <c r="K457">
        <v>12993.48</v>
      </c>
      <c r="L457" s="93">
        <f t="shared" ref="L457" si="329">+K457/J457-1</f>
        <v>6.3517167293887233E-3</v>
      </c>
      <c r="M457" s="92">
        <f t="shared" si="315"/>
        <v>4</v>
      </c>
      <c r="N457" s="50" t="s">
        <v>570</v>
      </c>
    </row>
    <row r="458" spans="1:14" x14ac:dyDescent="0.15">
      <c r="A458" s="90">
        <v>43049</v>
      </c>
      <c r="B458">
        <v>14.98</v>
      </c>
      <c r="C458" s="93">
        <f t="shared" si="319"/>
        <v>1.0796221322537214E-2</v>
      </c>
      <c r="D458" s="26">
        <f t="shared" ref="D458" si="330">+F457*(1+L458)</f>
        <v>15.092015173764072</v>
      </c>
      <c r="E458" s="26">
        <f>D458*(1-VLOOKUP(A458,FX!A:K,9,0))</f>
        <v>15.06755553367476</v>
      </c>
      <c r="F458">
        <v>15.105</v>
      </c>
      <c r="G458" s="93">
        <f t="shared" si="317"/>
        <v>-7.4221482336432887E-3</v>
      </c>
      <c r="H458" s="93">
        <f>(+B458/(D458*(1-VLOOKUP(A458,FX!A:K,9,0)))-1)</f>
        <v>-5.8108651717977411E-3</v>
      </c>
      <c r="I458" s="93">
        <f t="shared" si="293"/>
        <v>-8.2754054948692701E-3</v>
      </c>
      <c r="J458">
        <v>12993.48</v>
      </c>
      <c r="K458">
        <v>13120.42</v>
      </c>
      <c r="L458" s="93">
        <f t="shared" ref="L458" si="331">+K458/J458-1</f>
        <v>9.7695151722247964E-3</v>
      </c>
      <c r="M458" s="92">
        <f t="shared" si="315"/>
        <v>5</v>
      </c>
    </row>
    <row r="459" spans="1:14" x14ac:dyDescent="0.15">
      <c r="A459" s="90">
        <v>43052</v>
      </c>
      <c r="B459">
        <v>15</v>
      </c>
      <c r="C459" s="93">
        <f t="shared" si="319"/>
        <v>1.3351134846462109E-3</v>
      </c>
      <c r="D459" s="26">
        <f t="shared" ref="D459" si="332">+F458*(1+L459)</f>
        <v>15.168733691451953</v>
      </c>
      <c r="E459" s="26">
        <f>D459*(1-VLOOKUP(A459,FX!A:K,9,0))</f>
        <v>15.153856443363129</v>
      </c>
      <c r="F459">
        <v>15.154999999999999</v>
      </c>
      <c r="G459" s="93">
        <f t="shared" si="317"/>
        <v>-1.1123782306695751E-2</v>
      </c>
      <c r="H459" s="93">
        <f>(+B459/(D459*(1-VLOOKUP(A459,FX!A:K,9,0)))-1)</f>
        <v>-1.0152956373723154E-2</v>
      </c>
      <c r="I459" s="93">
        <f t="shared" si="293"/>
        <v>-1.0227647641042559E-2</v>
      </c>
      <c r="J459">
        <v>13120.42</v>
      </c>
      <c r="K459">
        <v>13175.78</v>
      </c>
      <c r="L459" s="93">
        <f t="shared" ref="L459" si="333">+K459/J459-1</f>
        <v>4.2193771235983224E-3</v>
      </c>
      <c r="M459" s="92">
        <f t="shared" si="315"/>
        <v>1</v>
      </c>
    </row>
    <row r="460" spans="1:14" x14ac:dyDescent="0.15">
      <c r="A460" s="90">
        <v>43053</v>
      </c>
      <c r="B460">
        <v>14.9</v>
      </c>
      <c r="C460" s="93">
        <f t="shared" si="319"/>
        <v>-6.6666666666665986E-3</v>
      </c>
      <c r="D460" s="26">
        <f t="shared" ref="D460" si="334">+F459*(1+L460)</f>
        <v>15.078303561534877</v>
      </c>
      <c r="E460" s="26">
        <f>D460*(1-VLOOKUP(A460,FX!A:K,9,0))</f>
        <v>15.087567393596851</v>
      </c>
      <c r="F460">
        <v>15.066000000000001</v>
      </c>
      <c r="G460" s="93">
        <f t="shared" si="317"/>
        <v>-1.1825173886917506E-2</v>
      </c>
      <c r="H460" s="93">
        <f>(+B460/(D460*(1-VLOOKUP(A460,FX!A:K,9,0)))-1)</f>
        <v>-1.2431917532077064E-2</v>
      </c>
      <c r="I460" s="93">
        <f t="shared" si="293"/>
        <v>-1.1018186645426864E-2</v>
      </c>
      <c r="J460">
        <v>13175.78</v>
      </c>
      <c r="K460">
        <v>13109.1</v>
      </c>
      <c r="L460" s="93">
        <f t="shared" ref="L460" si="335">+K460/J460-1</f>
        <v>-5.0608009544785837E-3</v>
      </c>
      <c r="M460" s="92">
        <f t="shared" si="315"/>
        <v>2</v>
      </c>
    </row>
    <row r="461" spans="1:14" x14ac:dyDescent="0.15">
      <c r="A461" s="90">
        <v>43054</v>
      </c>
      <c r="B461">
        <v>14.82</v>
      </c>
      <c r="C461" s="93">
        <f t="shared" si="319"/>
        <v>-5.3691275167785379E-3</v>
      </c>
      <c r="D461" s="26">
        <f t="shared" ref="D461" si="336">+F460*(1+L461)</f>
        <v>15.012696487173033</v>
      </c>
      <c r="E461" s="26">
        <f>D461*(1-VLOOKUP(A461,FX!A:K,9,0))</f>
        <v>15.027972354708947</v>
      </c>
      <c r="F461">
        <v>15.047000000000001</v>
      </c>
      <c r="G461" s="93">
        <f t="shared" si="317"/>
        <v>-1.2835568036539846E-2</v>
      </c>
      <c r="H461" s="93">
        <f>(+B461/(D461*(1-VLOOKUP(A461,FX!A:K,9,0)))-1)</f>
        <v>-1.3839016322370279E-2</v>
      </c>
      <c r="I461" s="93">
        <f t="shared" si="293"/>
        <v>-1.5086063667176242E-2</v>
      </c>
      <c r="J461">
        <v>13109.1</v>
      </c>
      <c r="K461">
        <v>13062.72</v>
      </c>
      <c r="L461" s="93">
        <f t="shared" ref="L461" si="337">+K461/J461-1</f>
        <v>-3.5380003203882016E-3</v>
      </c>
      <c r="M461" s="92">
        <f t="shared" si="315"/>
        <v>3</v>
      </c>
    </row>
    <row r="462" spans="1:14" x14ac:dyDescent="0.15">
      <c r="A462" s="90">
        <v>43055</v>
      </c>
      <c r="B462">
        <v>15.04</v>
      </c>
      <c r="C462" s="93">
        <f t="shared" si="319"/>
        <v>1.4844804318488558E-2</v>
      </c>
      <c r="D462" s="26">
        <f t="shared" ref="D462" si="338">+F461*(1+L462)</f>
        <v>15.21634141358002</v>
      </c>
      <c r="E462" s="26">
        <f>D462*(1-VLOOKUP(A462,FX!A:K,9,0))</f>
        <v>15.2195499392821</v>
      </c>
      <c r="F462">
        <v>15.217000000000001</v>
      </c>
      <c r="G462" s="93">
        <f t="shared" si="317"/>
        <v>-1.1588949589593334E-2</v>
      </c>
      <c r="H462" s="93">
        <f>(+B462/(D462*(1-VLOOKUP(A462,FX!A:K,9,0)))-1)</f>
        <v>-1.1797322522571929E-2</v>
      </c>
      <c r="I462" s="93">
        <f t="shared" si="293"/>
        <v>-1.1631727672997361E-2</v>
      </c>
      <c r="J462">
        <v>13062.72</v>
      </c>
      <c r="K462">
        <v>13209.73</v>
      </c>
      <c r="L462" s="93">
        <f t="shared" ref="L462" si="339">+K462/J462-1</f>
        <v>1.125416452316208E-2</v>
      </c>
      <c r="M462" s="92">
        <f t="shared" si="315"/>
        <v>4</v>
      </c>
    </row>
    <row r="463" spans="1:14" x14ac:dyDescent="0.15">
      <c r="A463" s="90">
        <v>43056</v>
      </c>
      <c r="B463">
        <v>15.26</v>
      </c>
      <c r="C463" s="93">
        <f t="shared" si="319"/>
        <v>1.4627659574468099E-2</v>
      </c>
      <c r="D463" s="26">
        <f t="shared" ref="D463" si="340">+F462*(1+L463)</f>
        <v>15.457551013533209</v>
      </c>
      <c r="E463" s="26">
        <f>D463*(1-VLOOKUP(A463,FX!A:K,9,0))</f>
        <v>15.465970397022154</v>
      </c>
      <c r="F463">
        <v>15.46</v>
      </c>
      <c r="G463" s="93">
        <f t="shared" si="317"/>
        <v>-1.2780227175718251E-2</v>
      </c>
      <c r="H463" s="93">
        <f>(+B463/(D463*(1-VLOOKUP(A463,FX!A:K,9,0)))-1)</f>
        <v>-1.3317651058081137E-2</v>
      </c>
      <c r="I463" s="93">
        <f t="shared" si="293"/>
        <v>-1.293661060802076E-2</v>
      </c>
      <c r="J463">
        <v>13209.73</v>
      </c>
      <c r="K463">
        <v>13418.55</v>
      </c>
      <c r="L463" s="93">
        <f t="shared" ref="L463" si="341">+K463/J463-1</f>
        <v>1.5808044524755704E-2</v>
      </c>
      <c r="M463" s="92">
        <f t="shared" si="315"/>
        <v>5</v>
      </c>
      <c r="N463" s="50" t="s">
        <v>588</v>
      </c>
    </row>
    <row r="464" spans="1:14" x14ac:dyDescent="0.15">
      <c r="A464" s="90">
        <v>43059</v>
      </c>
      <c r="B464">
        <v>15.36</v>
      </c>
      <c r="C464" s="93">
        <f t="shared" si="319"/>
        <v>6.5530799475752577E-3</v>
      </c>
      <c r="D464" s="26">
        <f t="shared" ref="D464" si="342">+F463*(1+L464)</f>
        <v>15.549290571634046</v>
      </c>
      <c r="E464" s="26">
        <f>D464*(1-VLOOKUP(A464,FX!A:K,9,0))</f>
        <v>15.532426706085737</v>
      </c>
      <c r="F464">
        <v>15.555999999999999</v>
      </c>
      <c r="G464" s="93">
        <f t="shared" si="317"/>
        <v>-1.2173582502816083E-2</v>
      </c>
      <c r="H464" s="93">
        <f>(+B464/(D464*(1-VLOOKUP(A464,FX!A:K,9,0)))-1)</f>
        <v>-1.1101079654100565E-2</v>
      </c>
      <c r="I464" s="93">
        <f t="shared" si="293"/>
        <v>-1.2599640010285351E-2</v>
      </c>
      <c r="J464">
        <v>13418.55</v>
      </c>
      <c r="K464">
        <v>13496.05</v>
      </c>
      <c r="L464" s="93">
        <f t="shared" ref="L464" si="343">+K464/J464-1</f>
        <v>5.7755867809861083E-3</v>
      </c>
      <c r="M464" s="92">
        <f t="shared" si="315"/>
        <v>1</v>
      </c>
    </row>
    <row r="465" spans="1:14" x14ac:dyDescent="0.15">
      <c r="A465" s="90">
        <v>43060</v>
      </c>
      <c r="B465">
        <v>15.74</v>
      </c>
      <c r="C465" s="93">
        <f t="shared" si="319"/>
        <v>2.4739583333333481E-2</v>
      </c>
      <c r="D465" s="26">
        <f t="shared" ref="D465" si="344">+F464*(1+L465)</f>
        <v>15.870449958321139</v>
      </c>
      <c r="E465" s="26">
        <f>D465*(1-VLOOKUP(A465,FX!A:K,9,0))</f>
        <v>15.86524217330938</v>
      </c>
      <c r="F465">
        <v>15.85</v>
      </c>
      <c r="G465" s="93">
        <f t="shared" si="317"/>
        <v>-8.219676106457352E-3</v>
      </c>
      <c r="H465" s="93">
        <f>(+B465/(D465*(1-VLOOKUP(A465,FX!A:K,9,0)))-1)</f>
        <v>-7.89412301061998E-3</v>
      </c>
      <c r="I465" s="93">
        <f t="shared" si="293"/>
        <v>-6.9400630914826511E-3</v>
      </c>
      <c r="J465">
        <v>13496.05</v>
      </c>
      <c r="K465">
        <v>13768.86</v>
      </c>
      <c r="L465" s="93">
        <f t="shared" ref="L465" si="345">+K465/J465-1</f>
        <v>2.021406263314085E-2</v>
      </c>
      <c r="M465" s="92">
        <f t="shared" si="315"/>
        <v>2</v>
      </c>
    </row>
    <row r="466" spans="1:14" x14ac:dyDescent="0.15">
      <c r="A466" s="90">
        <v>43061</v>
      </c>
      <c r="B466">
        <v>15.88</v>
      </c>
      <c r="C466" s="93">
        <f t="shared" si="319"/>
        <v>8.8945362134689177E-3</v>
      </c>
      <c r="D466" s="26">
        <f t="shared" ref="D466" si="346">+F465*(1+L466)</f>
        <v>15.962121845962557</v>
      </c>
      <c r="E466" s="26">
        <f>D466*(1-VLOOKUP(A466,FX!A:K,9,0))</f>
        <v>16.026886856062706</v>
      </c>
      <c r="F466">
        <v>15.97</v>
      </c>
      <c r="G466" s="93">
        <f t="shared" si="317"/>
        <v>-5.144795081446385E-3</v>
      </c>
      <c r="H466" s="93">
        <f>(+B466/(D466*(1-VLOOKUP(A466,FX!A:K,9,0)))-1)</f>
        <v>-9.1650273307533059E-3</v>
      </c>
      <c r="I466" s="93">
        <f t="shared" si="293"/>
        <v>-5.635566687539173E-3</v>
      </c>
      <c r="J466">
        <v>13768.86</v>
      </c>
      <c r="K466">
        <v>13866.26</v>
      </c>
      <c r="L466" s="93">
        <f t="shared" ref="L466" si="347">+K466/J466-1</f>
        <v>7.0739334992149239E-3</v>
      </c>
      <c r="M466" s="92">
        <f t="shared" si="315"/>
        <v>3</v>
      </c>
    </row>
    <row r="467" spans="1:14" x14ac:dyDescent="0.15">
      <c r="A467" s="90">
        <v>43062</v>
      </c>
      <c r="B467">
        <v>15.4</v>
      </c>
      <c r="C467" s="93">
        <f t="shared" si="319"/>
        <v>-3.0226700251889227E-2</v>
      </c>
      <c r="D467" s="26">
        <f t="shared" ref="D467" si="348">+F466*(1+L467)</f>
        <v>15.514219724713081</v>
      </c>
      <c r="E467" s="26">
        <f>D467*(1-VLOOKUP(A467,FX!A:K,9,0))</f>
        <v>15.575976242095019</v>
      </c>
      <c r="F467">
        <v>15.574999999999999</v>
      </c>
      <c r="G467" s="93">
        <f t="shared" si="317"/>
        <v>-7.3622603482362825E-3</v>
      </c>
      <c r="H467" s="93">
        <f>(+B467/(D467*(1-VLOOKUP(A467,FX!A:K,9,0)))-1)</f>
        <v>-1.1297926971629013E-2</v>
      </c>
      <c r="I467" s="93">
        <f t="shared" si="293"/>
        <v>-1.1235955056179692E-2</v>
      </c>
      <c r="J467">
        <v>13866.26</v>
      </c>
      <c r="K467">
        <v>13470.52</v>
      </c>
      <c r="L467" s="93">
        <f t="shared" ref="L467" si="349">+K467/J467-1</f>
        <v>-2.8539779291604228E-2</v>
      </c>
      <c r="M467" s="92">
        <f t="shared" si="315"/>
        <v>4</v>
      </c>
      <c r="N467" s="50" t="s">
        <v>598</v>
      </c>
    </row>
    <row r="468" spans="1:14" x14ac:dyDescent="0.15">
      <c r="A468" s="90">
        <v>43063</v>
      </c>
      <c r="B468">
        <v>15.44</v>
      </c>
      <c r="C468" s="93">
        <f t="shared" si="319"/>
        <v>2.5974025974024872E-3</v>
      </c>
      <c r="D468" s="26">
        <f t="shared" ref="D468" si="350">+F467*(1+L468)</f>
        <v>15.577081211415743</v>
      </c>
      <c r="E468" s="26">
        <f>D468*(1-VLOOKUP(A468,FX!A:K,9,0))</f>
        <v>15.587033749708331</v>
      </c>
      <c r="F468">
        <v>15.625999999999999</v>
      </c>
      <c r="G468" s="93">
        <f t="shared" si="317"/>
        <v>-8.8001859626489765E-3</v>
      </c>
      <c r="H468" s="93">
        <f>(+B468/(D468*(1-VLOOKUP(A468,FX!A:K,9,0)))-1)</f>
        <v>-9.4330808587029802E-3</v>
      </c>
      <c r="I468" s="93">
        <f t="shared" si="293"/>
        <v>-1.1903238192755627E-2</v>
      </c>
      <c r="J468">
        <v>13470.52</v>
      </c>
      <c r="K468">
        <v>13472.32</v>
      </c>
      <c r="L468" s="93">
        <f t="shared" ref="L468" si="351">+K468/J468-1</f>
        <v>1.3362513102688212E-4</v>
      </c>
      <c r="M468" s="92">
        <f t="shared" si="315"/>
        <v>5</v>
      </c>
    </row>
    <row r="469" spans="1:14" x14ac:dyDescent="0.15">
      <c r="A469" s="90">
        <v>43066</v>
      </c>
      <c r="B469">
        <v>15.22</v>
      </c>
      <c r="C469" s="93">
        <f t="shared" si="319"/>
        <v>-1.4248704663212375E-2</v>
      </c>
      <c r="D469" s="26">
        <f t="shared" ref="D469" si="352">+F468*(1+L469)</f>
        <v>15.448576273425809</v>
      </c>
      <c r="E469" s="26">
        <f>D469*(1-VLOOKUP(A469,FX!A:K,9,0))</f>
        <v>15.429942617521336</v>
      </c>
      <c r="F469">
        <v>15.414</v>
      </c>
      <c r="G469" s="93">
        <f t="shared" si="317"/>
        <v>-1.4795944259212934E-2</v>
      </c>
      <c r="H469" s="93">
        <f>(+B469/(D469*(1-VLOOKUP(A469,FX!A:K,9,0)))-1)</f>
        <v>-1.360618264924307E-2</v>
      </c>
      <c r="I469" s="93">
        <f t="shared" si="293"/>
        <v>-1.2585960814843533E-2</v>
      </c>
      <c r="J469">
        <v>13472.32</v>
      </c>
      <c r="K469">
        <v>13319.35</v>
      </c>
      <c r="L469" s="93">
        <f t="shared" ref="L469" si="353">+K469/J469-1</f>
        <v>-1.1354391819671683E-2</v>
      </c>
      <c r="M469" s="92">
        <f t="shared" si="315"/>
        <v>1</v>
      </c>
    </row>
    <row r="470" spans="1:14" x14ac:dyDescent="0.15">
      <c r="A470" s="90">
        <v>43067</v>
      </c>
      <c r="B470">
        <v>15.18</v>
      </c>
      <c r="C470" s="93">
        <f t="shared" si="319"/>
        <v>-2.6281208935611255E-3</v>
      </c>
      <c r="D470" s="26">
        <f t="shared" ref="D470" si="354">+F469*(1+L470)</f>
        <v>15.325087431443725</v>
      </c>
      <c r="E470" s="26">
        <f>D470*(1-VLOOKUP(A470,FX!A:K,9,0))</f>
        <v>15.300823789119814</v>
      </c>
      <c r="F470">
        <v>15.32</v>
      </c>
      <c r="G470" s="93">
        <f t="shared" si="317"/>
        <v>-9.4673150866361189E-3</v>
      </c>
      <c r="H470" s="93">
        <f>(+B470/(D470*(1-VLOOKUP(A470,FX!A:K,9,0)))-1)</f>
        <v>-7.8965545113806046E-3</v>
      </c>
      <c r="I470" s="93">
        <f t="shared" si="293"/>
        <v>-9.1383812010443766E-3</v>
      </c>
      <c r="J470">
        <v>13319.35</v>
      </c>
      <c r="K470">
        <v>13242.52</v>
      </c>
      <c r="L470" s="93">
        <f t="shared" ref="L470" si="355">+K470/J470-1</f>
        <v>-5.7682995041049567E-3</v>
      </c>
      <c r="M470" s="92">
        <f t="shared" si="315"/>
        <v>2</v>
      </c>
    </row>
    <row r="471" spans="1:14" x14ac:dyDescent="0.15">
      <c r="A471" s="90">
        <v>43068</v>
      </c>
      <c r="B471">
        <v>15.2</v>
      </c>
      <c r="C471" s="93">
        <f t="shared" si="319"/>
        <v>1.3175230566535578E-3</v>
      </c>
      <c r="D471" s="26">
        <f t="shared" ref="D471" si="356">+F470*(1+L471)</f>
        <v>15.351305159440951</v>
      </c>
      <c r="E471" s="26">
        <f>D471*(1-VLOOKUP(A471,FX!A:K,9,0))</f>
        <v>15.348795432068034</v>
      </c>
      <c r="F471">
        <v>15.336</v>
      </c>
      <c r="G471" s="93">
        <f t="shared" si="317"/>
        <v>-9.8561756065346229E-3</v>
      </c>
      <c r="H471" s="93">
        <f>(+B471/(D471*(1-VLOOKUP(A471,FX!A:K,9,0)))-1)</f>
        <v>-9.6942742332182252E-3</v>
      </c>
      <c r="I471" s="93">
        <f t="shared" si="293"/>
        <v>-8.8680229525300858E-3</v>
      </c>
      <c r="J471">
        <v>13242.52</v>
      </c>
      <c r="K471">
        <v>13269.58</v>
      </c>
      <c r="L471" s="93">
        <f t="shared" ref="L471" si="357">+K471/J471-1</f>
        <v>2.0434177180777002E-3</v>
      </c>
      <c r="M471" s="92">
        <f t="shared" si="315"/>
        <v>3</v>
      </c>
    </row>
    <row r="472" spans="1:14" x14ac:dyDescent="0.15">
      <c r="A472" s="90">
        <v>43069</v>
      </c>
      <c r="B472">
        <v>15</v>
      </c>
      <c r="C472" s="93">
        <f t="shared" si="319"/>
        <v>-1.3157894736842035E-2</v>
      </c>
      <c r="D472" s="26">
        <f t="shared" ref="D472" si="358">+F471*(1+L472)</f>
        <v>15.128732080442637</v>
      </c>
      <c r="E472" s="26">
        <f>D472*(1-VLOOKUP(A472,FX!A:K,9,0))</f>
        <v>15.10643303574189</v>
      </c>
      <c r="F472">
        <v>15.127000000000001</v>
      </c>
      <c r="G472" s="93">
        <f t="shared" si="317"/>
        <v>-8.5091123141147751E-3</v>
      </c>
      <c r="H472" s="93">
        <f>(+B472/(D472*(1-VLOOKUP(A472,FX!A:K,9,0)))-1)</f>
        <v>-7.0455438083940614E-3</v>
      </c>
      <c r="I472" s="93">
        <f t="shared" si="293"/>
        <v>-8.3955840550010707E-3</v>
      </c>
      <c r="J472">
        <v>13269.58</v>
      </c>
      <c r="K472">
        <v>13090.24</v>
      </c>
      <c r="L472" s="93">
        <f t="shared" ref="L472" si="359">+K472/J472-1</f>
        <v>-1.3515122558513504E-2</v>
      </c>
      <c r="M472" s="92">
        <f t="shared" si="315"/>
        <v>4</v>
      </c>
      <c r="N472" s="50" t="s">
        <v>606</v>
      </c>
    </row>
    <row r="473" spans="1:14" x14ac:dyDescent="0.15">
      <c r="A473" s="90">
        <v>43070</v>
      </c>
      <c r="B473">
        <v>14.9</v>
      </c>
      <c r="C473" s="93">
        <f t="shared" si="319"/>
        <v>-6.6666666666665986E-3</v>
      </c>
      <c r="D473" s="26">
        <f t="shared" ref="D473" si="360">+F472*(1+L473)</f>
        <v>15.009453000097785</v>
      </c>
      <c r="E473" s="26">
        <f>D473*(1-VLOOKUP(A473,FX!A:K,9,0))</f>
        <v>15.010689406121097</v>
      </c>
      <c r="F473">
        <v>15.007999999999999</v>
      </c>
      <c r="G473" s="93">
        <f t="shared" si="317"/>
        <v>-7.2922710839010696E-3</v>
      </c>
      <c r="H473" s="93">
        <f>(+B473/(D473*(1-VLOOKUP(A473,FX!A:K,9,0)))-1)</f>
        <v>-7.3740388017061731E-3</v>
      </c>
      <c r="I473" s="93">
        <f t="shared" si="293"/>
        <v>-7.1961620469082055E-3</v>
      </c>
      <c r="J473">
        <v>13090.24</v>
      </c>
      <c r="K473">
        <v>12988.52</v>
      </c>
      <c r="L473" s="93">
        <f t="shared" ref="L473" si="361">+K473/J473-1</f>
        <v>-7.7706749456082358E-3</v>
      </c>
      <c r="M473" s="92">
        <f t="shared" si="315"/>
        <v>5</v>
      </c>
      <c r="N473" s="50" t="s">
        <v>608</v>
      </c>
    </row>
    <row r="474" spans="1:14" x14ac:dyDescent="0.15">
      <c r="A474" s="90">
        <v>43073</v>
      </c>
      <c r="B474">
        <v>15.02</v>
      </c>
      <c r="C474" s="93">
        <f t="shared" si="319"/>
        <v>8.0536912751676404E-3</v>
      </c>
      <c r="D474" s="26">
        <f t="shared" ref="D474" si="362">+F473*(1+L474)</f>
        <v>15.141619928983438</v>
      </c>
      <c r="E474" s="26">
        <f>D474*(1-VLOOKUP(A474,FX!A:K,9,0))</f>
        <v>15.144183496497387</v>
      </c>
      <c r="F474">
        <v>15.138999999999999</v>
      </c>
      <c r="G474" s="93">
        <f t="shared" si="317"/>
        <v>-8.0321609942565209E-3</v>
      </c>
      <c r="H474" s="93">
        <f>(+B474/(D474*(1-VLOOKUP(A474,FX!A:K,9,0)))-1)</f>
        <v>-8.2000786986046181E-3</v>
      </c>
      <c r="I474" s="93">
        <f t="shared" si="293"/>
        <v>-7.8604927670254954E-3</v>
      </c>
      <c r="J474">
        <v>12988.52</v>
      </c>
      <c r="K474">
        <v>13104.16</v>
      </c>
      <c r="L474" s="93">
        <f t="shared" ref="L474" si="363">+K474/J474-1</f>
        <v>8.9032468672334275E-3</v>
      </c>
      <c r="M474" s="92">
        <f t="shared" si="315"/>
        <v>1</v>
      </c>
    </row>
    <row r="475" spans="1:14" x14ac:dyDescent="0.15">
      <c r="A475" s="90">
        <v>43074</v>
      </c>
      <c r="B475">
        <v>15.2</v>
      </c>
      <c r="C475" s="93">
        <f t="shared" si="319"/>
        <v>1.1984021304926706E-2</v>
      </c>
      <c r="D475" s="26">
        <f t="shared" ref="D475" si="364">+F474*(1+L475)</f>
        <v>15.365677878627857</v>
      </c>
      <c r="E475" s="26">
        <f>D475*(1-VLOOKUP(A475,FX!A:K,9,0))</f>
        <v>15.366641939831787</v>
      </c>
      <c r="F475">
        <v>15.367000000000001</v>
      </c>
      <c r="G475" s="93">
        <f t="shared" si="317"/>
        <v>-1.0782334494874424E-2</v>
      </c>
      <c r="H475" s="93">
        <f>(+B475/(D475*(1-VLOOKUP(A475,FX!A:K,9,0)))-1)</f>
        <v>-1.084439531319048E-2</v>
      </c>
      <c r="I475" s="93">
        <f t="shared" si="293"/>
        <v>-1.0867443222489892E-2</v>
      </c>
      <c r="J475">
        <v>13104.16</v>
      </c>
      <c r="K475">
        <v>13300.37</v>
      </c>
      <c r="L475" s="93">
        <f t="shared" ref="L475" si="365">+K475/J475-1</f>
        <v>1.497310777646188E-2</v>
      </c>
      <c r="M475" s="92">
        <f t="shared" si="315"/>
        <v>2</v>
      </c>
    </row>
    <row r="476" spans="1:14" x14ac:dyDescent="0.15">
      <c r="A476" s="90">
        <v>43075</v>
      </c>
      <c r="B476">
        <v>14.96</v>
      </c>
      <c r="C476" s="93">
        <f t="shared" si="319"/>
        <v>-1.5789473684210464E-2</v>
      </c>
      <c r="D476" s="26">
        <f t="shared" ref="D476" si="366">+F475*(1+L476)</f>
        <v>15.176824222935151</v>
      </c>
      <c r="E476" s="26">
        <f>D476*(1-VLOOKUP(A476,FX!A:K,9,0))</f>
        <v>15.170343476393125</v>
      </c>
      <c r="F476">
        <v>15.16</v>
      </c>
      <c r="G476" s="93">
        <f t="shared" si="317"/>
        <v>-1.4286534504859505E-2</v>
      </c>
      <c r="H476" s="93">
        <f>(+B476/(D476*(1-VLOOKUP(A476,FX!A:K,9,0)))-1)</f>
        <v>-1.3865439284248438E-2</v>
      </c>
      <c r="I476" s="93">
        <f t="shared" si="293"/>
        <v>-1.319261213720313E-2</v>
      </c>
      <c r="J476">
        <v>13300.37</v>
      </c>
      <c r="K476">
        <v>13135.77</v>
      </c>
      <c r="L476" s="93">
        <f t="shared" ref="L476" si="367">+K476/J476-1</f>
        <v>-1.2375595566138431E-2</v>
      </c>
      <c r="M476" s="92">
        <f t="shared" si="315"/>
        <v>3</v>
      </c>
    </row>
    <row r="477" spans="1:14" x14ac:dyDescent="0.15">
      <c r="A477" s="90">
        <v>43076</v>
      </c>
      <c r="B477">
        <v>14.82</v>
      </c>
      <c r="C477" s="93">
        <f t="shared" si="319"/>
        <v>-9.3582887700535133E-3</v>
      </c>
      <c r="D477" s="26">
        <f t="shared" ref="D477" si="368">+F476*(1+L477)</f>
        <v>14.960421383748345</v>
      </c>
      <c r="E477" s="26">
        <f>D477*(1-VLOOKUP(A477,FX!A:K,9,0))</f>
        <v>14.957753787660353</v>
      </c>
      <c r="F477">
        <v>14.95</v>
      </c>
      <c r="G477" s="93">
        <f t="shared" si="317"/>
        <v>-9.3861917486419699E-3</v>
      </c>
      <c r="H477" s="93">
        <f>(+B477/(D477*(1-VLOOKUP(A477,FX!A:K,9,0)))-1)</f>
        <v>-9.2095236768768851E-3</v>
      </c>
      <c r="I477" s="93">
        <f t="shared" si="293"/>
        <v>-8.6956521739129933E-3</v>
      </c>
      <c r="J477">
        <v>13135.77</v>
      </c>
      <c r="K477">
        <v>12962.84</v>
      </c>
      <c r="L477" s="93">
        <f t="shared" ref="L477" si="369">+K477/J477-1</f>
        <v>-1.3164816375438981E-2</v>
      </c>
      <c r="M477" s="92">
        <f t="shared" si="315"/>
        <v>4</v>
      </c>
    </row>
    <row r="478" spans="1:14" x14ac:dyDescent="0.15">
      <c r="A478" s="90">
        <v>43077</v>
      </c>
      <c r="B478">
        <v>15</v>
      </c>
      <c r="C478" s="93">
        <f t="shared" si="319"/>
        <v>1.2145748987854255E-2</v>
      </c>
      <c r="D478" s="26">
        <f t="shared" ref="D478" si="370">+F477*(1+L478)</f>
        <v>15.068270571880852</v>
      </c>
      <c r="E478" s="26">
        <f>D478*(1-VLOOKUP(A478,FX!A:K,9,0))</f>
        <v>15.056834149787479</v>
      </c>
      <c r="F478">
        <v>15.055</v>
      </c>
      <c r="G478" s="93">
        <f t="shared" si="317"/>
        <v>-4.5307503309804931E-3</v>
      </c>
      <c r="H478" s="93">
        <f>(+B478/(D478*(1-VLOOKUP(A478,FX!A:K,9,0)))-1)</f>
        <v>-3.7746414167868503E-3</v>
      </c>
      <c r="I478" s="93">
        <f t="shared" si="293"/>
        <v>-3.6532713384257454E-3</v>
      </c>
      <c r="J478">
        <v>12962.84</v>
      </c>
      <c r="K478">
        <v>13065.39</v>
      </c>
      <c r="L478" s="93">
        <f t="shared" ref="L478" si="371">+K478/J478-1</f>
        <v>7.9110750421975684E-3</v>
      </c>
      <c r="M478" s="92">
        <f t="shared" si="315"/>
        <v>5</v>
      </c>
    </row>
    <row r="479" spans="1:14" x14ac:dyDescent="0.15">
      <c r="A479" s="90">
        <v>43080</v>
      </c>
      <c r="B479">
        <v>15.24</v>
      </c>
      <c r="C479" s="93">
        <f t="shared" si="319"/>
        <v>1.6000000000000014E-2</v>
      </c>
      <c r="D479" s="26">
        <f t="shared" ref="D479" si="372">+F478*(1+L479)</f>
        <v>15.287634000975096</v>
      </c>
      <c r="E479" s="26">
        <f>D479*(1-VLOOKUP(A479,FX!A:K,9,0))</f>
        <v>15.297897222784938</v>
      </c>
      <c r="F479">
        <v>15.298999999999999</v>
      </c>
      <c r="G479" s="93">
        <f t="shared" si="317"/>
        <v>-3.115851738212605E-3</v>
      </c>
      <c r="H479" s="93">
        <f>(+B479/(D479*(1-VLOOKUP(A479,FX!A:K,9,0)))-1)</f>
        <v>-3.7846523572341306E-3</v>
      </c>
      <c r="I479" s="93">
        <f t="shared" si="293"/>
        <v>-3.8564612066147586E-3</v>
      </c>
      <c r="J479">
        <v>13065.39</v>
      </c>
      <c r="K479">
        <v>13267.28</v>
      </c>
      <c r="L479" s="93">
        <f t="shared" ref="L479" si="373">+K479/J479-1</f>
        <v>1.5452275056466069E-2</v>
      </c>
      <c r="M479" s="92">
        <f t="shared" si="315"/>
        <v>1</v>
      </c>
    </row>
    <row r="480" spans="1:14" x14ac:dyDescent="0.15">
      <c r="A480" s="90">
        <v>43081</v>
      </c>
      <c r="B480">
        <v>14.94</v>
      </c>
      <c r="C480" s="93">
        <f t="shared" si="319"/>
        <v>-1.9685039370078816E-2</v>
      </c>
      <c r="D480" s="26">
        <f t="shared" ref="D480" si="374">+F479*(1+L480)</f>
        <v>15.054650133260168</v>
      </c>
      <c r="E480" s="26">
        <f>D480*(1-VLOOKUP(A480,FX!A:K,9,0))</f>
        <v>15.054650133260168</v>
      </c>
      <c r="F480">
        <v>15.053000000000001</v>
      </c>
      <c r="G480" s="93">
        <f t="shared" si="317"/>
        <v>-7.6155959949458785E-3</v>
      </c>
      <c r="H480" s="93">
        <f>(+B480/(D480*(1-VLOOKUP(A480,FX!A:K,9,0)))-1)</f>
        <v>-7.6155959949458785E-3</v>
      </c>
      <c r="I480" s="93">
        <f t="shared" si="293"/>
        <v>-7.5068092738990178E-3</v>
      </c>
      <c r="J480">
        <v>13267.28</v>
      </c>
      <c r="K480">
        <v>13055.38</v>
      </c>
      <c r="L480" s="93">
        <f t="shared" ref="L480" si="375">+K480/J480-1</f>
        <v>-1.5971623422434855E-2</v>
      </c>
      <c r="M480" s="92">
        <f t="shared" si="315"/>
        <v>2</v>
      </c>
    </row>
    <row r="481" spans="1:15" x14ac:dyDescent="0.15">
      <c r="A481" s="90">
        <v>43082</v>
      </c>
      <c r="B481">
        <v>15.16</v>
      </c>
      <c r="C481" s="93">
        <f t="shared" si="319"/>
        <v>1.4725568942436373E-2</v>
      </c>
      <c r="D481" s="26">
        <f t="shared" ref="D481" si="376">+F480*(1+L481)</f>
        <v>15.192156927642092</v>
      </c>
      <c r="E481" s="26">
        <f>D481*(1-VLOOKUP(A481,FX!A:K,9,0))</f>
        <v>15.18311618947652</v>
      </c>
      <c r="F481">
        <v>15.167999999999999</v>
      </c>
      <c r="G481" s="93">
        <f t="shared" si="317"/>
        <v>-2.1166795337390631E-3</v>
      </c>
      <c r="H481" s="93">
        <f>(+B481/(D481*(1-VLOOKUP(A481,FX!A:K,9,0)))-1)</f>
        <v>-1.5224930895636479E-3</v>
      </c>
      <c r="I481" s="93">
        <f t="shared" si="293"/>
        <v>-5.2742616033751855E-4</v>
      </c>
      <c r="J481">
        <v>13055.38</v>
      </c>
      <c r="K481">
        <v>13176.07</v>
      </c>
      <c r="L481" s="93">
        <f t="shared" ref="L481" si="377">+K481/J481-1</f>
        <v>9.2444647340790276E-3</v>
      </c>
      <c r="M481" s="92">
        <f t="shared" si="315"/>
        <v>3</v>
      </c>
    </row>
    <row r="482" spans="1:15" x14ac:dyDescent="0.15">
      <c r="A482" s="90">
        <v>43083</v>
      </c>
      <c r="B482">
        <v>15.06</v>
      </c>
      <c r="C482" s="93">
        <f t="shared" si="319"/>
        <v>-6.5963060686015096E-3</v>
      </c>
      <c r="D482" s="26">
        <f t="shared" ref="D482" si="378">+F481*(1+L482)</f>
        <v>15.068319509535089</v>
      </c>
      <c r="E482" s="26">
        <f>D482*(1-VLOOKUP(A482,FX!A:K,9,0))</f>
        <v>15.101061376685495</v>
      </c>
      <c r="F482">
        <v>15.127000000000001</v>
      </c>
      <c r="G482" s="93">
        <f t="shared" si="317"/>
        <v>-5.5211926783360621E-4</v>
      </c>
      <c r="H482" s="93">
        <f>(+B482/(D482*(1-VLOOKUP(A482,FX!A:K,9,0)))-1)</f>
        <v>-2.7191053437402024E-3</v>
      </c>
      <c r="I482" s="93">
        <f t="shared" si="293"/>
        <v>-4.4291663912210399E-3</v>
      </c>
      <c r="J482">
        <v>13176.07</v>
      </c>
      <c r="K482">
        <v>13089.48</v>
      </c>
      <c r="L482" s="93">
        <f t="shared" ref="L482" si="379">+K482/J482-1</f>
        <v>-6.5717622933090247E-3</v>
      </c>
      <c r="M482" s="92">
        <f t="shared" si="315"/>
        <v>4</v>
      </c>
    </row>
    <row r="483" spans="1:15" x14ac:dyDescent="0.15">
      <c r="A483" s="90">
        <v>43084</v>
      </c>
      <c r="B483">
        <v>14.84</v>
      </c>
      <c r="C483" s="93">
        <f t="shared" si="319"/>
        <v>-1.4608233731739695E-2</v>
      </c>
      <c r="D483" s="26">
        <f t="shared" ref="D483" si="380">+F482*(1+L483)</f>
        <v>14.918079625775816</v>
      </c>
      <c r="E483" s="26">
        <f>D483*(1-VLOOKUP(A483,FX!A:K,9,0))</f>
        <v>14.92331779882762</v>
      </c>
      <c r="F483">
        <v>14.901999999999999</v>
      </c>
      <c r="G483" s="93">
        <f t="shared" si="317"/>
        <v>-5.2338925474635367E-3</v>
      </c>
      <c r="H483" s="93">
        <f>(+B483/(D483*(1-VLOOKUP(A483,FX!A:K,9,0)))-1)</f>
        <v>-5.5830613507517057E-3</v>
      </c>
      <c r="I483" s="93">
        <f t="shared" si="293"/>
        <v>-4.1605153670647432E-3</v>
      </c>
      <c r="J483">
        <v>13089.48</v>
      </c>
      <c r="K483">
        <v>12908.7</v>
      </c>
      <c r="L483" s="93">
        <f t="shared" ref="L483" si="381">+K483/J483-1</f>
        <v>-1.3811091044105606E-2</v>
      </c>
      <c r="M483" s="92">
        <f t="shared" si="315"/>
        <v>5</v>
      </c>
      <c r="N483" s="50" t="s">
        <v>626</v>
      </c>
    </row>
    <row r="484" spans="1:15" x14ac:dyDescent="0.15">
      <c r="A484" s="90">
        <v>43087</v>
      </c>
      <c r="B484">
        <v>14.56</v>
      </c>
      <c r="C484" s="93">
        <f t="shared" si="319"/>
        <v>2.7548209366392573E-3</v>
      </c>
      <c r="D484" s="26">
        <f t="shared" ref="D484:D489" si="382">+(F483-O484)*(1+L484)</f>
        <v>14.649280510043612</v>
      </c>
      <c r="E484" s="26">
        <f>(D484)*(1-VLOOKUP(A484,FX!A:K,9,0))</f>
        <v>14.639371457926565</v>
      </c>
      <c r="F484">
        <v>14.635999999999999</v>
      </c>
      <c r="G484" s="93">
        <f t="shared" si="317"/>
        <v>-6.0945320817906712E-3</v>
      </c>
      <c r="H484" s="93">
        <f>(+B484/(D484*(1-VLOOKUP(A484,FX!A:K,9,0)))-1)</f>
        <v>-5.4217804469732789E-3</v>
      </c>
      <c r="I484" s="93">
        <f t="shared" si="293"/>
        <v>-5.1926755944246006E-3</v>
      </c>
      <c r="J484">
        <v>12908.7</v>
      </c>
      <c r="K484">
        <v>12968.26</v>
      </c>
      <c r="L484" s="93">
        <f t="shared" ref="L484" si="383">+K484/J484-1</f>
        <v>4.613942534879456E-3</v>
      </c>
      <c r="M484" s="92">
        <f t="shared" si="315"/>
        <v>1</v>
      </c>
      <c r="N484" s="50" t="s">
        <v>631</v>
      </c>
      <c r="O484">
        <v>0.32</v>
      </c>
    </row>
    <row r="485" spans="1:15" x14ac:dyDescent="0.15">
      <c r="A485" s="90">
        <v>43088</v>
      </c>
      <c r="B485">
        <v>14.84</v>
      </c>
      <c r="C485" s="93">
        <f t="shared" si="319"/>
        <v>1.9230769230769162E-2</v>
      </c>
      <c r="D485" s="26">
        <f t="shared" si="382"/>
        <v>14.88007139893864</v>
      </c>
      <c r="E485" s="26">
        <f>(D485-O485)*(1-VLOOKUP(A485,FX!A:K,9,0))</f>
        <v>14.876279026370026</v>
      </c>
      <c r="F485">
        <v>14.903</v>
      </c>
      <c r="G485" s="93">
        <f t="shared" si="317"/>
        <v>-2.6929574371193921E-3</v>
      </c>
      <c r="H485" s="93">
        <f>(+B485/(D485*(1-VLOOKUP(A485,FX!A:K,9,0)))-1)</f>
        <v>-2.4387164495717206E-3</v>
      </c>
      <c r="I485" s="93">
        <f t="shared" si="293"/>
        <v>-4.2273367778300486E-3</v>
      </c>
      <c r="J485">
        <v>12968.26</v>
      </c>
      <c r="K485">
        <v>13184.52</v>
      </c>
      <c r="L485" s="93">
        <f t="shared" ref="L485" si="384">+K485/J485-1</f>
        <v>1.6676099954812784E-2</v>
      </c>
      <c r="M485" s="92">
        <f t="shared" si="315"/>
        <v>2</v>
      </c>
    </row>
    <row r="486" spans="1:15" x14ac:dyDescent="0.15">
      <c r="A486" s="90">
        <v>43089</v>
      </c>
      <c r="B486">
        <v>14.94</v>
      </c>
      <c r="C486" s="93">
        <f t="shared" si="319"/>
        <v>6.7385444743934819E-3</v>
      </c>
      <c r="D486" s="26">
        <f t="shared" si="382"/>
        <v>14.94132985425332</v>
      </c>
      <c r="E486" s="26">
        <f>(D486-O486)*(1-VLOOKUP(A486,FX!A:K,9,0))</f>
        <v>14.983452444212409</v>
      </c>
      <c r="F486">
        <v>14.946999999999999</v>
      </c>
      <c r="G486" s="93">
        <f t="shared" si="317"/>
        <v>-8.9005079620951832E-5</v>
      </c>
      <c r="H486" s="93">
        <f>(+B486/(D486*(1-VLOOKUP(A486,FX!A:K,9,0)))-1)</f>
        <v>-2.9000288400951035E-3</v>
      </c>
      <c r="I486" s="93">
        <f t="shared" si="293"/>
        <v>-4.6832140228802999E-4</v>
      </c>
      <c r="J486">
        <v>13184.52</v>
      </c>
      <c r="K486">
        <v>13218.43</v>
      </c>
      <c r="L486" s="93">
        <f t="shared" ref="L486" si="385">+K486/J486-1</f>
        <v>2.5719555964114349E-3</v>
      </c>
      <c r="M486" s="92">
        <f t="shared" ref="M486" si="386">WEEKDAY(A486,2)</f>
        <v>3</v>
      </c>
    </row>
    <row r="487" spans="1:15" x14ac:dyDescent="0.15">
      <c r="A487" s="90">
        <v>43090</v>
      </c>
      <c r="B487">
        <v>15.1</v>
      </c>
      <c r="C487" s="93">
        <f t="shared" si="319"/>
        <v>1.0709504685408211E-2</v>
      </c>
      <c r="D487" s="26">
        <f t="shared" si="382"/>
        <v>15.097313214958204</v>
      </c>
      <c r="E487" s="26">
        <f>(D487-O487)*(1-VLOOKUP(A487,FX!A:K,9,0))</f>
        <v>15.159181024335693</v>
      </c>
      <c r="F487">
        <v>15.16</v>
      </c>
      <c r="G487" s="93">
        <f t="shared" si="317"/>
        <v>1.7796444993489757E-4</v>
      </c>
      <c r="H487" s="93">
        <f>(+B487/(D487*(1-VLOOKUP(A487,FX!A:K,9,0)))-1)</f>
        <v>-3.90397240066509E-3</v>
      </c>
      <c r="I487" s="93">
        <f t="shared" si="293"/>
        <v>-3.9577836411609502E-3</v>
      </c>
      <c r="J487">
        <v>13218.43</v>
      </c>
      <c r="K487">
        <v>13351.36</v>
      </c>
      <c r="L487" s="93">
        <f t="shared" ref="L487" si="387">+K487/J487-1</f>
        <v>1.0056413658808161E-2</v>
      </c>
      <c r="M487" s="92">
        <f t="shared" ref="M487" si="388">WEEKDAY(A487,2)</f>
        <v>4</v>
      </c>
    </row>
    <row r="488" spans="1:15" x14ac:dyDescent="0.15">
      <c r="A488" s="90">
        <v>43091</v>
      </c>
      <c r="B488">
        <v>14.98</v>
      </c>
      <c r="C488" s="93">
        <f t="shared" ref="C488" si="389">B488/(B487-O488)-1</f>
        <v>-7.9470198675496428E-3</v>
      </c>
      <c r="D488" s="26">
        <f t="shared" si="382"/>
        <v>15.096300421829685</v>
      </c>
      <c r="E488" s="26">
        <f>(D488-O488)*(1-VLOOKUP(A488,FX!A:K,9,0))</f>
        <v>15.101485394402154</v>
      </c>
      <c r="F488" s="39">
        <v>15.090999999999999</v>
      </c>
      <c r="G488" s="93">
        <f t="shared" ref="G488" si="390">+B488/D488-1</f>
        <v>-7.7039021866252E-3</v>
      </c>
      <c r="H488" s="93">
        <f>(+B488/(D488*(1-VLOOKUP(A488,FX!A:K,9,0)))-1)</f>
        <v>-8.0445990066106976E-3</v>
      </c>
      <c r="I488" s="93">
        <f t="shared" si="293"/>
        <v>-7.3553773772446762E-3</v>
      </c>
      <c r="J488">
        <v>13351.36</v>
      </c>
      <c r="K488">
        <v>13295.26</v>
      </c>
      <c r="L488" s="93">
        <f t="shared" ref="L488" si="391">+K488/J488-1</f>
        <v>-4.2018191405220895E-3</v>
      </c>
      <c r="M488" s="92">
        <f t="shared" ref="M488" si="392">WEEKDAY(A488,2)</f>
        <v>5</v>
      </c>
    </row>
    <row r="489" spans="1:15" x14ac:dyDescent="0.15">
      <c r="A489" s="90">
        <v>43094</v>
      </c>
      <c r="B489">
        <v>14.98</v>
      </c>
      <c r="C489" s="93">
        <f t="shared" ref="C489" si="393">B489/(B488-O489)-1</f>
        <v>0</v>
      </c>
      <c r="D489" s="26">
        <f t="shared" si="382"/>
        <v>15.103167909465476</v>
      </c>
      <c r="E489" s="26">
        <f>(D489-O489)*(1-VLOOKUP(A489,FX!A:K,9,0))</f>
        <v>15.103167909465476</v>
      </c>
      <c r="F489" s="39">
        <v>15.1</v>
      </c>
      <c r="G489" s="93">
        <f t="shared" ref="G489" si="394">+B489/D489-1</f>
        <v>-8.1551042936021112E-3</v>
      </c>
      <c r="H489" s="93">
        <f>(+B489/(D489*(1-VLOOKUP(A489,FX!A:K,9,0)))-1)</f>
        <v>-8.1551042936021112E-3</v>
      </c>
      <c r="I489" s="93">
        <f t="shared" si="293"/>
        <v>-7.9470198675496428E-3</v>
      </c>
      <c r="J489" s="92">
        <v>13295.26</v>
      </c>
      <c r="K489">
        <v>13305.98</v>
      </c>
      <c r="L489" s="93">
        <f t="shared" ref="L489" si="395">+K489/J489-1</f>
        <v>8.0630239649304158E-4</v>
      </c>
      <c r="M489" s="92">
        <f t="shared" ref="M489" si="396">WEEKDAY(A489,2)</f>
        <v>1</v>
      </c>
    </row>
    <row r="490" spans="1:15" x14ac:dyDescent="0.15">
      <c r="A490" s="90">
        <v>43095</v>
      </c>
      <c r="B490">
        <v>14.98</v>
      </c>
      <c r="C490" s="93">
        <f t="shared" ref="C490" si="397">B490/(B489-O490)-1</f>
        <v>0</v>
      </c>
      <c r="D490" s="26">
        <f t="shared" ref="D490" si="398">+(F489-O490)*(1+L490)</f>
        <v>15.148581990954444</v>
      </c>
      <c r="E490" s="26">
        <f>(D490-O490)*(1-VLOOKUP(A490,FX!A:K,9,0))</f>
        <v>15.185700339593305</v>
      </c>
      <c r="F490" s="39">
        <v>15.19</v>
      </c>
      <c r="G490" s="93">
        <f t="shared" ref="G490" si="399">+B490/D490-1</f>
        <v>-1.1128565766426735E-2</v>
      </c>
      <c r="H490" s="93">
        <f>(+B490/(D490*(1-VLOOKUP(A490,FX!A:K,9,0)))-1)</f>
        <v>-1.3545660390583802E-2</v>
      </c>
      <c r="I490" s="93">
        <f t="shared" si="293"/>
        <v>-1.3824884792626668E-2</v>
      </c>
      <c r="J490">
        <v>13305.98</v>
      </c>
      <c r="K490">
        <v>13348.79</v>
      </c>
      <c r="L490" s="93">
        <f t="shared" ref="L490" si="400">+K490/J490-1</f>
        <v>3.2173503943340176E-3</v>
      </c>
      <c r="M490" s="92">
        <f t="shared" ref="M490" si="401">WEEKDAY(A490,2)</f>
        <v>2</v>
      </c>
    </row>
    <row r="491" spans="1:15" x14ac:dyDescent="0.15">
      <c r="A491" s="90">
        <v>43096</v>
      </c>
      <c r="B491">
        <v>14.74</v>
      </c>
      <c r="C491" s="93">
        <f t="shared" ref="C491" si="402">B491/(B490-O491)-1</f>
        <v>-1.6021361815754309E-2</v>
      </c>
      <c r="D491" s="26">
        <f t="shared" ref="D491" si="403">+(F490-O491)*(1+L491)</f>
        <v>14.895036943423335</v>
      </c>
      <c r="E491" s="26">
        <f>(D491-O491)*(1-VLOOKUP(A491,FX!A:K,9,0))</f>
        <v>14.889180936793446</v>
      </c>
      <c r="F491">
        <v>14.933999999999999</v>
      </c>
      <c r="G491" s="93">
        <f t="shared" ref="G491" si="404">+B491/D491-1</f>
        <v>-1.0408631009927727E-2</v>
      </c>
      <c r="H491" s="93">
        <f>(+B491/(D491*(1-VLOOKUP(A491,FX!A:K,9,0)))-1)</f>
        <v>-1.0019418625291654E-2</v>
      </c>
      <c r="I491" s="93">
        <f t="shared" si="293"/>
        <v>-1.2990491495915246E-2</v>
      </c>
      <c r="J491">
        <v>13348.79</v>
      </c>
      <c r="K491">
        <v>13089.58</v>
      </c>
      <c r="L491" s="93">
        <f t="shared" ref="L491" si="405">+K491/J491-1</f>
        <v>-1.9418239405968651E-2</v>
      </c>
      <c r="M491" s="92">
        <f t="shared" ref="M491" si="406">WEEKDAY(A491,2)</f>
        <v>3</v>
      </c>
    </row>
    <row r="492" spans="1:15" x14ac:dyDescent="0.15">
      <c r="A492" s="90">
        <v>43097</v>
      </c>
      <c r="B492">
        <v>15</v>
      </c>
      <c r="C492" s="93">
        <f t="shared" ref="C492" si="407">B492/(B491-O492)-1</f>
        <v>1.7639077340569909E-2</v>
      </c>
      <c r="D492" s="26">
        <f t="shared" ref="D492" si="408">+(F491-O492)*(1+L492)</f>
        <v>15.05446842297461</v>
      </c>
      <c r="E492" s="26">
        <f>(D492-O492)*(1-VLOOKUP(A492,FX!A:K,9,0))</f>
        <v>15.074751036178052</v>
      </c>
      <c r="F492">
        <v>15.061999999999999</v>
      </c>
      <c r="G492" s="93">
        <f t="shared" ref="G492" si="409">+B492/D492-1</f>
        <v>-3.618090087557424E-3</v>
      </c>
      <c r="H492" s="93">
        <f>(+B492/(D492*(1-VLOOKUP(A492,FX!A:K,9,0)))-1)</f>
        <v>-4.9586912578958309E-3</v>
      </c>
      <c r="I492" s="93">
        <f t="shared" si="293"/>
        <v>-4.1163192139157534E-3</v>
      </c>
      <c r="J492">
        <v>13089.58</v>
      </c>
      <c r="K492">
        <v>13195.17</v>
      </c>
      <c r="L492" s="93">
        <f t="shared" ref="L492" si="410">+K492/J492-1</f>
        <v>8.0667217741134944E-3</v>
      </c>
      <c r="M492" s="92">
        <f t="shared" ref="M492" si="411">WEEKDAY(A492,2)</f>
        <v>4</v>
      </c>
      <c r="N492" s="50" t="s">
        <v>641</v>
      </c>
    </row>
    <row r="493" spans="1:15" x14ac:dyDescent="0.15">
      <c r="A493" s="90">
        <v>43098</v>
      </c>
      <c r="B493">
        <v>15.02</v>
      </c>
      <c r="C493" s="93">
        <f t="shared" ref="C493" si="412">B493/(B492-O493)-1</f>
        <v>1.3333333333334085E-3</v>
      </c>
      <c r="D493" s="26">
        <f t="shared" ref="D493" si="413">+(F492-O493)*(1+L493)</f>
        <v>15.062627813055835</v>
      </c>
      <c r="E493" s="26">
        <f>(D493-O493)*(1-VLOOKUP(A493,FX!A:K,9,0))</f>
        <v>15.121442510215454</v>
      </c>
      <c r="F493">
        <v>15.081</v>
      </c>
      <c r="G493" s="93">
        <f t="shared" ref="G493" si="414">+B493/D493-1</f>
        <v>-2.8300382632363563E-3</v>
      </c>
      <c r="H493" s="93">
        <f>(+B493/(D493*(1-VLOOKUP(A493,FX!A:K,9,0)))-1)</f>
        <v>-6.7085207080557208E-3</v>
      </c>
      <c r="I493" s="93">
        <f t="shared" si="293"/>
        <v>-4.0448246137524402E-3</v>
      </c>
      <c r="J493">
        <v>13195.17</v>
      </c>
      <c r="K493">
        <v>13195.72</v>
      </c>
      <c r="L493" s="93">
        <f t="shared" ref="L493" si="415">+K493/J493-1</f>
        <v>4.1681918459435252E-5</v>
      </c>
      <c r="M493" s="92">
        <f t="shared" ref="M493" si="416">WEEKDAY(A493,2)</f>
        <v>5</v>
      </c>
    </row>
    <row r="494" spans="1:15" x14ac:dyDescent="0.15">
      <c r="A494" s="90">
        <v>43102</v>
      </c>
      <c r="B494">
        <v>15.36</v>
      </c>
      <c r="C494" s="93">
        <f t="shared" ref="C494" si="417">B494/(B493-O494)-1</f>
        <v>2.2636484687083902E-2</v>
      </c>
      <c r="D494" s="26">
        <f t="shared" ref="D494" si="418">+(F493-O494)*(1+L494)</f>
        <v>15.342214496821699</v>
      </c>
      <c r="E494" s="26">
        <f>(D494-O494)*(1-VLOOKUP(A494,FX!A:K,9,0))</f>
        <v>15.391888671576487</v>
      </c>
      <c r="F494">
        <v>15.427</v>
      </c>
      <c r="G494" s="93">
        <f t="shared" ref="G494" si="419">+B494/D494-1</f>
        <v>1.1592526738553044E-3</v>
      </c>
      <c r="H494" s="93">
        <f>(+B494/(D494*(1-VLOOKUP(A494,FX!A:K,9,0)))-1)</f>
        <v>-2.0717841882117449E-3</v>
      </c>
      <c r="I494" s="93">
        <f t="shared" si="293"/>
        <v>-4.3430349387437728E-3</v>
      </c>
      <c r="J494">
        <v>13195.72</v>
      </c>
      <c r="K494">
        <v>13424.28</v>
      </c>
      <c r="L494" s="93">
        <f t="shared" ref="L494" si="420">+K494/J494-1</f>
        <v>1.7320767642841961E-2</v>
      </c>
      <c r="M494" s="92">
        <f t="shared" ref="M494" si="421">WEEKDAY(A494,2)</f>
        <v>2</v>
      </c>
    </row>
    <row r="495" spans="1:15" x14ac:dyDescent="0.15">
      <c r="A495" s="90">
        <v>43103</v>
      </c>
      <c r="B495">
        <v>15.4</v>
      </c>
      <c r="C495" s="93">
        <f t="shared" ref="C495" si="422">B495/(B494-O495)-1</f>
        <v>2.6041666666667407E-3</v>
      </c>
      <c r="D495" s="26">
        <f t="shared" ref="D495" si="423">+(F494-O495)*(1+L495)</f>
        <v>15.424919972616779</v>
      </c>
      <c r="E495" s="26">
        <f>(D495-O495)*(1-VLOOKUP(A495,FX!A:K,9,0))</f>
        <v>15.407369112573644</v>
      </c>
      <c r="F495">
        <v>15.422000000000001</v>
      </c>
      <c r="G495" s="93">
        <f t="shared" ref="G495" si="424">+B495/D495-1</f>
        <v>-1.6155657637781928E-3</v>
      </c>
      <c r="H495" s="93">
        <f>(+B495/(D495*(1-VLOOKUP(A495,FX!A:K,9,0)))-1)</f>
        <v>-4.7828493753876433E-4</v>
      </c>
      <c r="I495" s="93">
        <f t="shared" si="293"/>
        <v>-1.4265335235378318E-3</v>
      </c>
      <c r="J495">
        <v>13424.28</v>
      </c>
      <c r="K495">
        <v>13422.47</v>
      </c>
      <c r="L495" s="93">
        <f t="shared" ref="L495" si="425">+K495/J495-1</f>
        <v>-1.3483032237115999E-4</v>
      </c>
      <c r="M495" s="92">
        <f t="shared" ref="M495" si="426">WEEKDAY(A495,2)</f>
        <v>3</v>
      </c>
    </row>
    <row r="496" spans="1:15" x14ac:dyDescent="0.15">
      <c r="A496" s="90">
        <v>43104</v>
      </c>
      <c r="B496">
        <v>15.48</v>
      </c>
      <c r="C496" s="93">
        <f t="shared" ref="C496" si="427">B496/(B495-O496)-1</f>
        <v>5.1948051948051965E-3</v>
      </c>
      <c r="D496" s="26">
        <f t="shared" ref="D496" si="428">+(F495-O496)*(1+L496)</f>
        <v>15.500451593484657</v>
      </c>
      <c r="E496" s="26">
        <f>(D496-O496)*(1-VLOOKUP(A496,FX!A:K,9,0))</f>
        <v>15.499414759232115</v>
      </c>
      <c r="F496">
        <v>15.505000000000001</v>
      </c>
      <c r="G496" s="93">
        <f t="shared" ref="G496" si="429">+B496/D496-1</f>
        <v>-1.3194192028090912E-3</v>
      </c>
      <c r="H496" s="93">
        <f>(+B496/(D496*(1-VLOOKUP(A496,FX!A:K,9,0)))-1)</f>
        <v>-1.2526124072232969E-3</v>
      </c>
      <c r="I496" s="93">
        <f t="shared" si="293"/>
        <v>-1.6123831022251123E-3</v>
      </c>
      <c r="J496">
        <v>13422.47</v>
      </c>
      <c r="K496">
        <v>13490.75</v>
      </c>
      <c r="L496" s="93">
        <f t="shared" ref="L496" si="430">+K496/J496-1</f>
        <v>5.086992185491912E-3</v>
      </c>
      <c r="M496" s="92">
        <f t="shared" ref="M496" si="431">WEEKDAY(A496,2)</f>
        <v>4</v>
      </c>
    </row>
    <row r="497" spans="1:14" x14ac:dyDescent="0.15">
      <c r="A497" s="90">
        <v>43105</v>
      </c>
      <c r="B497">
        <v>15.58</v>
      </c>
      <c r="C497" s="93">
        <f t="shared" ref="C497" si="432">B497/(B496-O497)-1</f>
        <v>6.4599483204135222E-3</v>
      </c>
      <c r="D497" s="26">
        <f t="shared" ref="D497" si="433">+(F496-O497)*(1+L497)</f>
        <v>15.591427811648725</v>
      </c>
      <c r="E497" s="26">
        <f>(D497-O497)*(1-VLOOKUP(A497,FX!A:K,9,0))</f>
        <v>15.640244034495428</v>
      </c>
      <c r="F497">
        <v>15.624000000000001</v>
      </c>
      <c r="G497" s="93">
        <f t="shared" ref="G497" si="434">+B497/D497-1</f>
        <v>-7.3295478687251947E-4</v>
      </c>
      <c r="H497" s="93">
        <f>(+B497/(D497*(1-VLOOKUP(A497,FX!A:K,9,0)))-1)</f>
        <v>-3.8518602627015674E-3</v>
      </c>
      <c r="I497" s="93">
        <f t="shared" si="293"/>
        <v>-2.8161802355350929E-3</v>
      </c>
      <c r="J497">
        <v>13490.75</v>
      </c>
      <c r="K497">
        <v>13565.95</v>
      </c>
      <c r="L497" s="93">
        <f t="shared" ref="L497" si="435">+K497/J497-1</f>
        <v>5.5741897225878301E-3</v>
      </c>
      <c r="M497" s="92">
        <f t="shared" ref="M497" si="436">WEEKDAY(A497,2)</f>
        <v>5</v>
      </c>
    </row>
    <row r="498" spans="1:14" x14ac:dyDescent="0.15">
      <c r="A498" s="90">
        <v>43108</v>
      </c>
      <c r="B498">
        <v>15.6</v>
      </c>
      <c r="C498" s="93">
        <f t="shared" ref="C498" si="437">B498/(B497-O498)-1</f>
        <v>1.2836970474967568E-3</v>
      </c>
      <c r="D498" s="26">
        <f t="shared" ref="D498" si="438">+(F497-O498)*(1+L498)</f>
        <v>15.676713630818334</v>
      </c>
      <c r="E498" s="26">
        <f>(D498-O498)*(1-VLOOKUP(A498,FX!A:K,9,0))</f>
        <v>15.663516308759005</v>
      </c>
      <c r="F498" s="92">
        <v>15.645</v>
      </c>
      <c r="G498" s="93">
        <f t="shared" ref="G498" si="439">+B498/D498-1</f>
        <v>-4.8934765681708514E-3</v>
      </c>
      <c r="H498" s="93">
        <f>(+B498/(D498*(1-VLOOKUP(A498,FX!A:K,9,0)))-1)</f>
        <v>-4.0550478900761577E-3</v>
      </c>
      <c r="I498" s="93">
        <f t="shared" si="293"/>
        <v>-2.8763183125599667E-3</v>
      </c>
      <c r="J498">
        <v>13565.95</v>
      </c>
      <c r="K498">
        <v>13611.72</v>
      </c>
      <c r="L498" s="93">
        <f t="shared" ref="L498" si="440">+K498/J498-1</f>
        <v>3.3738883012246479E-3</v>
      </c>
      <c r="M498" s="92">
        <f t="shared" ref="M498" si="441">WEEKDAY(A498,2)</f>
        <v>1</v>
      </c>
      <c r="N498" s="50" t="s">
        <v>650</v>
      </c>
    </row>
    <row r="499" spans="1:14" x14ac:dyDescent="0.15">
      <c r="A499" s="90">
        <v>43109</v>
      </c>
      <c r="B499">
        <v>15.74</v>
      </c>
      <c r="C499" s="93">
        <f t="shared" ref="C499" si="442">B499/(B498-O499)-1</f>
        <v>8.9743589743589425E-3</v>
      </c>
      <c r="D499" s="26">
        <f t="shared" ref="D499" si="443">+(F498-O499)*(1+L499)</f>
        <v>15.814785993246998</v>
      </c>
      <c r="E499" s="26">
        <f>(D499-O499)*(1-VLOOKUP(A499,FX!A:K,9,0))</f>
        <v>15.780480904067618</v>
      </c>
      <c r="F499">
        <v>15.724</v>
      </c>
      <c r="G499" s="93">
        <f t="shared" ref="G499" si="444">+B499/D499-1</f>
        <v>-4.7288653339306874E-3</v>
      </c>
      <c r="H499" s="93">
        <f>(+B499/(D499*(1-VLOOKUP(A499,FX!A:K,9,0)))-1)</f>
        <v>-2.5652516113867652E-3</v>
      </c>
      <c r="I499" s="93">
        <f t="shared" si="293"/>
        <v>1.0175527855507127E-3</v>
      </c>
      <c r="J499">
        <v>13611.72</v>
      </c>
      <c r="K499">
        <v>13759.44</v>
      </c>
      <c r="L499" s="93">
        <f t="shared" ref="L499" si="445">+K499/J499-1</f>
        <v>1.0852412479833706E-2</v>
      </c>
      <c r="M499" s="92">
        <f t="shared" ref="M499" si="446">WEEKDAY(A499,2)</f>
        <v>2</v>
      </c>
    </row>
    <row r="500" spans="1:14" x14ac:dyDescent="0.15">
      <c r="A500" s="90">
        <v>43110</v>
      </c>
      <c r="B500">
        <v>15.84</v>
      </c>
      <c r="C500" s="93">
        <f t="shared" ref="C500" si="447">B500/(B499-O500)-1</f>
        <v>6.3532401524777349E-3</v>
      </c>
      <c r="D500" s="26">
        <f t="shared" ref="D500" si="448">+(F499-O500)*(1+L500)</f>
        <v>15.916592556092398</v>
      </c>
      <c r="E500" s="26">
        <f>(D500-O500)*(1-VLOOKUP(A500,FX!A:K,9,0))</f>
        <v>15.842001716465839</v>
      </c>
      <c r="F500">
        <v>15.956</v>
      </c>
      <c r="G500" s="93">
        <f t="shared" ref="G500" si="449">+B500/D500-1</f>
        <v>-4.8121201709772077E-3</v>
      </c>
      <c r="H500" s="93">
        <f>(+B500/(D500*(1-VLOOKUP(A500,FX!A:K,9,0)))-1)</f>
        <v>-1.2635502139601851E-4</v>
      </c>
      <c r="I500" s="93">
        <f t="shared" si="293"/>
        <v>-7.2699924793181436E-3</v>
      </c>
      <c r="J500">
        <v>13759.44</v>
      </c>
      <c r="K500">
        <v>13927.97</v>
      </c>
      <c r="L500" s="93">
        <f t="shared" ref="L500" si="450">+K500/J500-1</f>
        <v>1.2248318245509981E-2</v>
      </c>
      <c r="M500" s="92">
        <f t="shared" ref="M500" si="451">WEEKDAY(A500,2)</f>
        <v>3</v>
      </c>
    </row>
    <row r="501" spans="1:14" x14ac:dyDescent="0.15">
      <c r="A501" s="90">
        <v>43111</v>
      </c>
      <c r="B501">
        <v>15.92</v>
      </c>
      <c r="C501" s="93">
        <f t="shared" ref="C501" si="452">B501/(B500-O501)-1</f>
        <v>5.050505050504972E-3</v>
      </c>
      <c r="D501" s="26">
        <f t="shared" ref="D501" si="453">+(F500-O501)*(1+L501)</f>
        <v>15.929078201633116</v>
      </c>
      <c r="E501" s="26">
        <f>(D501-O501)*(1-VLOOKUP(A501,FX!A:K,9,0))</f>
        <v>15.95633616375371</v>
      </c>
      <c r="G501" s="93">
        <f t="shared" ref="G501" si="454">+B501/D501-1</f>
        <v>-5.699138090856648E-4</v>
      </c>
      <c r="H501" s="93">
        <f>(+B501/(D501*(1-VLOOKUP(A501,FX!A:K,9,0)))-1)</f>
        <v>-2.2772247576640092E-3</v>
      </c>
      <c r="J501">
        <v>13927.97</v>
      </c>
      <c r="K501">
        <v>13904.47</v>
      </c>
      <c r="L501" s="93">
        <f t="shared" ref="L501" si="455">+K501/J501-1</f>
        <v>-1.6872523418703933E-3</v>
      </c>
      <c r="M501" s="92">
        <f t="shared" ref="M501" si="456">WEEKDAY(A501,2)</f>
        <v>4</v>
      </c>
    </row>
    <row r="502" spans="1:14" x14ac:dyDescent="0.15">
      <c r="A502" s="90">
        <v>43112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501"/>
  <sheetViews>
    <sheetView zoomScale="115" zoomScaleNormal="115" workbookViewId="0">
      <pane xSplit="1" ySplit="2" topLeftCell="B482" activePane="bottomRight" state="frozen"/>
      <selection pane="topRight" activeCell="B1" sqref="B1"/>
      <selection pane="bottomLeft" activeCell="A3" sqref="A3"/>
      <selection pane="bottomRight" activeCell="H498" sqref="H498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36.125" style="50" customWidth="1" collapsed="1"/>
  </cols>
  <sheetData>
    <row r="1" spans="1:15" x14ac:dyDescent="0.15">
      <c r="J1" t="s">
        <v>229</v>
      </c>
    </row>
    <row r="2" spans="1:15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  <c r="O2" t="s">
        <v>633</v>
      </c>
    </row>
    <row r="3" spans="1:15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 x14ac:dyDescent="0.1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15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15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15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15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 x14ac:dyDescent="0.15">
      <c r="A56" s="1">
        <v>42481</v>
      </c>
      <c r="B56">
        <v>11.24</v>
      </c>
      <c r="C56" s="93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15">
      <c r="A57" s="1">
        <v>42482</v>
      </c>
      <c r="B57">
        <v>11.32</v>
      </c>
      <c r="C57" s="93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15">
      <c r="A58" s="1">
        <v>42485</v>
      </c>
      <c r="B58">
        <v>11.2</v>
      </c>
      <c r="C58" s="93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15">
      <c r="A59" s="1">
        <v>42486</v>
      </c>
      <c r="B59">
        <v>11.28</v>
      </c>
      <c r="C59" s="93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15">
      <c r="A60" s="1">
        <v>42487</v>
      </c>
      <c r="B60">
        <v>11.24</v>
      </c>
      <c r="C60" s="93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15">
      <c r="A61" s="1">
        <v>42488</v>
      </c>
      <c r="B61">
        <v>11.22</v>
      </c>
      <c r="C61" s="93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 x14ac:dyDescent="0.15">
      <c r="A62" s="1">
        <v>42489</v>
      </c>
      <c r="B62">
        <v>11.18</v>
      </c>
      <c r="C62" s="93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 x14ac:dyDescent="0.15">
      <c r="A63" s="1">
        <v>42493</v>
      </c>
      <c r="B63">
        <v>11.26</v>
      </c>
      <c r="C63" s="93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 x14ac:dyDescent="0.15">
      <c r="A64" s="1">
        <v>42494</v>
      </c>
      <c r="B64">
        <v>11.26</v>
      </c>
      <c r="C64" s="93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 x14ac:dyDescent="0.15">
      <c r="A65" s="1">
        <v>42495</v>
      </c>
      <c r="B65">
        <v>11.2</v>
      </c>
      <c r="C65" s="93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 x14ac:dyDescent="0.15">
      <c r="A66" s="1">
        <v>42496</v>
      </c>
      <c r="B66">
        <v>10.9</v>
      </c>
      <c r="C66" s="93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 x14ac:dyDescent="0.15">
      <c r="A67" s="1">
        <v>42499</v>
      </c>
      <c r="B67">
        <v>10.78</v>
      </c>
      <c r="C67" s="93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 x14ac:dyDescent="0.15">
      <c r="A68" s="1">
        <v>42500</v>
      </c>
      <c r="B68">
        <v>10.8</v>
      </c>
      <c r="C68" s="93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 x14ac:dyDescent="0.15">
      <c r="A69" s="1">
        <v>42501</v>
      </c>
      <c r="B69">
        <v>10.76</v>
      </c>
      <c r="C69" s="93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 x14ac:dyDescent="0.15">
      <c r="A70" s="1">
        <v>42502</v>
      </c>
      <c r="B70">
        <v>10.82</v>
      </c>
      <c r="C70" s="93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 x14ac:dyDescent="0.15">
      <c r="A71" s="1">
        <v>42503</v>
      </c>
      <c r="B71">
        <v>10.8</v>
      </c>
      <c r="C71" s="93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 x14ac:dyDescent="0.15">
      <c r="A72" s="1">
        <v>42506</v>
      </c>
      <c r="B72">
        <v>10.8</v>
      </c>
      <c r="C72" s="93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 x14ac:dyDescent="0.15">
      <c r="A73" s="1">
        <v>42507</v>
      </c>
      <c r="B73">
        <v>10.82</v>
      </c>
      <c r="C73" s="93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 x14ac:dyDescent="0.15">
      <c r="A74" s="1">
        <v>42508</v>
      </c>
      <c r="B74">
        <v>10.76</v>
      </c>
      <c r="C74" s="93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 x14ac:dyDescent="0.15">
      <c r="A75" s="1">
        <v>42509</v>
      </c>
      <c r="B75">
        <v>10.76</v>
      </c>
      <c r="C75" s="93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 x14ac:dyDescent="0.15">
      <c r="A76" s="1">
        <v>42510</v>
      </c>
      <c r="B76">
        <v>10.82</v>
      </c>
      <c r="C76" s="93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 x14ac:dyDescent="0.15">
      <c r="A77" s="1">
        <v>42513</v>
      </c>
      <c r="B77">
        <v>10.78</v>
      </c>
      <c r="C77" s="93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 x14ac:dyDescent="0.15">
      <c r="A78" s="1">
        <v>42514</v>
      </c>
      <c r="B78">
        <v>10.76</v>
      </c>
      <c r="C78" s="93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 x14ac:dyDescent="0.15">
      <c r="A79" s="1">
        <v>42515</v>
      </c>
      <c r="B79">
        <v>10.76</v>
      </c>
      <c r="C79" s="93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 x14ac:dyDescent="0.15">
      <c r="A80" s="1">
        <v>42516</v>
      </c>
      <c r="B80">
        <v>10.8</v>
      </c>
      <c r="C80" s="93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 x14ac:dyDescent="0.15">
      <c r="A81" s="1">
        <v>42517</v>
      </c>
      <c r="B81">
        <v>10.86</v>
      </c>
      <c r="C81" s="93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 x14ac:dyDescent="0.15">
      <c r="A82" s="1">
        <v>42520</v>
      </c>
      <c r="B82">
        <v>10.82</v>
      </c>
      <c r="C82" s="93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 x14ac:dyDescent="0.15">
      <c r="A83" s="1">
        <v>42521</v>
      </c>
      <c r="B83">
        <v>11.18</v>
      </c>
      <c r="C83" s="93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 x14ac:dyDescent="0.15">
      <c r="A84" s="1">
        <v>42522</v>
      </c>
      <c r="B84">
        <v>11.04</v>
      </c>
      <c r="C84" s="93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 x14ac:dyDescent="0.15">
      <c r="A85" s="1">
        <v>42523</v>
      </c>
      <c r="B85">
        <v>11.08</v>
      </c>
      <c r="C85" s="93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 x14ac:dyDescent="0.15">
      <c r="A86" s="1">
        <v>42524</v>
      </c>
      <c r="B86">
        <v>11.1</v>
      </c>
      <c r="C86" s="93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 x14ac:dyDescent="0.15">
      <c r="A87" s="1">
        <v>42527</v>
      </c>
      <c r="B87">
        <v>11.06</v>
      </c>
      <c r="C87" s="93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 x14ac:dyDescent="0.15">
      <c r="A88" s="1">
        <v>42528</v>
      </c>
      <c r="B88">
        <v>11.08</v>
      </c>
      <c r="C88" s="93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 x14ac:dyDescent="0.15">
      <c r="A89" s="1">
        <v>42529</v>
      </c>
      <c r="B89">
        <v>11</v>
      </c>
      <c r="C89" s="93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 x14ac:dyDescent="0.15">
      <c r="A90" s="1">
        <v>42530</v>
      </c>
      <c r="B90">
        <v>11</v>
      </c>
      <c r="C90" s="93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 x14ac:dyDescent="0.15">
      <c r="A91" s="1">
        <v>42531</v>
      </c>
      <c r="B91">
        <v>10.88</v>
      </c>
      <c r="C91" s="93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 x14ac:dyDescent="0.15">
      <c r="A92" s="1">
        <v>42534</v>
      </c>
      <c r="B92">
        <v>10.66</v>
      </c>
      <c r="C92" s="93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 x14ac:dyDescent="0.15">
      <c r="A93" s="1">
        <v>42535</v>
      </c>
      <c r="B93">
        <v>10.74</v>
      </c>
      <c r="C93" s="93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 x14ac:dyDescent="0.15">
      <c r="A94" s="1">
        <v>42536</v>
      </c>
      <c r="B94">
        <v>10.74</v>
      </c>
      <c r="C94" s="93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 x14ac:dyDescent="0.15">
      <c r="A95" s="1">
        <v>42537</v>
      </c>
      <c r="B95">
        <v>10.74</v>
      </c>
      <c r="C95" s="93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 x14ac:dyDescent="0.15">
      <c r="A96" s="1">
        <v>42538</v>
      </c>
      <c r="B96">
        <v>10.8</v>
      </c>
      <c r="C96" s="93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 x14ac:dyDescent="0.15">
      <c r="A97" s="1">
        <v>42541</v>
      </c>
      <c r="B97">
        <v>10.84</v>
      </c>
      <c r="C97" s="93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 x14ac:dyDescent="0.15">
      <c r="A98" s="1">
        <v>42542</v>
      </c>
      <c r="B98">
        <v>10.86</v>
      </c>
      <c r="C98" s="93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 x14ac:dyDescent="0.15">
      <c r="A99" s="1">
        <v>42543</v>
      </c>
      <c r="B99">
        <v>10.9</v>
      </c>
      <c r="C99" s="93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 x14ac:dyDescent="0.15">
      <c r="A100" s="1">
        <v>42544</v>
      </c>
      <c r="B100">
        <v>10.84</v>
      </c>
      <c r="C100" s="93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 x14ac:dyDescent="0.15">
      <c r="A101" s="1">
        <v>42545</v>
      </c>
      <c r="B101">
        <v>10.7</v>
      </c>
      <c r="C101" s="93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 x14ac:dyDescent="0.15">
      <c r="A102" s="1">
        <v>42548</v>
      </c>
      <c r="B102">
        <v>10.72</v>
      </c>
      <c r="C102" s="93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 x14ac:dyDescent="0.15">
      <c r="A103" s="1">
        <v>42549</v>
      </c>
      <c r="B103">
        <v>10.72</v>
      </c>
      <c r="C103" s="93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 x14ac:dyDescent="0.15">
      <c r="A104" s="1">
        <v>42550</v>
      </c>
      <c r="B104">
        <v>10.8</v>
      </c>
      <c r="C104" s="93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 x14ac:dyDescent="0.15">
      <c r="A105" s="1">
        <v>42551</v>
      </c>
      <c r="B105">
        <v>10.82</v>
      </c>
      <c r="C105" s="93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 x14ac:dyDescent="0.15">
      <c r="A106" s="1">
        <v>42552</v>
      </c>
      <c r="B106">
        <v>10.82</v>
      </c>
      <c r="C106" s="93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 x14ac:dyDescent="0.15">
      <c r="A107" s="1">
        <v>42555</v>
      </c>
      <c r="B107">
        <v>11.06</v>
      </c>
      <c r="C107" s="93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 x14ac:dyDescent="0.15">
      <c r="A108" s="1">
        <v>42556</v>
      </c>
      <c r="B108">
        <v>11.04</v>
      </c>
      <c r="C108" s="93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 x14ac:dyDescent="0.15">
      <c r="A109" s="1">
        <v>42557</v>
      </c>
      <c r="B109">
        <v>11.04</v>
      </c>
      <c r="C109" s="93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 x14ac:dyDescent="0.15">
      <c r="A110" s="1">
        <v>42558</v>
      </c>
      <c r="B110">
        <v>11.06</v>
      </c>
      <c r="C110" s="93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 x14ac:dyDescent="0.15">
      <c r="A111" s="1">
        <v>42559</v>
      </c>
      <c r="B111">
        <v>11.02</v>
      </c>
      <c r="C111" s="93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 x14ac:dyDescent="0.15">
      <c r="A112" s="1">
        <v>42562</v>
      </c>
      <c r="B112">
        <v>11.04</v>
      </c>
      <c r="C112" s="93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 x14ac:dyDescent="0.15">
      <c r="A113" s="1">
        <v>42563</v>
      </c>
      <c r="B113">
        <v>11.3</v>
      </c>
      <c r="C113" s="93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 x14ac:dyDescent="0.15">
      <c r="A114" s="1">
        <v>42564</v>
      </c>
      <c r="B114">
        <v>11.28</v>
      </c>
      <c r="C114" s="93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 x14ac:dyDescent="0.15">
      <c r="A115" s="1">
        <v>42565</v>
      </c>
      <c r="B115">
        <v>11.28</v>
      </c>
      <c r="C115" s="93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 x14ac:dyDescent="0.15">
      <c r="A116" s="1">
        <v>42566</v>
      </c>
      <c r="B116">
        <v>11.34</v>
      </c>
      <c r="C116" s="93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 x14ac:dyDescent="0.15">
      <c r="A117" s="1">
        <v>42569</v>
      </c>
      <c r="B117">
        <v>11.3</v>
      </c>
      <c r="C117" s="93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 x14ac:dyDescent="0.15">
      <c r="A118" s="1">
        <v>42570</v>
      </c>
      <c r="B118">
        <v>11.18</v>
      </c>
      <c r="C118" s="93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 x14ac:dyDescent="0.15">
      <c r="A119" s="1">
        <v>42571</v>
      </c>
      <c r="B119">
        <v>11.18</v>
      </c>
      <c r="C119" s="93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 x14ac:dyDescent="0.15">
      <c r="A120" s="1">
        <v>42572</v>
      </c>
      <c r="B120">
        <v>11.24</v>
      </c>
      <c r="C120" s="93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 x14ac:dyDescent="0.15">
      <c r="A121" s="1">
        <v>42573</v>
      </c>
      <c r="B121">
        <v>11.18</v>
      </c>
      <c r="C121" s="93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 x14ac:dyDescent="0.15">
      <c r="A122" s="1">
        <v>42576</v>
      </c>
      <c r="B122">
        <v>11.16</v>
      </c>
      <c r="C122" s="93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 x14ac:dyDescent="0.15">
      <c r="A123" s="1">
        <v>42577</v>
      </c>
      <c r="B123">
        <v>11.26</v>
      </c>
      <c r="C123" s="93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 x14ac:dyDescent="0.15">
      <c r="A124" s="1">
        <v>42578</v>
      </c>
      <c r="B124">
        <v>11.2</v>
      </c>
      <c r="C124" s="93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 x14ac:dyDescent="0.15">
      <c r="A125" s="1">
        <v>42579</v>
      </c>
      <c r="B125">
        <v>11.22</v>
      </c>
      <c r="C125" s="93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 x14ac:dyDescent="0.15">
      <c r="A126" s="1">
        <v>42580</v>
      </c>
      <c r="B126">
        <v>11.18</v>
      </c>
      <c r="C126" s="93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 x14ac:dyDescent="0.15">
      <c r="A127" s="1">
        <v>42583</v>
      </c>
      <c r="B127">
        <v>11.22</v>
      </c>
      <c r="C127" s="93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 x14ac:dyDescent="0.15">
      <c r="A128" s="1">
        <v>42584</v>
      </c>
      <c r="B128">
        <v>11.22</v>
      </c>
      <c r="C128" s="93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 x14ac:dyDescent="0.15">
      <c r="A129" s="1">
        <v>42585</v>
      </c>
      <c r="B129">
        <v>11.18</v>
      </c>
      <c r="C129" s="93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 x14ac:dyDescent="0.15">
      <c r="A130" s="1">
        <v>42586</v>
      </c>
      <c r="B130">
        <v>11.18</v>
      </c>
      <c r="C130" s="93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 x14ac:dyDescent="0.15">
      <c r="A131" s="1">
        <v>42587</v>
      </c>
      <c r="B131">
        <v>11.22</v>
      </c>
      <c r="C131" s="93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 x14ac:dyDescent="0.15">
      <c r="A132" s="1">
        <v>42590</v>
      </c>
      <c r="B132">
        <v>11.26</v>
      </c>
      <c r="C132" s="93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 x14ac:dyDescent="0.15">
      <c r="A133" s="1">
        <v>42591</v>
      </c>
      <c r="B133">
        <v>11.32</v>
      </c>
      <c r="C133" s="93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 x14ac:dyDescent="0.15">
      <c r="A134" s="1">
        <v>42592</v>
      </c>
      <c r="B134">
        <v>11.32</v>
      </c>
      <c r="C134" s="93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 x14ac:dyDescent="0.15">
      <c r="A135" s="1">
        <v>42593</v>
      </c>
      <c r="B135">
        <v>11.4</v>
      </c>
      <c r="C135" s="93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 x14ac:dyDescent="0.15">
      <c r="A136" s="1">
        <v>42594</v>
      </c>
      <c r="B136">
        <v>11.64</v>
      </c>
      <c r="C136" s="93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 x14ac:dyDescent="0.15">
      <c r="A137" s="1">
        <v>42597</v>
      </c>
      <c r="B137">
        <v>12</v>
      </c>
      <c r="C137" s="93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 x14ac:dyDescent="0.15">
      <c r="A138" s="1">
        <v>42598</v>
      </c>
      <c r="B138">
        <v>11.86</v>
      </c>
      <c r="C138" s="93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 x14ac:dyDescent="0.15">
      <c r="A139" s="1">
        <v>42599</v>
      </c>
      <c r="B139">
        <v>11.82</v>
      </c>
      <c r="C139" s="93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 x14ac:dyDescent="0.15">
      <c r="A140" s="1">
        <v>42600</v>
      </c>
      <c r="B140">
        <v>11.76</v>
      </c>
      <c r="C140" s="93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 x14ac:dyDescent="0.15">
      <c r="A141" s="1">
        <v>42601</v>
      </c>
      <c r="B141">
        <v>11.74</v>
      </c>
      <c r="C141" s="93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 x14ac:dyDescent="0.15">
      <c r="A142" s="1">
        <v>42604</v>
      </c>
      <c r="B142">
        <v>11.7</v>
      </c>
      <c r="C142" s="93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 x14ac:dyDescent="0.15">
      <c r="A143" s="1">
        <v>42605</v>
      </c>
      <c r="B143">
        <v>11.74</v>
      </c>
      <c r="C143" s="93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 x14ac:dyDescent="0.15">
      <c r="A144" s="1">
        <v>42606</v>
      </c>
      <c r="B144">
        <v>11.66</v>
      </c>
      <c r="C144" s="93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 x14ac:dyDescent="0.15">
      <c r="A145" s="1">
        <v>42607</v>
      </c>
      <c r="B145">
        <v>11.6</v>
      </c>
      <c r="C145" s="93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 x14ac:dyDescent="0.15">
      <c r="A146" s="1">
        <v>42608</v>
      </c>
      <c r="B146">
        <v>11.58</v>
      </c>
      <c r="C146" s="93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 x14ac:dyDescent="0.15">
      <c r="A147" s="1">
        <v>42611</v>
      </c>
      <c r="B147">
        <v>11.54</v>
      </c>
      <c r="C147" s="93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 x14ac:dyDescent="0.15">
      <c r="A148" s="1">
        <v>42612</v>
      </c>
      <c r="B148">
        <v>11.56</v>
      </c>
      <c r="C148" s="93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 x14ac:dyDescent="0.15">
      <c r="A149" s="1">
        <v>42613</v>
      </c>
      <c r="B149">
        <v>11.62</v>
      </c>
      <c r="C149" s="93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 x14ac:dyDescent="0.15">
      <c r="A150" s="1">
        <v>42614</v>
      </c>
      <c r="B150">
        <v>11.56</v>
      </c>
      <c r="C150" s="93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 x14ac:dyDescent="0.15">
      <c r="A151" s="1">
        <v>42615</v>
      </c>
      <c r="B151">
        <v>11.6</v>
      </c>
      <c r="C151" s="93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 x14ac:dyDescent="0.15">
      <c r="A152" s="1">
        <v>42618</v>
      </c>
      <c r="B152">
        <v>11.66</v>
      </c>
      <c r="C152" s="93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 x14ac:dyDescent="0.15">
      <c r="A153" s="1">
        <v>42619</v>
      </c>
      <c r="B153">
        <v>11.68</v>
      </c>
      <c r="C153" s="93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 x14ac:dyDescent="0.15">
      <c r="A154" s="1">
        <v>42620</v>
      </c>
      <c r="B154">
        <v>11.68</v>
      </c>
      <c r="C154" s="93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 x14ac:dyDescent="0.15">
      <c r="A155" s="1">
        <v>42621</v>
      </c>
      <c r="B155">
        <v>11.7</v>
      </c>
      <c r="C155" s="93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 x14ac:dyDescent="0.15">
      <c r="A156" s="1">
        <v>42622</v>
      </c>
      <c r="B156">
        <v>11.58</v>
      </c>
      <c r="C156" s="93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 x14ac:dyDescent="0.15">
      <c r="A157" s="1">
        <v>42625</v>
      </c>
      <c r="B157">
        <v>11.36</v>
      </c>
      <c r="C157" s="93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15">
      <c r="A158" s="1">
        <v>42626</v>
      </c>
      <c r="B158">
        <v>11.36</v>
      </c>
      <c r="C158" s="93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15">
      <c r="A159" s="1">
        <v>42627</v>
      </c>
      <c r="B159">
        <v>11.28</v>
      </c>
      <c r="C159" s="93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15">
      <c r="A160" s="1">
        <v>42628</v>
      </c>
      <c r="B160">
        <v>11.32</v>
      </c>
      <c r="C160" s="93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 x14ac:dyDescent="0.15">
      <c r="A161" s="1">
        <v>42632</v>
      </c>
      <c r="B161">
        <v>11.32</v>
      </c>
      <c r="C161" s="93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 x14ac:dyDescent="0.15">
      <c r="A162" s="1">
        <v>42633</v>
      </c>
      <c r="B162">
        <v>11.42</v>
      </c>
      <c r="C162" s="93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 x14ac:dyDescent="0.15">
      <c r="A163" s="1">
        <v>42634</v>
      </c>
      <c r="B163">
        <v>11.38</v>
      </c>
      <c r="C163" s="93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 x14ac:dyDescent="0.15">
      <c r="A164" s="1">
        <v>42635</v>
      </c>
      <c r="B164">
        <v>11.44</v>
      </c>
      <c r="C164" s="93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 x14ac:dyDescent="0.15">
      <c r="A165" s="1">
        <v>42636</v>
      </c>
      <c r="B165">
        <v>11.4</v>
      </c>
      <c r="C165" s="93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 x14ac:dyDescent="0.15">
      <c r="A166" s="1">
        <v>42639</v>
      </c>
      <c r="B166">
        <v>11.24</v>
      </c>
      <c r="C166" s="93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 x14ac:dyDescent="0.15">
      <c r="A167" s="1">
        <v>42640</v>
      </c>
      <c r="B167">
        <v>11.32</v>
      </c>
      <c r="C167" s="93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 x14ac:dyDescent="0.15">
      <c r="A168" s="1">
        <v>42641</v>
      </c>
      <c r="B168">
        <v>11.3</v>
      </c>
      <c r="C168" s="93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 x14ac:dyDescent="0.15">
      <c r="A169" s="1">
        <v>42642</v>
      </c>
      <c r="B169">
        <v>11.34</v>
      </c>
      <c r="C169" s="93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 x14ac:dyDescent="0.15">
      <c r="A170" s="1">
        <v>42643</v>
      </c>
      <c r="B170">
        <v>11.3</v>
      </c>
      <c r="C170" s="93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 x14ac:dyDescent="0.15">
      <c r="A171" s="1">
        <v>42646</v>
      </c>
      <c r="B171">
        <v>11.34</v>
      </c>
      <c r="C171" s="93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 x14ac:dyDescent="0.15">
      <c r="A172" s="1">
        <v>42647</v>
      </c>
      <c r="B172">
        <v>11.36</v>
      </c>
      <c r="C172" s="93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 x14ac:dyDescent="0.15">
      <c r="A173" s="1">
        <v>42648</v>
      </c>
      <c r="B173">
        <v>11.38</v>
      </c>
      <c r="C173" s="93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 x14ac:dyDescent="0.15">
      <c r="A174" s="1">
        <v>42649</v>
      </c>
      <c r="B174">
        <v>11.44</v>
      </c>
      <c r="C174" s="93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 x14ac:dyDescent="0.15">
      <c r="A175" s="1">
        <v>42650</v>
      </c>
      <c r="B175">
        <v>11.46</v>
      </c>
      <c r="C175" s="93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 x14ac:dyDescent="0.15">
      <c r="A176" s="1">
        <v>42653</v>
      </c>
      <c r="B176">
        <v>11.46</v>
      </c>
      <c r="C176" s="93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 x14ac:dyDescent="0.15">
      <c r="A177" s="1">
        <v>42654</v>
      </c>
      <c r="B177">
        <v>11.46</v>
      </c>
      <c r="C177" s="93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 x14ac:dyDescent="0.15">
      <c r="A178" s="1">
        <v>42655</v>
      </c>
      <c r="B178">
        <v>11.38</v>
      </c>
      <c r="C178" s="93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 x14ac:dyDescent="0.15">
      <c r="A179" s="1">
        <v>42656</v>
      </c>
      <c r="B179">
        <v>11.32</v>
      </c>
      <c r="C179" s="93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 x14ac:dyDescent="0.15">
      <c r="A180" s="1">
        <v>42657</v>
      </c>
      <c r="B180">
        <v>11.42</v>
      </c>
      <c r="C180" s="93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 x14ac:dyDescent="0.15">
      <c r="A181" s="1">
        <v>42660</v>
      </c>
      <c r="B181">
        <v>11.3</v>
      </c>
      <c r="C181" s="93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 x14ac:dyDescent="0.15">
      <c r="A182" s="1">
        <v>42661</v>
      </c>
      <c r="B182">
        <v>11.46</v>
      </c>
      <c r="C182" s="93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 x14ac:dyDescent="0.15">
      <c r="A183" s="1">
        <v>42662</v>
      </c>
      <c r="B183">
        <v>11.42</v>
      </c>
      <c r="C183" s="93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 x14ac:dyDescent="0.15">
      <c r="A184" s="1">
        <v>42663</v>
      </c>
      <c r="B184">
        <v>11.44</v>
      </c>
      <c r="C184" s="93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 x14ac:dyDescent="0.15">
      <c r="A185" s="1">
        <v>42664</v>
      </c>
      <c r="B185">
        <v>11.44</v>
      </c>
      <c r="C185" s="93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 x14ac:dyDescent="0.15">
      <c r="A186" s="1">
        <v>42667</v>
      </c>
      <c r="B186">
        <v>11.62</v>
      </c>
      <c r="C186" s="93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 x14ac:dyDescent="0.15">
      <c r="A187" s="1">
        <v>42668</v>
      </c>
      <c r="B187">
        <v>11.56</v>
      </c>
      <c r="C187" s="93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 x14ac:dyDescent="0.15">
      <c r="A188" s="1">
        <v>42669</v>
      </c>
      <c r="B188">
        <v>11.48</v>
      </c>
      <c r="C188" s="93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 x14ac:dyDescent="0.15">
      <c r="A189" s="1">
        <v>42670</v>
      </c>
      <c r="B189">
        <v>11.46</v>
      </c>
      <c r="C189" s="93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 x14ac:dyDescent="0.15">
      <c r="A190" s="1">
        <v>42671</v>
      </c>
      <c r="B190">
        <v>11.52</v>
      </c>
      <c r="C190" s="93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 x14ac:dyDescent="0.15">
      <c r="A191" s="1">
        <v>42674</v>
      </c>
      <c r="B191">
        <v>11.46</v>
      </c>
      <c r="C191" s="93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 x14ac:dyDescent="0.15">
      <c r="A192" s="1">
        <f>A191+1</f>
        <v>42675</v>
      </c>
      <c r="B192">
        <v>11.54</v>
      </c>
      <c r="C192" s="93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 x14ac:dyDescent="0.15">
      <c r="A193" s="1">
        <f>A192+1</f>
        <v>42676</v>
      </c>
      <c r="B193">
        <v>11.46</v>
      </c>
      <c r="C193" s="93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 x14ac:dyDescent="0.15">
      <c r="A194" s="1">
        <f>A193+1</f>
        <v>42677</v>
      </c>
      <c r="B194">
        <v>11.56</v>
      </c>
      <c r="C194" s="93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 x14ac:dyDescent="0.15">
      <c r="A195" s="1">
        <f>A194+1</f>
        <v>42678</v>
      </c>
      <c r="B195">
        <v>11.54</v>
      </c>
      <c r="C195" s="93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 x14ac:dyDescent="0.15">
      <c r="A196" s="1">
        <v>42681</v>
      </c>
      <c r="B196">
        <v>11.54</v>
      </c>
      <c r="C196" s="93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 x14ac:dyDescent="0.15">
      <c r="A197" s="1">
        <v>42682</v>
      </c>
      <c r="B197">
        <v>11.58</v>
      </c>
      <c r="C197" s="93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 x14ac:dyDescent="0.15">
      <c r="A198" s="1">
        <v>42683</v>
      </c>
      <c r="B198">
        <v>11.5</v>
      </c>
      <c r="C198" s="93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 x14ac:dyDescent="0.15">
      <c r="A199" s="1">
        <v>42684</v>
      </c>
      <c r="B199">
        <v>11.6</v>
      </c>
      <c r="C199" s="93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 x14ac:dyDescent="0.15">
      <c r="A200" s="1">
        <v>42685</v>
      </c>
      <c r="B200">
        <v>11.66</v>
      </c>
      <c r="C200" s="93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 x14ac:dyDescent="0.15">
      <c r="A201" s="1">
        <v>42688</v>
      </c>
      <c r="B201">
        <v>11.62</v>
      </c>
      <c r="C201" s="93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 x14ac:dyDescent="0.15">
      <c r="A202" s="1">
        <v>42689</v>
      </c>
      <c r="B202">
        <v>11.56</v>
      </c>
      <c r="C202" s="93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 x14ac:dyDescent="0.15">
      <c r="A203" s="1">
        <v>42690</v>
      </c>
      <c r="B203">
        <v>11.54</v>
      </c>
      <c r="C203" s="93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 x14ac:dyDescent="0.15">
      <c r="A204" s="1">
        <v>42691</v>
      </c>
      <c r="B204">
        <v>11.54</v>
      </c>
      <c r="C204" s="93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 x14ac:dyDescent="0.15">
      <c r="A205" s="1">
        <v>42692</v>
      </c>
      <c r="B205">
        <v>11.52</v>
      </c>
      <c r="C205" s="93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 x14ac:dyDescent="0.15">
      <c r="A206" s="1">
        <v>42695</v>
      </c>
      <c r="B206">
        <v>11.62</v>
      </c>
      <c r="C206" s="93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 x14ac:dyDescent="0.15">
      <c r="A207" s="1">
        <v>42696</v>
      </c>
      <c r="B207">
        <v>11.74</v>
      </c>
      <c r="C207" s="93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 x14ac:dyDescent="0.15">
      <c r="A208" s="1">
        <v>42697</v>
      </c>
      <c r="B208">
        <v>11.78</v>
      </c>
      <c r="C208" s="93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 x14ac:dyDescent="0.15">
      <c r="A209" s="1">
        <v>42698</v>
      </c>
      <c r="B209">
        <v>11.76</v>
      </c>
      <c r="C209" s="93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 x14ac:dyDescent="0.15">
      <c r="A210" s="1">
        <v>42699</v>
      </c>
      <c r="B210">
        <v>11.9</v>
      </c>
      <c r="C210" s="93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 x14ac:dyDescent="0.15">
      <c r="A211" s="1">
        <v>42702</v>
      </c>
      <c r="B211">
        <v>12</v>
      </c>
      <c r="C211" s="93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 x14ac:dyDescent="0.15">
      <c r="A212" s="1">
        <v>42703</v>
      </c>
      <c r="B212">
        <v>12.18</v>
      </c>
      <c r="C212" s="93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 x14ac:dyDescent="0.15">
      <c r="A213" s="1">
        <v>42704</v>
      </c>
      <c r="B213">
        <v>12.04</v>
      </c>
      <c r="C213" s="93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 x14ac:dyDescent="0.15">
      <c r="A214" s="1">
        <v>42705</v>
      </c>
      <c r="B214">
        <v>12.1</v>
      </c>
      <c r="C214" s="93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 x14ac:dyDescent="0.15">
      <c r="A215" s="1">
        <v>42706</v>
      </c>
      <c r="B215">
        <v>12.06</v>
      </c>
      <c r="C215" s="93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 x14ac:dyDescent="0.15">
      <c r="A216" s="1">
        <v>42709</v>
      </c>
      <c r="B216">
        <v>11.9</v>
      </c>
      <c r="C216" s="93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 x14ac:dyDescent="0.15">
      <c r="A217" s="1">
        <v>42710</v>
      </c>
      <c r="B217">
        <v>11.9</v>
      </c>
      <c r="C217" s="93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 x14ac:dyDescent="0.15">
      <c r="A218" s="1">
        <v>42711</v>
      </c>
      <c r="B218">
        <v>11.88</v>
      </c>
      <c r="C218" s="93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 x14ac:dyDescent="0.15">
      <c r="A219" s="1">
        <v>42712</v>
      </c>
      <c r="B219">
        <v>11.92</v>
      </c>
      <c r="C219" s="93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 x14ac:dyDescent="0.15">
      <c r="A220" s="1">
        <v>42713</v>
      </c>
      <c r="B220">
        <v>12.02</v>
      </c>
      <c r="C220" s="93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 x14ac:dyDescent="0.15">
      <c r="A221" s="1">
        <v>42716</v>
      </c>
      <c r="B221">
        <v>11.86</v>
      </c>
      <c r="C221" s="93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 x14ac:dyDescent="0.15">
      <c r="A222" s="1">
        <v>42717</v>
      </c>
      <c r="B222">
        <v>11.8</v>
      </c>
      <c r="C222" s="93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 x14ac:dyDescent="0.15">
      <c r="A223" s="1">
        <v>42718</v>
      </c>
      <c r="B223">
        <v>11.76</v>
      </c>
      <c r="C223" s="93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 x14ac:dyDescent="0.15">
      <c r="A224" s="1">
        <v>42719</v>
      </c>
      <c r="B224">
        <v>11.52</v>
      </c>
      <c r="C224" s="93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 x14ac:dyDescent="0.15">
      <c r="A225" s="1">
        <v>42720</v>
      </c>
      <c r="B225">
        <v>11.18</v>
      </c>
      <c r="C225" s="93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101</v>
      </c>
    </row>
    <row r="226" spans="1:14" x14ac:dyDescent="0.15">
      <c r="A226" s="1">
        <v>42723</v>
      </c>
      <c r="B226">
        <v>11.08</v>
      </c>
      <c r="C226" s="93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 x14ac:dyDescent="0.15">
      <c r="A227" s="1">
        <v>42724</v>
      </c>
      <c r="B227">
        <v>11</v>
      </c>
      <c r="C227" s="93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 x14ac:dyDescent="0.15">
      <c r="A228" s="1">
        <v>42725</v>
      </c>
      <c r="B228">
        <v>11.1</v>
      </c>
      <c r="C228" s="93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 x14ac:dyDescent="0.15">
      <c r="A229" s="1">
        <v>42726</v>
      </c>
      <c r="B229">
        <v>11.04</v>
      </c>
      <c r="C229" s="93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 x14ac:dyDescent="0.15">
      <c r="A230" s="1">
        <v>42727</v>
      </c>
      <c r="B230">
        <v>10.96</v>
      </c>
      <c r="C230" s="93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 x14ac:dyDescent="0.15">
      <c r="A231" s="1">
        <v>42730</v>
      </c>
      <c r="B231">
        <v>10.96</v>
      </c>
      <c r="C231" s="93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 x14ac:dyDescent="0.15">
      <c r="A232" s="1">
        <v>42731</v>
      </c>
      <c r="B232">
        <v>10.96</v>
      </c>
      <c r="C232" s="93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 x14ac:dyDescent="0.15">
      <c r="A233" s="1">
        <v>42732</v>
      </c>
      <c r="B233">
        <v>10.98</v>
      </c>
      <c r="C233" s="93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 x14ac:dyDescent="0.15">
      <c r="A234" s="1">
        <v>42733</v>
      </c>
      <c r="B234">
        <v>10.88</v>
      </c>
      <c r="C234" s="93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 x14ac:dyDescent="0.15">
      <c r="A235" s="1">
        <v>42734</v>
      </c>
      <c r="B235">
        <v>10.92</v>
      </c>
      <c r="C235" s="93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 x14ac:dyDescent="0.15">
      <c r="A236" s="1">
        <v>42738</v>
      </c>
      <c r="B236">
        <v>11.06</v>
      </c>
      <c r="C236" s="93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 x14ac:dyDescent="0.15">
      <c r="A237" s="1">
        <v>42739</v>
      </c>
      <c r="B237">
        <v>11.2</v>
      </c>
      <c r="C237" s="93">
        <f t="shared" si="50"/>
        <v>1.2658227848101111E-2</v>
      </c>
      <c r="D237" s="26">
        <f t="shared" si="64"/>
        <v>11.222300271231571</v>
      </c>
      <c r="E237" s="26">
        <f>D237*(1-VLOOKUP(A237,FX!A:K,9,0))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(+B237/(D237*(1-VLOOKUP(A237,FX!A:K,9,0)))-1)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 x14ac:dyDescent="0.15">
      <c r="A238" s="1">
        <v>42740</v>
      </c>
      <c r="B238">
        <v>11.38</v>
      </c>
      <c r="C238" s="93">
        <f t="shared" si="50"/>
        <v>1.6071428571428736E-2</v>
      </c>
      <c r="D238" s="26">
        <f t="shared" si="64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(+B238/(D238*(1-VLOOKUP(A238,FX!A:K,9,0)))-1)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 x14ac:dyDescent="0.15">
      <c r="A239" s="1">
        <v>42741</v>
      </c>
      <c r="B239">
        <v>11.32</v>
      </c>
      <c r="C239" s="93">
        <f t="shared" si="50"/>
        <v>-5.2724077328647478E-3</v>
      </c>
      <c r="D239" s="26">
        <f t="shared" si="64"/>
        <v>11.426036560190257</v>
      </c>
      <c r="E239" s="26">
        <f>D239*(1-VLOOKUP(A239,FX!A:K,9,0))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(+B239/(D239*(1-VLOOKUP(A239,FX!A:K,9,0)))-1)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 x14ac:dyDescent="0.15">
      <c r="A240" s="1">
        <v>42744</v>
      </c>
      <c r="B240">
        <v>11.32</v>
      </c>
      <c r="C240" s="93">
        <f t="shared" si="50"/>
        <v>0</v>
      </c>
      <c r="D240" s="26">
        <f t="shared" si="64"/>
        <v>11.412544161064242</v>
      </c>
      <c r="E240" s="26">
        <f>D240*(1-VLOOKUP(A240,FX!A:K,9,0))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(+B240/(D240*(1-VLOOKUP(A240,FX!A:K,9,0)))-1)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 x14ac:dyDescent="0.15">
      <c r="A241" s="1">
        <v>42745</v>
      </c>
      <c r="B241">
        <v>11.3</v>
      </c>
      <c r="C241" s="93">
        <f t="shared" si="50"/>
        <v>-1.7667844522968323E-3</v>
      </c>
      <c r="D241" s="26">
        <f t="shared" si="64"/>
        <v>11.305586517948631</v>
      </c>
      <c r="E241" s="26">
        <f>D241*(1-VLOOKUP(A241,FX!A:K,9,0))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(+B241/(D241*(1-VLOOKUP(A241,FX!A:K,9,0)))-1)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 x14ac:dyDescent="0.15">
      <c r="A242" s="1">
        <v>42746</v>
      </c>
      <c r="B242">
        <v>11.32</v>
      </c>
      <c r="C242" s="93">
        <f t="shared" si="50"/>
        <v>1.7699115044247371E-3</v>
      </c>
      <c r="D242" s="26">
        <f t="shared" si="64"/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(+B242/(D242*(1-VLOOKUP(A242,FX!A:K,9,0)))-1)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121</v>
      </c>
    </row>
    <row r="243" spans="1:14" x14ac:dyDescent="0.15">
      <c r="A243" s="1">
        <v>42747</v>
      </c>
      <c r="B243">
        <v>11.26</v>
      </c>
      <c r="C243" s="93">
        <f t="shared" si="50"/>
        <v>-5.300353356890497E-3</v>
      </c>
      <c r="D243" s="26">
        <f t="shared" si="64"/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(+B243/(D243*(1-VLOOKUP(A243,FX!A:K,9,0)))-1)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 x14ac:dyDescent="0.15">
      <c r="A244" s="1">
        <v>42748</v>
      </c>
      <c r="B244">
        <v>11.36</v>
      </c>
      <c r="C244" s="93">
        <f t="shared" si="50"/>
        <v>8.8809946714032417E-3</v>
      </c>
      <c r="D244" s="26">
        <f t="shared" si="64"/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(+B244/(D244*(1-VLOOKUP(A244,FX!A:K,9,0)))-1)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 x14ac:dyDescent="0.15">
      <c r="A245" s="1">
        <v>42751</v>
      </c>
      <c r="B245">
        <v>11.36</v>
      </c>
      <c r="C245" s="93">
        <f t="shared" si="50"/>
        <v>0</v>
      </c>
      <c r="D245" s="26">
        <f t="shared" si="64"/>
        <v>11.492236184321888</v>
      </c>
      <c r="E245" s="26">
        <f>D245*(1-VLOOKUP(A245,FX!A:K,9,0))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(+B245/(D245*(1-VLOOKUP(A245,FX!A:K,9,0)))-1)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 x14ac:dyDescent="0.15">
      <c r="A246" s="1">
        <v>42752</v>
      </c>
      <c r="B246">
        <v>11.42</v>
      </c>
      <c r="C246" s="93">
        <f t="shared" si="50"/>
        <v>5.2816901408450079E-3</v>
      </c>
      <c r="D246" s="26">
        <f t="shared" si="64"/>
        <v>11.437395165075506</v>
      </c>
      <c r="E246" s="26">
        <f>D246*(1-VLOOKUP(A246,FX!A:K,9,0))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(+B246/(D246*(1-VLOOKUP(A246,FX!A:K,9,0)))-1)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 x14ac:dyDescent="0.15">
      <c r="A247" s="1">
        <v>42753</v>
      </c>
      <c r="B247">
        <v>11.56</v>
      </c>
      <c r="C247" s="93">
        <f t="shared" si="50"/>
        <v>1.2259194395796813E-2</v>
      </c>
      <c r="D247" s="26">
        <f t="shared" si="64"/>
        <v>11.551359583513333</v>
      </c>
      <c r="E247" s="26">
        <f>D247*(1-VLOOKUP(A247,FX!A:K,9,0))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(+B247/(D247*(1-VLOOKUP(A247,FX!A:K,9,0)))-1)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 x14ac:dyDescent="0.15">
      <c r="A248" s="1">
        <v>42754</v>
      </c>
      <c r="B248">
        <v>11.5</v>
      </c>
      <c r="C248" s="93">
        <f t="shared" si="50"/>
        <v>-5.1903114186852006E-3</v>
      </c>
      <c r="D248" s="26">
        <f t="shared" si="6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(+B248/(D248*(1-VLOOKUP(A248,FX!A:K,9,0)))-1)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67.5" x14ac:dyDescent="0.15">
      <c r="A249" s="1">
        <v>42755</v>
      </c>
      <c r="B249">
        <v>11.56</v>
      </c>
      <c r="C249" s="93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D249*(1-VLOOKUP(A249,FX!A:K,9,0))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(+B249/(D249*(1-VLOOKUP(A249,FX!A:K,9,0)))-1)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138</v>
      </c>
    </row>
    <row r="250" spans="1:14" x14ac:dyDescent="0.15">
      <c r="A250" s="1">
        <v>42758</v>
      </c>
      <c r="B250">
        <v>11.58</v>
      </c>
      <c r="C250" s="93">
        <f t="shared" si="69"/>
        <v>1.7301038062282892E-3</v>
      </c>
      <c r="D250" s="26">
        <f t="shared" si="6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(+B250/(D250*(1-VLOOKUP(A250,FX!A:K,9,0)))-1)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 x14ac:dyDescent="0.15">
      <c r="A251" s="1">
        <v>42759</v>
      </c>
      <c r="B251">
        <v>11.6</v>
      </c>
      <c r="C251" s="93">
        <f t="shared" si="69"/>
        <v>1.7271157167528806E-3</v>
      </c>
      <c r="D251" s="26">
        <f t="shared" si="64"/>
        <v>11.637173885995836</v>
      </c>
      <c r="E251" s="26">
        <f>D251*(1-VLOOKUP(A251,FX!A:K,9,0))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(+B251/(D251*(1-VLOOKUP(A251,FX!A:K,9,0)))-1)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 x14ac:dyDescent="0.15">
      <c r="A252" s="1">
        <v>42760</v>
      </c>
      <c r="B252">
        <v>11.64</v>
      </c>
      <c r="C252" s="93">
        <f t="shared" si="69"/>
        <v>3.4482758620690834E-3</v>
      </c>
      <c r="D252" s="26">
        <f t="shared" si="6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(+B252/(D252*(1-VLOOKUP(A252,FX!A:K,9,0)))-1)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 x14ac:dyDescent="0.15">
      <c r="A253" s="1">
        <v>42761</v>
      </c>
      <c r="B253">
        <v>11.72</v>
      </c>
      <c r="C253" s="93">
        <f t="shared" si="69"/>
        <v>6.8728522336769515E-3</v>
      </c>
      <c r="D253" s="26">
        <f t="shared" si="64"/>
        <v>11.677497260195739</v>
      </c>
      <c r="E253" s="26">
        <f>D253*(1-VLOOKUP(A253,FX!A:K,9,0))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(+B253/(D253*(1-VLOOKUP(A253,FX!A:K,9,0)))-1)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 x14ac:dyDescent="0.15">
      <c r="A254" s="1">
        <v>42762</v>
      </c>
      <c r="B254">
        <v>11.7</v>
      </c>
      <c r="C254" s="93">
        <f t="shared" si="69"/>
        <v>-1.7064846416383617E-3</v>
      </c>
      <c r="D254" s="26">
        <f t="shared" si="64"/>
        <v>11.685</v>
      </c>
      <c r="E254" s="26">
        <f>D254*(1-VLOOKUP(A254,FX!A:K,9,0))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(+B254/(D254*(1-VLOOKUP(A254,FX!A:K,9,0)))-1)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 x14ac:dyDescent="0.15">
      <c r="A255" s="1">
        <v>42767</v>
      </c>
      <c r="B255">
        <v>11.72</v>
      </c>
      <c r="C255" s="93">
        <f t="shared" si="69"/>
        <v>1.7094017094019254E-3</v>
      </c>
      <c r="D255" s="26">
        <f t="shared" si="64"/>
        <v>11.685</v>
      </c>
      <c r="E255" s="26">
        <f>D255*(1-VLOOKUP(A255,FX!A:K,9,0))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(+B255/(D255*(1-VLOOKUP(A255,FX!A:K,9,0)))-1)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40.5" x14ac:dyDescent="0.15">
      <c r="A256" s="1">
        <v>42768</v>
      </c>
      <c r="B256">
        <v>11.74</v>
      </c>
      <c r="C256" s="93">
        <f t="shared" si="69"/>
        <v>1.7064846416381396E-3</v>
      </c>
      <c r="D256" s="26">
        <f t="shared" si="64"/>
        <v>11.685</v>
      </c>
      <c r="E256" s="26">
        <f>D256*(1-VLOOKUP(A256,FX!A:K,9,0))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(+B256/(D256*(1-VLOOKUP(A256,FX!A:K,9,0)))-1)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153</v>
      </c>
    </row>
    <row r="257" spans="1:14" ht="27" x14ac:dyDescent="0.15">
      <c r="A257" s="1">
        <v>42769</v>
      </c>
      <c r="B257">
        <v>11.66</v>
      </c>
      <c r="C257" s="93">
        <f t="shared" si="69"/>
        <v>-6.8143100511073307E-3</v>
      </c>
      <c r="D257" s="26">
        <f t="shared" si="64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(+B257/(D257*(1-VLOOKUP(A257,FX!A:K,9,0)))-1)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163</v>
      </c>
    </row>
    <row r="258" spans="1:14" ht="27" x14ac:dyDescent="0.15">
      <c r="A258" s="1">
        <v>42772</v>
      </c>
      <c r="B258">
        <v>11.68</v>
      </c>
      <c r="C258" s="93">
        <f t="shared" si="69"/>
        <v>1.7152658662091813E-3</v>
      </c>
      <c r="D258" s="26">
        <f t="shared" si="64"/>
        <v>11.598031005121033</v>
      </c>
      <c r="E258" s="26">
        <f>D258*(1-VLOOKUP(A258,FX!A:K,9,0))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(+B258/(D258*(1-VLOOKUP(A258,FX!A:K,9,0)))-1)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166</v>
      </c>
    </row>
    <row r="259" spans="1:14" x14ac:dyDescent="0.15">
      <c r="A259" s="1">
        <v>42773</v>
      </c>
      <c r="B259">
        <v>11.58</v>
      </c>
      <c r="C259" s="93">
        <f t="shared" si="69"/>
        <v>-8.5616438356164171E-3</v>
      </c>
      <c r="D259" s="26">
        <f t="shared" si="64"/>
        <v>11.583961805105957</v>
      </c>
      <c r="E259" s="26">
        <f>D259*(1-VLOOKUP(A259,FX!A:K,9,0))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(+B259/(D259*(1-VLOOKUP(A259,FX!A:K,9,0)))-1)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27" x14ac:dyDescent="0.15">
      <c r="A260" s="1">
        <v>42774</v>
      </c>
      <c r="B260">
        <v>11.58</v>
      </c>
      <c r="C260" s="93">
        <f t="shared" si="69"/>
        <v>0</v>
      </c>
      <c r="D260" s="26">
        <f t="shared" si="64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(+B260/(D260*(1-VLOOKUP(A260,FX!A:K,9,0)))-1)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170</v>
      </c>
    </row>
    <row r="261" spans="1:14" x14ac:dyDescent="0.15">
      <c r="A261" s="1">
        <v>42775</v>
      </c>
      <c r="B261">
        <v>11.6</v>
      </c>
      <c r="C261" s="93">
        <f t="shared" si="69"/>
        <v>1.7271157167528806E-3</v>
      </c>
      <c r="D261" s="26">
        <f t="shared" si="64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(+B261/(D261*(1-VLOOKUP(A261,FX!A:K,9,0)))-1)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40.5" x14ac:dyDescent="0.15">
      <c r="A262" s="1">
        <v>42776</v>
      </c>
      <c r="B262">
        <v>11.68</v>
      </c>
      <c r="C262" s="93">
        <f t="shared" si="69"/>
        <v>6.8965517241379448E-3</v>
      </c>
      <c r="D262" s="26">
        <f t="shared" si="64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186</v>
      </c>
    </row>
    <row r="263" spans="1:14" x14ac:dyDescent="0.15">
      <c r="A263" s="1">
        <v>42779</v>
      </c>
      <c r="B263">
        <v>11.74</v>
      </c>
      <c r="C263" s="93">
        <f t="shared" si="69"/>
        <v>5.1369863013699391E-3</v>
      </c>
      <c r="D263" s="26">
        <f t="shared" si="64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 x14ac:dyDescent="0.15">
      <c r="A264" s="1">
        <v>42780</v>
      </c>
      <c r="B264">
        <v>11.72</v>
      </c>
      <c r="C264" s="93">
        <f t="shared" si="69"/>
        <v>-1.7035775127768327E-3</v>
      </c>
      <c r="D264" s="26">
        <f t="shared" si="64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(+B264/(D264*(1-VLOOKUP(A264,FX!A:K,9,0)))-1)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192</v>
      </c>
    </row>
    <row r="265" spans="1:14" x14ac:dyDescent="0.15">
      <c r="A265" s="1">
        <v>42781</v>
      </c>
      <c r="B265">
        <v>11.74</v>
      </c>
      <c r="C265" s="93">
        <f t="shared" si="69"/>
        <v>1.7064846416381396E-3</v>
      </c>
      <c r="D265" s="26">
        <f t="shared" si="64"/>
        <v>11.716818579680586</v>
      </c>
      <c r="E265" s="26">
        <f>D265*(1-VLOOKUP(A265,FX!A:K,9,0))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(+B265/(D265*(1-VLOOKUP(A265,FX!A:K,9,0)))-1)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 x14ac:dyDescent="0.15">
      <c r="A266" s="1">
        <v>42782</v>
      </c>
      <c r="B266">
        <v>11.78</v>
      </c>
      <c r="C266" s="93">
        <f t="shared" si="69"/>
        <v>3.4071550255536653E-3</v>
      </c>
      <c r="D266" s="26">
        <f t="shared" si="64"/>
        <v>11.764869035244281</v>
      </c>
      <c r="E266" s="26">
        <f>D266*(1-VLOOKUP(A266,FX!A:K,9,0))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(+B266/(D266*(1-VLOOKUP(A266,FX!A:K,9,0)))-1)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 x14ac:dyDescent="0.15">
      <c r="A267" s="1">
        <v>42783</v>
      </c>
      <c r="B267">
        <v>11.72</v>
      </c>
      <c r="C267" s="93">
        <f t="shared" si="69"/>
        <v>-5.0933786078097842E-3</v>
      </c>
      <c r="D267" s="26">
        <f t="shared" si="64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(+B267/(D267*(1-VLOOKUP(A267,FX!A:K,9,0)))-1)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 x14ac:dyDescent="0.15">
      <c r="A268" s="1">
        <v>42786</v>
      </c>
      <c r="B268">
        <v>11.92</v>
      </c>
      <c r="C268" s="93">
        <f t="shared" si="69"/>
        <v>1.7064846416382284E-2</v>
      </c>
      <c r="D268" s="26">
        <f t="shared" si="64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(+B268/(D268*(1-VLOOKUP(A268,FX!A:K,9,0)))-1)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 x14ac:dyDescent="0.15">
      <c r="A269" s="1">
        <v>42787</v>
      </c>
      <c r="B269">
        <v>11.88</v>
      </c>
      <c r="C269" s="93">
        <f t="shared" si="69"/>
        <v>-3.3557046979865168E-3</v>
      </c>
      <c r="D269" s="26">
        <f t="shared" si="64"/>
        <v>11.88455210015529</v>
      </c>
      <c r="E269" s="26">
        <f>D269*(1-VLOOKUP(A269,FX!A:K,9,0))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(+B269/(D269*(1-VLOOKUP(A269,FX!A:K,9,0)))-1)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 x14ac:dyDescent="0.15">
      <c r="A270" s="1">
        <v>42788</v>
      </c>
      <c r="B270">
        <v>11.88</v>
      </c>
      <c r="C270" s="93">
        <f t="shared" si="69"/>
        <v>0</v>
      </c>
      <c r="D270" s="26">
        <f t="shared" si="64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(+B270/(D270*(1-VLOOKUP(A270,FX!A:K,9,0)))-1)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 x14ac:dyDescent="0.15">
      <c r="A271" s="1">
        <v>42789</v>
      </c>
      <c r="B271">
        <v>11.82</v>
      </c>
      <c r="C271" s="93">
        <f t="shared" si="69"/>
        <v>-5.050505050505083E-3</v>
      </c>
      <c r="D271" s="26">
        <f t="shared" si="64"/>
        <v>11.818471645086861</v>
      </c>
      <c r="E271" s="26">
        <f>D271*(1-VLOOKUP(A271,FX!A:K,9,0))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(+B271/(D271*(1-VLOOKUP(A271,FX!A:K,9,0)))-1)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 x14ac:dyDescent="0.15">
      <c r="A272" s="1">
        <v>42790</v>
      </c>
      <c r="B272">
        <v>11.82</v>
      </c>
      <c r="C272" s="93">
        <f t="shared" si="69"/>
        <v>0</v>
      </c>
      <c r="D272" s="26">
        <f t="shared" si="64"/>
        <v>11.801906493550844</v>
      </c>
      <c r="E272" s="26">
        <f>D272*(1-VLOOKUP(A272,FX!A:K,9,0))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(+B272/(D272*(1-VLOOKUP(A272,FX!A:K,9,0)))-1)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 x14ac:dyDescent="0.15">
      <c r="A273" s="1">
        <v>42793</v>
      </c>
      <c r="B273">
        <v>11.72</v>
      </c>
      <c r="C273" s="93">
        <f t="shared" si="69"/>
        <v>-8.4602368866327771E-3</v>
      </c>
      <c r="D273" s="26">
        <f t="shared" si="64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(+B273/(D273*(1-VLOOKUP(A273,FX!A:K,9,0)))-1)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 x14ac:dyDescent="0.15">
      <c r="A274" s="1">
        <v>42794</v>
      </c>
      <c r="B274">
        <v>11.68</v>
      </c>
      <c r="C274" s="93">
        <f t="shared" si="69"/>
        <v>-3.4129692832765013E-3</v>
      </c>
      <c r="D274" s="26">
        <f t="shared" si="64"/>
        <v>11.706264097821107</v>
      </c>
      <c r="E274" s="26">
        <f>D274*(1-VLOOKUP(A274,FX!A:K,9,0))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(+B274/(D274*(1-VLOOKUP(A274,FX!A:K,9,0)))-1)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 x14ac:dyDescent="0.15">
      <c r="A275" s="1">
        <v>42795</v>
      </c>
      <c r="B275">
        <v>11.68</v>
      </c>
      <c r="C275" s="93">
        <f t="shared" si="69"/>
        <v>0</v>
      </c>
      <c r="D275" s="26">
        <f t="shared" si="64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(+B275/(D275*(1-VLOOKUP(A275,FX!A:K,9,0)))-1)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 x14ac:dyDescent="0.15">
      <c r="A276" s="1">
        <v>42796</v>
      </c>
      <c r="B276">
        <v>11.56</v>
      </c>
      <c r="C276" s="93">
        <f t="shared" si="69"/>
        <v>-1.0273972602739656E-2</v>
      </c>
      <c r="D276" s="26">
        <f t="shared" si="64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(+B276/(D276*(1-VLOOKUP(A276,FX!A:K,9,0)))-1)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 x14ac:dyDescent="0.15">
      <c r="A277" s="1">
        <v>42797</v>
      </c>
      <c r="B277">
        <v>11.48</v>
      </c>
      <c r="C277" s="93">
        <f t="shared" si="69"/>
        <v>-6.9204152249134898E-3</v>
      </c>
      <c r="D277" s="26">
        <f t="shared" si="64"/>
        <v>11.577546999628792</v>
      </c>
      <c r="E277" s="26">
        <f>D277*(1-VLOOKUP(A277,FX!A:K,9,0))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(+B277/(D277*(1-VLOOKUP(A277,FX!A:K,9,0)))-1)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 x14ac:dyDescent="0.15">
      <c r="A278" s="1">
        <v>42800</v>
      </c>
      <c r="B278">
        <v>11.54</v>
      </c>
      <c r="C278" s="93">
        <f t="shared" si="69"/>
        <v>5.2264808362367798E-3</v>
      </c>
      <c r="D278" s="26">
        <f t="shared" si="64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(+B278/(D278*(1-VLOOKUP(A278,FX!A:K,9,0)))-1)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 x14ac:dyDescent="0.15">
      <c r="A279" s="1">
        <f>+A278+1</f>
        <v>42801</v>
      </c>
      <c r="B279">
        <v>11.58</v>
      </c>
      <c r="C279" s="93">
        <f t="shared" si="69"/>
        <v>3.4662045060658286E-3</v>
      </c>
      <c r="D279" s="26">
        <f t="shared" si="64"/>
        <v>11.620108893334001</v>
      </c>
      <c r="E279" s="26">
        <f>D279*(1-VLOOKUP(A279,FX!A:K,9,0))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(+B279/(D279*(1-VLOOKUP(A279,FX!A:K,9,0)))-1)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 x14ac:dyDescent="0.15">
      <c r="A280" s="1">
        <f>+A279+1</f>
        <v>42802</v>
      </c>
      <c r="B280">
        <v>11.54</v>
      </c>
      <c r="C280" s="93">
        <f t="shared" si="69"/>
        <v>-3.4542314335060942E-3</v>
      </c>
      <c r="D280" s="26">
        <f t="shared" si="64"/>
        <v>11.608366693734462</v>
      </c>
      <c r="E280" s="26">
        <f>D280*(1-VLOOKUP(A280,FX!A:K,9,0))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(+B280/(D280*(1-VLOOKUP(A280,FX!A:K,9,0)))-1)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 x14ac:dyDescent="0.15">
      <c r="A281" s="1">
        <f>+A280+1</f>
        <v>42803</v>
      </c>
      <c r="B281">
        <v>11.46</v>
      </c>
      <c r="C281" s="93">
        <f t="shared" si="69"/>
        <v>-6.9324090121315463E-3</v>
      </c>
      <c r="D281" s="26">
        <f t="shared" si="64"/>
        <v>11.530259698734604</v>
      </c>
      <c r="E281" s="26">
        <f>D281*(1-VLOOKUP(A281,FX!A:K,9,0))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(+B281/(D281*(1-VLOOKUP(A281,FX!A:K,9,0)))-1)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 x14ac:dyDescent="0.15">
      <c r="A282" s="1">
        <f>+A281+1</f>
        <v>42804</v>
      </c>
      <c r="B282">
        <v>11.44</v>
      </c>
      <c r="C282" s="93">
        <f t="shared" si="69"/>
        <v>-1.7452006980803736E-3</v>
      </c>
      <c r="D282" s="26">
        <f t="shared" si="64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(+B282/(D282*(1-VLOOKUP(A282,FX!A:K,9,0)))-1)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 x14ac:dyDescent="0.15">
      <c r="A283" s="1">
        <v>42807</v>
      </c>
      <c r="B283">
        <v>11.58</v>
      </c>
      <c r="C283" s="93">
        <f t="shared" si="69"/>
        <v>1.2237762237762295E-2</v>
      </c>
      <c r="D283" s="26">
        <f t="shared" si="64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(+B283/(D283*(1-VLOOKUP(A283,FX!A:K,9,0)))-1)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 x14ac:dyDescent="0.15">
      <c r="A284" s="1">
        <v>42808</v>
      </c>
      <c r="B284">
        <v>11.54</v>
      </c>
      <c r="C284" s="93">
        <f t="shared" si="69"/>
        <v>-3.4542314335060942E-3</v>
      </c>
      <c r="D284" s="26">
        <f t="shared" si="64"/>
        <v>11.617919826996269</v>
      </c>
      <c r="E284" s="26">
        <f>D284*(1-VLOOKUP(A284,FX!A:K,9,0))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(+B284/(D284*(1-VLOOKUP(A284,FX!A:K,9,0)))-1)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 x14ac:dyDescent="0.15">
      <c r="A285" s="1">
        <v>42809</v>
      </c>
      <c r="B285">
        <v>11.56</v>
      </c>
      <c r="C285" s="93">
        <f t="shared" si="69"/>
        <v>1.7331022530331364E-3</v>
      </c>
      <c r="D285" s="26">
        <f t="shared" si="64"/>
        <v>11.606755202869673</v>
      </c>
      <c r="E285" s="26">
        <f>D285*(1-VLOOKUP(A285,FX!A:K,9,0))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(+B285/(D285*(1-VLOOKUP(A285,FX!A:K,9,0)))-1)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236</v>
      </c>
    </row>
    <row r="286" spans="1:14" x14ac:dyDescent="0.15">
      <c r="A286" s="1">
        <v>42810</v>
      </c>
      <c r="B286">
        <v>11.7</v>
      </c>
      <c r="C286" s="93">
        <f t="shared" si="69"/>
        <v>1.2110726643598468E-2</v>
      </c>
      <c r="D286" s="26">
        <f t="shared" si="64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(+B286/(D286*(1-VLOOKUP(A286,FX!A:K,9,0)))-1)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 x14ac:dyDescent="0.15">
      <c r="A287" s="1">
        <v>42811</v>
      </c>
      <c r="B287">
        <v>11.56</v>
      </c>
      <c r="C287" s="93">
        <f t="shared" si="69"/>
        <v>-1.1965811965811812E-2</v>
      </c>
      <c r="D287" s="26">
        <f t="shared" si="64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(+B287/(D287*(1-VLOOKUP(A287,FX!A:K,9,0)))-1)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 x14ac:dyDescent="0.15">
      <c r="A288" s="1">
        <v>42814</v>
      </c>
      <c r="B288">
        <v>11.56</v>
      </c>
      <c r="C288" s="93">
        <f t="shared" si="69"/>
        <v>0</v>
      </c>
      <c r="D288" s="26">
        <f t="shared" si="64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(+B288/(D288*(1-VLOOKUP(A288,FX!A:K,9,0)))-1)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252</v>
      </c>
    </row>
    <row r="289" spans="1:14" x14ac:dyDescent="0.15">
      <c r="A289" s="1">
        <v>42815</v>
      </c>
      <c r="B289">
        <v>11.6</v>
      </c>
      <c r="C289" s="93">
        <f t="shared" si="69"/>
        <v>3.4602076124565784E-3</v>
      </c>
      <c r="D289" s="26">
        <f t="shared" si="64"/>
        <v>11.608126794792167</v>
      </c>
      <c r="E289" s="26">
        <f>D289*(1-VLOOKUP(A289,FX!A:K,9,0))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(+B289/(D289*(1-VLOOKUP(A289,FX!A:K,9,0)))-1)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 x14ac:dyDescent="0.15">
      <c r="A290" s="1">
        <v>42816</v>
      </c>
      <c r="B290">
        <v>11.54</v>
      </c>
      <c r="C290" s="93">
        <f t="shared" si="69"/>
        <v>-5.1724137931035141E-3</v>
      </c>
      <c r="D290" s="26">
        <f t="shared" si="64"/>
        <v>11.519858641190512</v>
      </c>
      <c r="E290" s="26">
        <f>D290*(1-VLOOKUP(A290,FX!A:K,9,0))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(+B290/(D290*(1-VLOOKUP(A290,FX!A:K,9,0)))-1)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 x14ac:dyDescent="0.15">
      <c r="A291" s="1">
        <v>42817</v>
      </c>
      <c r="B291">
        <v>11.56</v>
      </c>
      <c r="C291" s="93">
        <f t="shared" si="69"/>
        <v>1.7331022530331364E-3</v>
      </c>
      <c r="D291" s="26">
        <f t="shared" si="64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(+B291/(D291*(1-VLOOKUP(A291,FX!A:K,9,0)))-1)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 x14ac:dyDescent="0.15">
      <c r="A292" s="1">
        <v>42818</v>
      </c>
      <c r="B292">
        <v>11.68</v>
      </c>
      <c r="C292" s="93">
        <f t="shared" si="69"/>
        <v>1.0380622837370179E-2</v>
      </c>
      <c r="D292" s="26">
        <f t="shared" si="64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(+B292/(D292*(1-VLOOKUP(A292,FX!A:K,9,0)))-1)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 x14ac:dyDescent="0.15">
      <c r="A293" s="1">
        <v>42821</v>
      </c>
      <c r="B293">
        <v>11.68</v>
      </c>
      <c r="C293" s="93">
        <f t="shared" si="69"/>
        <v>0</v>
      </c>
      <c r="D293" s="26">
        <f t="shared" si="64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(+B293/(D293*(1-VLOOKUP(A293,FX!A:K,9,0)))-1)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 x14ac:dyDescent="0.15">
      <c r="A294" s="1">
        <v>42822</v>
      </c>
      <c r="B294">
        <v>11.64</v>
      </c>
      <c r="C294" s="93">
        <f t="shared" si="69"/>
        <v>-3.424657534246478E-3</v>
      </c>
      <c r="D294" s="26">
        <f t="shared" si="64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(+B294/(D294*(1-VLOOKUP(A294,FX!A:K,9,0)))-1)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 x14ac:dyDescent="0.15">
      <c r="A295" s="1">
        <v>42823</v>
      </c>
      <c r="B295">
        <v>11.66</v>
      </c>
      <c r="C295" s="93">
        <f t="shared" si="69"/>
        <v>1.7182130584192379E-3</v>
      </c>
      <c r="D295" s="26">
        <f t="shared" si="64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(+B295/(D295*(1-VLOOKUP(A295,FX!A:K,9,0)))-1)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270</v>
      </c>
    </row>
    <row r="296" spans="1:14" x14ac:dyDescent="0.15">
      <c r="A296" s="1">
        <v>42824</v>
      </c>
      <c r="B296">
        <v>11.58</v>
      </c>
      <c r="C296" s="93">
        <f t="shared" si="69"/>
        <v>-6.8610634648370583E-3</v>
      </c>
      <c r="D296" s="26">
        <f t="shared" si="64"/>
        <v>11.576890739122602</v>
      </c>
      <c r="E296" s="26">
        <f>D296*(1-VLOOKUP(A296,FX!A:K,9,0))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(+B296/(D296*(1-VLOOKUP(A296,FX!A:K,9,0)))-1)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 x14ac:dyDescent="0.15">
      <c r="A297" s="1">
        <v>42825</v>
      </c>
      <c r="B297">
        <v>11.64</v>
      </c>
      <c r="C297" s="93">
        <f t="shared" si="69"/>
        <v>5.1813471502590858E-3</v>
      </c>
      <c r="D297" s="26">
        <f t="shared" si="64"/>
        <v>11.649463727821349</v>
      </c>
      <c r="E297" s="26">
        <f>D297*(1-VLOOKUP(A297,FX!A:K,9,0))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(+B297/(D297*(1-VLOOKUP(A297,FX!A:K,9,0)))-1)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 x14ac:dyDescent="0.15">
      <c r="A298" s="1">
        <v>42828</v>
      </c>
      <c r="B298">
        <v>11.68</v>
      </c>
      <c r="C298" s="93">
        <f t="shared" si="69"/>
        <v>3.4364261168384758E-3</v>
      </c>
      <c r="D298" s="26">
        <f t="shared" ref="D298:D361" si="80">+(F297-O298)*(1+L298)</f>
        <v>11.6365</v>
      </c>
      <c r="E298" s="26">
        <f>D298*(1-VLOOKUP(A298,FX!A:K,9,0))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(+B298/(D298*(1-VLOOKUP(A298,FX!A:K,9,0)))-1)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 x14ac:dyDescent="0.15">
      <c r="A299" s="1">
        <v>42829</v>
      </c>
      <c r="B299">
        <v>11.68</v>
      </c>
      <c r="C299" s="93">
        <f t="shared" si="69"/>
        <v>0</v>
      </c>
      <c r="D299" s="26">
        <f t="shared" si="80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(+B299/(D299*(1-VLOOKUP(A299,FX!A:K,9,0)))-1)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 x14ac:dyDescent="0.15">
      <c r="A300" s="1">
        <v>42830</v>
      </c>
      <c r="B300">
        <v>11.74</v>
      </c>
      <c r="C300" s="93">
        <f t="shared" si="69"/>
        <v>5.1369863013699391E-3</v>
      </c>
      <c r="D300" s="26">
        <f t="shared" si="80"/>
        <v>11.763302066550402</v>
      </c>
      <c r="E300" s="26">
        <f>D300*(1-VLOOKUP(A300,FX!A:K,9,0))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(+B300/(D300*(1-VLOOKUP(A300,FX!A:K,9,0)))-1)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287</v>
      </c>
    </row>
    <row r="301" spans="1:14" ht="27" x14ac:dyDescent="0.15">
      <c r="A301" s="1">
        <v>42831</v>
      </c>
      <c r="B301">
        <v>11.72</v>
      </c>
      <c r="C301" s="93">
        <f t="shared" si="69"/>
        <v>-1.7035775127768327E-3</v>
      </c>
      <c r="D301" s="26">
        <f t="shared" si="80"/>
        <v>11.780740648064379</v>
      </c>
      <c r="E301" s="26">
        <f>D301*(1-VLOOKUP(A301,FX!A:K,9,0))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(+B301/(D301*(1-VLOOKUP(A301,FX!A:K,9,0)))-1)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295</v>
      </c>
    </row>
    <row r="302" spans="1:14" x14ac:dyDescent="0.15">
      <c r="A302" s="1">
        <v>42832</v>
      </c>
      <c r="B302">
        <v>11.7</v>
      </c>
      <c r="C302" s="93">
        <f t="shared" si="69"/>
        <v>-1.7064846416383617E-3</v>
      </c>
      <c r="D302" s="26">
        <f t="shared" si="80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(+B302/(D302*(1-VLOOKUP(A302,FX!A:K,9,0)))-1)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 x14ac:dyDescent="0.15">
      <c r="A303" s="1">
        <v>42835</v>
      </c>
      <c r="B303">
        <v>11.62</v>
      </c>
      <c r="C303" s="93">
        <f t="shared" si="69"/>
        <v>-6.8376068376068133E-3</v>
      </c>
      <c r="D303" s="26">
        <f t="shared" si="80"/>
        <v>11.687535380931644</v>
      </c>
      <c r="E303" s="26">
        <f>D303*(1-VLOOKUP(A303,FX!A:K,9,0))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(+B303/(D303*(1-VLOOKUP(A303,FX!A:K,9,0)))-1)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 x14ac:dyDescent="0.15">
      <c r="A304" s="1">
        <v>42836</v>
      </c>
      <c r="B304">
        <v>11.62</v>
      </c>
      <c r="C304" s="93">
        <f t="shared" si="69"/>
        <v>0</v>
      </c>
      <c r="D304" s="26">
        <f t="shared" si="80"/>
        <v>11.663899777523682</v>
      </c>
      <c r="E304" s="26">
        <f>D304*(1-VLOOKUP(A304,FX!A:K,9,0))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(+B304/(D304*(1-VLOOKUP(A304,FX!A:K,9,0)))-1)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 x14ac:dyDescent="0.15">
      <c r="A305" s="1">
        <v>42837</v>
      </c>
      <c r="B305">
        <v>11.64</v>
      </c>
      <c r="C305" s="93">
        <f t="shared" si="69"/>
        <v>1.7211703958692759E-3</v>
      </c>
      <c r="D305" s="26">
        <f t="shared" si="80"/>
        <v>11.662963509366293</v>
      </c>
      <c r="E305" s="26">
        <f>D305*(1-VLOOKUP(A305,FX!A:K,9,0))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(+B305/(D305*(1-VLOOKUP(A305,FX!A:K,9,0)))-1)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 x14ac:dyDescent="0.15">
      <c r="A306" s="1">
        <v>42838</v>
      </c>
      <c r="B306">
        <v>11.64</v>
      </c>
      <c r="C306" s="93">
        <f t="shared" si="69"/>
        <v>0</v>
      </c>
      <c r="D306" s="26">
        <f t="shared" si="80"/>
        <v>11.637288517442276</v>
      </c>
      <c r="E306" s="26">
        <f>D306*(1-VLOOKUP(A306,FX!A:K,9,0))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(+B306/(D306*(1-VLOOKUP(A306,FX!A:K,9,0)))-1)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 x14ac:dyDescent="0.15">
      <c r="A307" s="1">
        <v>42839</v>
      </c>
      <c r="B307">
        <v>11.64</v>
      </c>
      <c r="C307" s="93">
        <f t="shared" si="69"/>
        <v>0</v>
      </c>
      <c r="D307" s="26">
        <f t="shared" si="80"/>
        <v>11.596890583921811</v>
      </c>
      <c r="E307" s="26">
        <f>D307*(1-VLOOKUP(A307,FX!A:K,9,0))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(+B307/(D307*(1-VLOOKUP(A307,FX!A:K,9,0)))-1)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 x14ac:dyDescent="0.15">
      <c r="A308" s="1">
        <v>42842</v>
      </c>
      <c r="B308">
        <v>11.64</v>
      </c>
      <c r="C308" s="93">
        <f t="shared" si="69"/>
        <v>0</v>
      </c>
      <c r="D308" s="26">
        <f t="shared" si="80"/>
        <v>11.595906977013389</v>
      </c>
      <c r="E308" s="26">
        <f>D308*(1-VLOOKUP(A308,FX!A:K,9,0))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(+B308/(D308*(1-VLOOKUP(A308,FX!A:K,9,0)))-1)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 x14ac:dyDescent="0.15">
      <c r="A309" s="1">
        <v>42843</v>
      </c>
      <c r="B309">
        <v>11.54</v>
      </c>
      <c r="C309" s="93">
        <f t="shared" si="69"/>
        <v>-8.5910652920963004E-3</v>
      </c>
      <c r="D309" s="26">
        <f t="shared" si="80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(+B309/(D309*(1-VLOOKUP(A309,FX!A:K,9,0)))-1)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 x14ac:dyDescent="0.15">
      <c r="A310" s="1">
        <v>42844</v>
      </c>
      <c r="B310">
        <v>11.42</v>
      </c>
      <c r="C310" s="93">
        <f t="shared" si="69"/>
        <v>-1.0398613518197486E-2</v>
      </c>
      <c r="D310" s="26">
        <f t="shared" si="80"/>
        <v>11.476281253076252</v>
      </c>
      <c r="E310" s="26">
        <f>D310*(1-VLOOKUP(A310,FX!A:K,9,0))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(+B310/(D310*(1-VLOOKUP(A310,FX!A:K,9,0)))-1)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309</v>
      </c>
    </row>
    <row r="311" spans="1:14" x14ac:dyDescent="0.15">
      <c r="A311" s="1">
        <v>42845</v>
      </c>
      <c r="B311">
        <v>11.54</v>
      </c>
      <c r="C311" s="93">
        <f t="shared" si="69"/>
        <v>1.0507880910682887E-2</v>
      </c>
      <c r="D311" s="26">
        <f t="shared" si="80"/>
        <v>11.544527915108645</v>
      </c>
      <c r="E311" s="26">
        <f>D311*(1-VLOOKUP(A311,FX!A:K,9,0))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(+B311/(D311*(1-VLOOKUP(A311,FX!A:K,9,0)))-1)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 x14ac:dyDescent="0.15">
      <c r="A312" s="1">
        <v>42846</v>
      </c>
      <c r="B312">
        <v>11.56</v>
      </c>
      <c r="C312" s="93">
        <f t="shared" si="69"/>
        <v>1.7331022530331364E-3</v>
      </c>
      <c r="D312" s="26">
        <f t="shared" si="80"/>
        <v>11.609944974071881</v>
      </c>
      <c r="E312" s="26">
        <f>D312*(1-VLOOKUP(A312,FX!A:K,9,0))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(+B312/(D312*(1-VLOOKUP(A312,FX!A:K,9,0)))-1)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 x14ac:dyDescent="0.15">
      <c r="A313" s="1">
        <v>42849</v>
      </c>
      <c r="B313">
        <v>11.52</v>
      </c>
      <c r="C313" s="93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D313*(1-VLOOKUP(A313,FX!A:K,9,0))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(+B313/(D313*(1-VLOOKUP(A313,FX!A:K,9,0)))-1)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318</v>
      </c>
    </row>
    <row r="314" spans="1:14" x14ac:dyDescent="0.15">
      <c r="A314" s="1">
        <v>42850</v>
      </c>
      <c r="B314">
        <v>11.56</v>
      </c>
      <c r="C314" s="93">
        <f t="shared" si="83"/>
        <v>3.4722222222223209E-3</v>
      </c>
      <c r="D314" s="26">
        <f t="shared" si="80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(+B314/(D314*(1-VLOOKUP(A314,FX!A:K,9,0)))-1)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 x14ac:dyDescent="0.15">
      <c r="A315" s="1">
        <v>42851</v>
      </c>
      <c r="B315">
        <v>11.56</v>
      </c>
      <c r="C315" s="93">
        <f t="shared" si="83"/>
        <v>0</v>
      </c>
      <c r="D315" s="26">
        <f t="shared" si="80"/>
        <v>11.628734913229325</v>
      </c>
      <c r="E315" s="26">
        <f>D315*(1-VLOOKUP(A315,FX!A:K,9,0))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(+B315/(D315*(1-VLOOKUP(A315,FX!A:K,9,0)))-1)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 x14ac:dyDescent="0.15">
      <c r="A316" s="1">
        <v>42852</v>
      </c>
      <c r="B316">
        <v>11.56</v>
      </c>
      <c r="C316" s="93">
        <f t="shared" si="83"/>
        <v>0</v>
      </c>
      <c r="D316" s="26">
        <f t="shared" si="80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(+B316/(D316*(1-VLOOKUP(A316,FX!A:K,9,0)))-1)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 x14ac:dyDescent="0.15">
      <c r="A317" s="1">
        <v>42853</v>
      </c>
      <c r="B317">
        <v>11.54</v>
      </c>
      <c r="C317" s="93">
        <f t="shared" si="83"/>
        <v>-1.7301038062285112E-3</v>
      </c>
      <c r="D317" s="26">
        <f t="shared" si="80"/>
        <v>11.595905961344899</v>
      </c>
      <c r="E317" s="26">
        <f>D317*(1-VLOOKUP(A317,FX!A:K,9,0))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(+B317/(D317*(1-VLOOKUP(A317,FX!A:K,9,0)))-1)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 x14ac:dyDescent="0.15">
      <c r="A318" s="1">
        <v>42856</v>
      </c>
      <c r="B318">
        <v>11.54</v>
      </c>
      <c r="C318" s="93">
        <f t="shared" si="83"/>
        <v>0</v>
      </c>
      <c r="D318" s="26">
        <f t="shared" si="80"/>
        <v>11.5997</v>
      </c>
      <c r="E318" s="26">
        <f>D318*(1-VLOOKUP(A318,FX!A:K,9,0))</f>
        <v>11.588769894236364</v>
      </c>
      <c r="F318">
        <v>11.59</v>
      </c>
      <c r="G318" s="25">
        <f t="shared" ref="G318" si="84">+B318/D318-1</f>
        <v>-5.1466848280560251E-3</v>
      </c>
      <c r="H318" s="25">
        <f>(+B318/(D318*(1-VLOOKUP(A318,FX!A:K,9,0)))-1)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" si="85">+K318/J318-1</f>
        <v>0</v>
      </c>
      <c r="M318">
        <f t="shared" ref="M318" si="86">WEEKDAY(A318,2)</f>
        <v>1</v>
      </c>
    </row>
    <row r="319" spans="1:14" x14ac:dyDescent="0.15">
      <c r="A319" s="1">
        <v>42857</v>
      </c>
      <c r="B319">
        <v>11.48</v>
      </c>
      <c r="C319" s="93">
        <f t="shared" si="83"/>
        <v>-5.1993067590986319E-3</v>
      </c>
      <c r="D319" s="26">
        <f t="shared" si="80"/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87">+B319/D319-1</f>
        <v>-5.1979245744013802E-3</v>
      </c>
      <c r="H319" s="25">
        <f>(+B319/(D319*(1-VLOOKUP(A319,FX!A:K,9,0)))-1)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ref="L319" si="88">+K319/J319-1</f>
        <v>-4.3154472608843975E-3</v>
      </c>
      <c r="M319">
        <f t="shared" ref="M319" si="89">WEEKDAY(A319,2)</f>
        <v>2</v>
      </c>
    </row>
    <row r="320" spans="1:14" x14ac:dyDescent="0.15">
      <c r="A320" s="1">
        <v>42858</v>
      </c>
      <c r="B320">
        <v>11.48</v>
      </c>
      <c r="C320" s="93">
        <f t="shared" si="83"/>
        <v>0</v>
      </c>
      <c r="D320" s="26">
        <f t="shared" si="80"/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90">+B320/D320-1</f>
        <v>-1.5341636670845871E-3</v>
      </c>
      <c r="H320" s="25">
        <f>(+B320/(D320*(1-VLOOKUP(A320,FX!A:K,9,0)))-1)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ref="L320" si="91">+K320/J320-1</f>
        <v>-2.9190758708413922E-3</v>
      </c>
      <c r="M320">
        <f t="shared" ref="M320" si="92">WEEKDAY(A320,2)</f>
        <v>3</v>
      </c>
    </row>
    <row r="321" spans="1:14" x14ac:dyDescent="0.15">
      <c r="A321" s="1">
        <v>42859</v>
      </c>
      <c r="B321">
        <v>11.44</v>
      </c>
      <c r="C321" s="93">
        <f t="shared" si="83"/>
        <v>-3.4843205574913716E-3</v>
      </c>
      <c r="D321" s="26">
        <f t="shared" si="80"/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93">+B321/D321-1</f>
        <v>-5.5982348419921779E-3</v>
      </c>
      <c r="H321" s="25">
        <f>(+B321/(D321*(1-VLOOKUP(A321,FX!A:K,9,0)))-1)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ref="L321" si="94">+K321/J321-1</f>
        <v>-2.3324033448565151E-3</v>
      </c>
      <c r="M321">
        <f t="shared" ref="M321" si="95">WEEKDAY(A321,2)</f>
        <v>4</v>
      </c>
    </row>
    <row r="322" spans="1:14" x14ac:dyDescent="0.15">
      <c r="A322" s="1">
        <v>42860</v>
      </c>
      <c r="B322">
        <v>11.4</v>
      </c>
      <c r="C322" s="93">
        <f t="shared" si="83"/>
        <v>-3.4965034965034336E-3</v>
      </c>
      <c r="D322" s="26">
        <f t="shared" si="80"/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96">+B322/D322-1</f>
        <v>-4.2024572324461662E-3</v>
      </c>
      <c r="H322" s="25">
        <f>(+B322/(D322*(1-VLOOKUP(A322,FX!A:K,9,0)))-1)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ref="L322" si="97">+K322/J322-1</f>
        <v>-2.1085402682606835E-3</v>
      </c>
      <c r="M322">
        <f t="shared" ref="M322" si="98">WEEKDAY(A322,2)</f>
        <v>5</v>
      </c>
    </row>
    <row r="323" spans="1:14" x14ac:dyDescent="0.15">
      <c r="A323" s="1">
        <v>42863</v>
      </c>
      <c r="B323">
        <v>11.38</v>
      </c>
      <c r="C323" s="93">
        <f t="shared" si="83"/>
        <v>-1.7543859649122862E-3</v>
      </c>
      <c r="D323" s="26">
        <f t="shared" si="80"/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99">+B323/D323-1</f>
        <v>-4.9716255180844993E-3</v>
      </c>
      <c r="H323" s="25">
        <f>(+B323/(D323*(1-VLOOKUP(A323,FX!A:K,9,0)))-1)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ref="L323" si="100">+K323/J323-1</f>
        <v>-2.3953775056528848E-4</v>
      </c>
      <c r="M323">
        <f t="shared" ref="M323" si="101">WEEKDAY(A323,2)</f>
        <v>1</v>
      </c>
    </row>
    <row r="324" spans="1:14" x14ac:dyDescent="0.15">
      <c r="A324" s="1">
        <v>42864</v>
      </c>
      <c r="B324">
        <v>11.42</v>
      </c>
      <c r="C324" s="93">
        <f t="shared" si="83"/>
        <v>3.5149384885764245E-3</v>
      </c>
      <c r="D324" s="26">
        <f t="shared" si="80"/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02">+B324/D324-1</f>
        <v>-6.7329802547444473E-4</v>
      </c>
      <c r="H324" s="25">
        <f>(+B324/(D324*(1-VLOOKUP(A324,FX!A:K,9,0)))-1)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ref="L324" si="103">+K324/J324-1</f>
        <v>-6.3015470444083288E-4</v>
      </c>
      <c r="M324">
        <f t="shared" ref="M324" si="104">WEEKDAY(A324,2)</f>
        <v>2</v>
      </c>
      <c r="N324" s="50" t="s">
        <v>339</v>
      </c>
    </row>
    <row r="325" spans="1:14" x14ac:dyDescent="0.15">
      <c r="A325" s="1">
        <v>42865</v>
      </c>
      <c r="B325">
        <v>11.44</v>
      </c>
      <c r="C325" s="93">
        <f t="shared" si="83"/>
        <v>1.7513134851137035E-3</v>
      </c>
      <c r="D325" s="26">
        <f t="shared" si="80"/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05">+B325/D325-1</f>
        <v>-1.7735590873283469E-3</v>
      </c>
      <c r="H325" s="25">
        <f>(+B325/(D325*(1-VLOOKUP(A325,FX!A:K,9,0)))-1)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ref="L325" si="106">+K325/J325-1</f>
        <v>4.2082283631472706E-3</v>
      </c>
      <c r="M325">
        <f t="shared" ref="M325" si="107">WEEKDAY(A325,2)</f>
        <v>3</v>
      </c>
    </row>
    <row r="326" spans="1:14" x14ac:dyDescent="0.15">
      <c r="A326" s="1">
        <v>42866</v>
      </c>
      <c r="B326">
        <v>11.54</v>
      </c>
      <c r="C326" s="93">
        <f t="shared" si="83"/>
        <v>8.7412587412587506E-3</v>
      </c>
      <c r="D326" s="26">
        <f t="shared" si="80"/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08">+B326/D326-1</f>
        <v>-1.3304669502799404E-3</v>
      </c>
      <c r="H326" s="25">
        <f>(+B326/(D326*(1-VLOOKUP(A326,FX!A:K,9,0)))-1)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ref="L326" si="109">+K326/J326-1</f>
        <v>7.3466401010089388E-3</v>
      </c>
      <c r="M326">
        <f t="shared" ref="M326" si="110">WEEKDAY(A326,2)</f>
        <v>4</v>
      </c>
    </row>
    <row r="327" spans="1:14" x14ac:dyDescent="0.15">
      <c r="A327" s="1">
        <v>42867</v>
      </c>
      <c r="B327">
        <v>11.74</v>
      </c>
      <c r="C327" s="93">
        <f t="shared" si="83"/>
        <v>1.7331022530329365E-2</v>
      </c>
      <c r="D327" s="26">
        <f t="shared" si="80"/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11">+B327/D327-1</f>
        <v>-1.0766865599305397E-3</v>
      </c>
      <c r="H327" s="25">
        <f>(+B327/(D327*(1-VLOOKUP(A327,FX!A:K,9,0)))-1)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ref="L327" si="112">+K327/J327-1</f>
        <v>1.6357843604795308E-2</v>
      </c>
      <c r="M327">
        <f t="shared" ref="M327" si="113">WEEKDAY(A327,2)</f>
        <v>5</v>
      </c>
    </row>
    <row r="328" spans="1:14" x14ac:dyDescent="0.15">
      <c r="A328" s="1">
        <v>42870</v>
      </c>
      <c r="B328">
        <v>11.78</v>
      </c>
      <c r="C328" s="93">
        <f t="shared" si="83"/>
        <v>3.4071550255536653E-3</v>
      </c>
      <c r="D328" s="26">
        <f t="shared" si="80"/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14">+B328/D328-1</f>
        <v>-1.6971006658997867E-3</v>
      </c>
      <c r="H328" s="25">
        <f>(+B328/(D328*(1-VLOOKUP(A328,FX!A:K,9,0)))-1)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ref="L328" si="115">+K328/J328-1</f>
        <v>2.1764023386845466E-3</v>
      </c>
      <c r="M328">
        <f t="shared" ref="M328" si="116">WEEKDAY(A328,2)</f>
        <v>1</v>
      </c>
    </row>
    <row r="329" spans="1:14" x14ac:dyDescent="0.15">
      <c r="A329" s="1">
        <v>42871</v>
      </c>
      <c r="B329">
        <v>11.82</v>
      </c>
      <c r="C329" s="93">
        <f t="shared" si="83"/>
        <v>3.3955857385399302E-3</v>
      </c>
      <c r="D329" s="26">
        <f t="shared" si="80"/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17">+B329/D329-1</f>
        <v>1.2295130524180298E-3</v>
      </c>
      <c r="H329" s="25">
        <f>(+B329/(D329*(1-VLOOKUP(A329,FX!A:K,9,0)))-1)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ref="L329" si="118">+K329/J329-1</f>
        <v>3.376691183147873E-4</v>
      </c>
      <c r="M329">
        <f t="shared" ref="M329" si="119">WEEKDAY(A329,2)</f>
        <v>2</v>
      </c>
    </row>
    <row r="330" spans="1:14" x14ac:dyDescent="0.15">
      <c r="A330" s="1">
        <v>42872</v>
      </c>
      <c r="B330">
        <v>11.74</v>
      </c>
      <c r="C330" s="93">
        <f t="shared" si="83"/>
        <v>-6.7681895093062439E-3</v>
      </c>
      <c r="D330" s="26">
        <f t="shared" si="80"/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20">+B330/D330-1</f>
        <v>1.6661349082527366E-3</v>
      </c>
      <c r="H330" s="25">
        <f>(+B330/(D330*(1-VLOOKUP(A330,FX!A:K,9,0)))-1)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ref="L330" si="121">+K330/J330-1</f>
        <v>-8.9485204778720906E-3</v>
      </c>
      <c r="M330">
        <f t="shared" ref="M330" si="122">WEEKDAY(A330,2)</f>
        <v>3</v>
      </c>
    </row>
    <row r="331" spans="1:14" x14ac:dyDescent="0.15">
      <c r="A331" s="1">
        <v>42873</v>
      </c>
      <c r="B331">
        <v>11.68</v>
      </c>
      <c r="C331" s="93">
        <f t="shared" si="83"/>
        <v>-5.110732538330498E-3</v>
      </c>
      <c r="D331" s="26">
        <f t="shared" si="80"/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23">+B331/D331-1</f>
        <v>-1.7500640467638107E-3</v>
      </c>
      <c r="H331" s="25">
        <f>(+B331/(D331*(1-VLOOKUP(A331,FX!A:K,9,0)))-1)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ref="L331" si="124">+K331/J331-1</f>
        <v>-2.1170815758567718E-3</v>
      </c>
      <c r="M331">
        <f t="shared" ref="M331" si="125">WEEKDAY(A331,2)</f>
        <v>4</v>
      </c>
    </row>
    <row r="332" spans="1:14" x14ac:dyDescent="0.15">
      <c r="A332" s="1">
        <v>42874</v>
      </c>
      <c r="B332">
        <v>11.7</v>
      </c>
      <c r="C332" s="93">
        <f t="shared" si="83"/>
        <v>1.712328767123239E-3</v>
      </c>
      <c r="D332" s="26">
        <f t="shared" si="80"/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26">+B332/D332-1</f>
        <v>-2.5002125725078761E-3</v>
      </c>
      <c r="H332" s="25">
        <f>(+B332/(D332*(1-VLOOKUP(A332,FX!A:K,9,0)))-1)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ref="L332" si="127">+K332/J332-1</f>
        <v>3.587265589594768E-3</v>
      </c>
      <c r="M332">
        <f t="shared" ref="M332" si="128">WEEKDAY(A332,2)</f>
        <v>5</v>
      </c>
    </row>
    <row r="333" spans="1:14" x14ac:dyDescent="0.15">
      <c r="A333" s="1">
        <v>42877</v>
      </c>
      <c r="B333">
        <v>11.82</v>
      </c>
      <c r="C333" s="93">
        <f t="shared" si="83"/>
        <v>1.0256410256410442E-2</v>
      </c>
      <c r="D333" s="26">
        <f t="shared" si="80"/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29">+B333/D333-1</f>
        <v>1.711557500798655E-4</v>
      </c>
      <c r="H333" s="25">
        <f>(+B333/(D333*(1-VLOOKUP(A333,FX!A:K,9,0)))-1)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ref="L333" si="130">+K333/J333-1</f>
        <v>8.5921914804025779E-3</v>
      </c>
      <c r="M333">
        <f t="shared" ref="M333" si="131">WEEKDAY(A333,2)</f>
        <v>1</v>
      </c>
    </row>
    <row r="334" spans="1:14" x14ac:dyDescent="0.15">
      <c r="A334" s="1">
        <v>42878</v>
      </c>
      <c r="B334">
        <v>11.96</v>
      </c>
      <c r="C334" s="93">
        <f t="shared" si="83"/>
        <v>1.1844331641285955E-2</v>
      </c>
      <c r="D334" s="26">
        <f t="shared" si="80"/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32">+B334/D334-1</f>
        <v>-4.190870718345785E-3</v>
      </c>
      <c r="H334" s="25">
        <f>(+B334/(D334*(1-VLOOKUP(A334,FX!A:K,9,0)))-1)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ref="L334" si="133">+K334/J334-1</f>
        <v>1.4660529539724854E-2</v>
      </c>
      <c r="M334">
        <f t="shared" ref="M334" si="134">WEEKDAY(A334,2)</f>
        <v>2</v>
      </c>
    </row>
    <row r="335" spans="1:14" x14ac:dyDescent="0.15">
      <c r="A335" s="1">
        <v>42879</v>
      </c>
      <c r="B335">
        <v>11.94</v>
      </c>
      <c r="C335" s="93">
        <f t="shared" si="83"/>
        <v>-1.6722408026756952E-3</v>
      </c>
      <c r="D335" s="26">
        <f t="shared" si="80"/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35">+B335/D335-1</f>
        <v>-4.2448255691015513E-3</v>
      </c>
      <c r="H335" s="25">
        <f>(+B335/(D335*(1-VLOOKUP(A335,FX!A:K,9,0)))-1)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ref="L335" si="136">+K335/J335-1</f>
        <v>-1.399162550478672E-3</v>
      </c>
      <c r="M335">
        <f t="shared" ref="M335" si="137">WEEKDAY(A335,2)</f>
        <v>3</v>
      </c>
    </row>
    <row r="336" spans="1:14" x14ac:dyDescent="0.15">
      <c r="A336" s="1">
        <v>42880</v>
      </c>
      <c r="B336">
        <v>12.34</v>
      </c>
      <c r="C336" s="93">
        <f t="shared" si="83"/>
        <v>3.350083752093802E-2</v>
      </c>
      <c r="D336" s="26">
        <f t="shared" si="80"/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38">+B336/D336-1</f>
        <v>2.4805802398268906E-3</v>
      </c>
      <c r="H336" s="25">
        <f>(+B336/(D336*(1-VLOOKUP(A336,FX!A:K,9,0)))-1)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ref="L336" si="139">+K336/J336-1</f>
        <v>2.6139379571944232E-2</v>
      </c>
      <c r="M336">
        <f t="shared" ref="M336" si="140">WEEKDAY(A336,2)</f>
        <v>4</v>
      </c>
    </row>
    <row r="337" spans="1:14" x14ac:dyDescent="0.15">
      <c r="A337" s="1">
        <v>42881</v>
      </c>
      <c r="B337">
        <v>12.32</v>
      </c>
      <c r="C337" s="93">
        <f t="shared" si="83"/>
        <v>-1.6207455429497752E-3</v>
      </c>
      <c r="D337" s="26">
        <f t="shared" si="80"/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141">+B337/D337-1</f>
        <v>-1.4044034878835099E-3</v>
      </c>
      <c r="H337" s="25">
        <f>(+B337/(D337*(1-VLOOKUP(A337,FX!A:K,9,0)))-1)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ref="L337" si="142">+K337/J337-1</f>
        <v>-1.3981363632646904E-3</v>
      </c>
      <c r="M337">
        <f t="shared" ref="M337" si="143">WEEKDAY(A337,2)</f>
        <v>5</v>
      </c>
    </row>
    <row r="338" spans="1:14" x14ac:dyDescent="0.15">
      <c r="A338" s="1">
        <v>42884</v>
      </c>
      <c r="B338">
        <v>12.38</v>
      </c>
      <c r="C338" s="93">
        <f t="shared" si="83"/>
        <v>4.8701298701299134E-3</v>
      </c>
      <c r="D338" s="26">
        <f t="shared" si="80"/>
        <v>12.3721</v>
      </c>
      <c r="E338" s="26">
        <f>D338*(1-VLOOKUP(A338,FX!A:K,9,0))</f>
        <v>12.419164880892303</v>
      </c>
      <c r="F338">
        <v>12.42</v>
      </c>
      <c r="G338" s="25">
        <f t="shared" ref="G338" si="144">+B338/D338-1</f>
        <v>6.3853347451137132E-4</v>
      </c>
      <c r="H338" s="25">
        <f>(+B338/(D338*(1-VLOOKUP(A338,FX!A:K,9,0)))-1)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ref="L338" si="145">+K338/J338-1</f>
        <v>0</v>
      </c>
      <c r="M338">
        <f t="shared" ref="M338" si="146">WEEKDAY(A338,2)</f>
        <v>1</v>
      </c>
    </row>
    <row r="339" spans="1:14" x14ac:dyDescent="0.15">
      <c r="A339" s="1">
        <v>42885</v>
      </c>
      <c r="B339">
        <v>12.38</v>
      </c>
      <c r="C339" s="93">
        <f t="shared" si="83"/>
        <v>0</v>
      </c>
      <c r="D339" s="26">
        <f t="shared" si="80"/>
        <v>12.42</v>
      </c>
      <c r="E339" s="26">
        <f>D339*(1-VLOOKUP(A339,FX!A:K,9,0))</f>
        <v>12.402472701503074</v>
      </c>
      <c r="F339">
        <v>12.4</v>
      </c>
      <c r="G339" s="25">
        <f t="shared" ref="G339" si="147">+B339/D339-1</f>
        <v>-3.2206119162639935E-3</v>
      </c>
      <c r="H339" s="25">
        <f>(+B339/(D339*(1-VLOOKUP(A339,FX!A:K,9,0)))-1)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ref="L339" si="148">+K339/J339-1</f>
        <v>0</v>
      </c>
      <c r="M339">
        <f t="shared" ref="M339" si="149">WEEKDAY(A339,2)</f>
        <v>2</v>
      </c>
    </row>
    <row r="340" spans="1:14" x14ac:dyDescent="0.15">
      <c r="A340" s="1">
        <v>42886</v>
      </c>
      <c r="B340">
        <v>12.46</v>
      </c>
      <c r="C340" s="93">
        <f t="shared" si="83"/>
        <v>6.4620355411955099E-3</v>
      </c>
      <c r="D340" s="26">
        <f t="shared" si="80"/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150">+B340/D340-1</f>
        <v>1.1962967573160288E-3</v>
      </c>
      <c r="H340" s="25">
        <f>(+B340/(D340*(1-VLOOKUP(A340,FX!A:K,9,0)))-1)</f>
        <v>-3.6770523914291253E-3</v>
      </c>
      <c r="I340" s="25">
        <f t="shared" ref="I340:I355" si="151">+B340/F340-1</f>
        <v>-6.2131616937445289E-3</v>
      </c>
      <c r="J340">
        <v>10992.12</v>
      </c>
      <c r="K340">
        <v>11032.11</v>
      </c>
      <c r="L340" s="25">
        <f t="shared" ref="L340" si="152">+K340/J340-1</f>
        <v>3.6380607198611692E-3</v>
      </c>
      <c r="M340">
        <f t="shared" ref="M340" si="153">WEEKDAY(A340,2)</f>
        <v>3</v>
      </c>
    </row>
    <row r="341" spans="1:14" x14ac:dyDescent="0.15">
      <c r="A341" s="1">
        <v>42887</v>
      </c>
      <c r="B341">
        <v>12.62</v>
      </c>
      <c r="C341" s="93">
        <f t="shared" si="83"/>
        <v>1.2841091492776791E-2</v>
      </c>
      <c r="D341" s="26">
        <f t="shared" si="80"/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154">+B341/D341-1</f>
        <v>-2.4417247941082021E-3</v>
      </c>
      <c r="H341" s="25">
        <f>(+B341/(D341*(1-VLOOKUP(A341,FX!A:K,9,0)))-1)</f>
        <v>-1.0190434041351337E-2</v>
      </c>
      <c r="I341" s="25">
        <f t="shared" si="151"/>
        <v>-5.3515554189426107E-3</v>
      </c>
      <c r="J341">
        <v>11032.11</v>
      </c>
      <c r="K341">
        <v>11131.53</v>
      </c>
      <c r="L341" s="25">
        <f t="shared" ref="L341" si="155">+K341/J341-1</f>
        <v>9.0118753348180647E-3</v>
      </c>
      <c r="M341">
        <f t="shared" ref="M341" si="156">WEEKDAY(A341,2)</f>
        <v>4</v>
      </c>
    </row>
    <row r="342" spans="1:14" x14ac:dyDescent="0.15">
      <c r="A342" s="1">
        <v>42888</v>
      </c>
      <c r="B342">
        <v>12.52</v>
      </c>
      <c r="C342" s="93">
        <f t="shared" si="83"/>
        <v>-7.923930269413626E-3</v>
      </c>
      <c r="D342" s="26">
        <f t="shared" si="80"/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157">+B342/D342-1</f>
        <v>-5.7697867351977905E-3</v>
      </c>
      <c r="H342" s="25">
        <f>(+B342/(D342*(1-VLOOKUP(A342,FX!A:K,9,0)))-1)</f>
        <v>1.0440034109737706E-3</v>
      </c>
      <c r="I342" s="25">
        <f t="shared" si="151"/>
        <v>-7.1833346635807871E-4</v>
      </c>
      <c r="J342">
        <v>11131.53</v>
      </c>
      <c r="K342">
        <v>11047.97</v>
      </c>
      <c r="L342" s="25">
        <f t="shared" ref="L342" si="158">+K342/J342-1</f>
        <v>-7.5066051117861354E-3</v>
      </c>
      <c r="M342">
        <f t="shared" ref="M342" si="159">WEEKDAY(A342,2)</f>
        <v>5</v>
      </c>
      <c r="N342" s="50" t="s">
        <v>349</v>
      </c>
    </row>
    <row r="343" spans="1:14" x14ac:dyDescent="0.15">
      <c r="A343" s="1">
        <v>42891</v>
      </c>
      <c r="B343">
        <v>12.42</v>
      </c>
      <c r="C343" s="93">
        <f t="shared" si="83"/>
        <v>-7.9872204472842823E-3</v>
      </c>
      <c r="D343" s="26">
        <f t="shared" si="80"/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160">+B343/D343-1</f>
        <v>1.9683458265009612E-3</v>
      </c>
      <c r="H343" s="25">
        <f>(+B343/(D343*(1-VLOOKUP(A343,FX!A:K,9,0)))-1)</f>
        <v>1.1443456104749394E-3</v>
      </c>
      <c r="I343" s="25">
        <f t="shared" si="151"/>
        <v>1.0397272529438784E-3</v>
      </c>
      <c r="J343">
        <v>11047.97</v>
      </c>
      <c r="K343">
        <v>10930.34</v>
      </c>
      <c r="L343" s="25">
        <f t="shared" ref="L343" si="161">+K343/J343-1</f>
        <v>-1.064720487112103E-2</v>
      </c>
      <c r="M343">
        <f t="shared" ref="M343" si="162">WEEKDAY(A343,2)</f>
        <v>1</v>
      </c>
    </row>
    <row r="344" spans="1:14" x14ac:dyDescent="0.15">
      <c r="A344" s="1">
        <v>42892</v>
      </c>
      <c r="B344">
        <v>12.54</v>
      </c>
      <c r="C344" s="93">
        <f t="shared" si="83"/>
        <v>9.6618357487923134E-3</v>
      </c>
      <c r="D344" s="26">
        <f t="shared" si="80"/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163">+B344/D344-1</f>
        <v>2.2564220413703318E-3</v>
      </c>
      <c r="H344" s="25">
        <f>(+B344/(D344*(1-VLOOKUP(A344,FX!A:K,9,0)))-1)</f>
        <v>1.4785040944742533E-4</v>
      </c>
      <c r="I344" s="25">
        <f t="shared" si="151"/>
        <v>-1.4352006888973534E-4</v>
      </c>
      <c r="J344">
        <v>10930.34</v>
      </c>
      <c r="K344">
        <v>11022.55</v>
      </c>
      <c r="L344" s="25">
        <f t="shared" ref="L344" si="164">+K344/J344-1</f>
        <v>8.4361511169825931E-3</v>
      </c>
      <c r="M344">
        <f t="shared" ref="M344" si="165">WEEKDAY(A344,2)</f>
        <v>2</v>
      </c>
    </row>
    <row r="345" spans="1:14" x14ac:dyDescent="0.15">
      <c r="A345" s="1">
        <v>42893</v>
      </c>
      <c r="B345">
        <v>12.62</v>
      </c>
      <c r="C345" s="93">
        <f t="shared" si="83"/>
        <v>6.3795853269537073E-3</v>
      </c>
      <c r="D345" s="26">
        <f t="shared" si="80"/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166">+B345/D345-1</f>
        <v>-3.9006629827139649E-3</v>
      </c>
      <c r="H345" s="25">
        <f>(+B345/(D345*(1-VLOOKUP(A345,FX!A:K,9,0)))-1)</f>
        <v>-3.784395872038715E-3</v>
      </c>
      <c r="I345" s="25">
        <f t="shared" si="151"/>
        <v>-3.1516836625882227E-3</v>
      </c>
      <c r="J345">
        <v>11022.55</v>
      </c>
      <c r="K345">
        <v>11134.71</v>
      </c>
      <c r="L345" s="25">
        <f t="shared" ref="L345" si="167">+K345/J345-1</f>
        <v>1.0175503853464107E-2</v>
      </c>
      <c r="M345">
        <f t="shared" ref="M345" si="168">WEEKDAY(A345,2)</f>
        <v>3</v>
      </c>
    </row>
    <row r="346" spans="1:14" x14ac:dyDescent="0.15">
      <c r="A346" s="1">
        <v>42894</v>
      </c>
      <c r="B346">
        <v>12.78</v>
      </c>
      <c r="C346" s="93">
        <f t="shared" si="83"/>
        <v>1.267828843106189E-2</v>
      </c>
      <c r="D346" s="26">
        <f t="shared" si="80"/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169">+B346/D346-1</f>
        <v>9.6273496271170877E-4</v>
      </c>
      <c r="H346" s="25">
        <f>(+B346/(D346*(1-VLOOKUP(A346,FX!A:K,9,0)))-1)</f>
        <v>9.8639383993703866E-4</v>
      </c>
      <c r="I346" s="25">
        <f t="shared" si="151"/>
        <v>1.0574550581599063E-3</v>
      </c>
      <c r="J346">
        <v>11134.71</v>
      </c>
      <c r="K346">
        <v>11229.53</v>
      </c>
      <c r="L346" s="25">
        <f t="shared" ref="L346" si="170">+K346/J346-1</f>
        <v>8.5157134761482123E-3</v>
      </c>
      <c r="M346">
        <f t="shared" ref="M346" si="171">WEEKDAY(A346,2)</f>
        <v>4</v>
      </c>
    </row>
    <row r="347" spans="1:14" x14ac:dyDescent="0.15">
      <c r="A347" s="1">
        <v>42895</v>
      </c>
      <c r="B347">
        <v>12.84</v>
      </c>
      <c r="C347" s="93">
        <f t="shared" si="83"/>
        <v>4.6948356807512415E-3</v>
      </c>
      <c r="D347" s="26">
        <f t="shared" si="80"/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172">+B347/D347-1</f>
        <v>-7.828634183958405E-4</v>
      </c>
      <c r="H347" s="25">
        <f>(+B347/(D347*(1-VLOOKUP(A347,FX!A:K,9,0)))-1)</f>
        <v>1.8168854734232909E-3</v>
      </c>
      <c r="I347" s="25">
        <f t="shared" si="151"/>
        <v>8.5743237976454445E-4</v>
      </c>
      <c r="J347">
        <v>11229.53</v>
      </c>
      <c r="K347">
        <v>11303.03</v>
      </c>
      <c r="L347" s="25">
        <f t="shared" ref="L347" si="173">+K347/J347-1</f>
        <v>6.5452427661709667E-3</v>
      </c>
      <c r="M347">
        <f t="shared" ref="M347" si="174">WEEKDAY(A347,2)</f>
        <v>5</v>
      </c>
    </row>
    <row r="348" spans="1:14" x14ac:dyDescent="0.15">
      <c r="A348" s="1">
        <v>42898</v>
      </c>
      <c r="B348">
        <v>12.78</v>
      </c>
      <c r="C348" s="93">
        <f t="shared" si="83"/>
        <v>-4.6728971962617383E-3</v>
      </c>
      <c r="D348" s="26">
        <f t="shared" si="80"/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175">+B348/D348-1</f>
        <v>-4.7484174823616554E-3</v>
      </c>
      <c r="H348" s="25">
        <f>(+B348/(D348*(1-VLOOKUP(A348,FX!A:K,9,0)))-1)</f>
        <v>-4.7953405557038531E-3</v>
      </c>
      <c r="I348" s="25">
        <f t="shared" si="151"/>
        <v>-4.1610173453644483E-3</v>
      </c>
      <c r="J348">
        <v>11303.03</v>
      </c>
      <c r="K348">
        <v>11313.58</v>
      </c>
      <c r="L348" s="25">
        <f t="shared" ref="L348" si="176">+K348/J348-1</f>
        <v>9.3337804110915634E-4</v>
      </c>
      <c r="M348">
        <f t="shared" ref="M348" si="177">WEEKDAY(A348,2)</f>
        <v>1</v>
      </c>
    </row>
    <row r="349" spans="1:14" x14ac:dyDescent="0.15">
      <c r="A349" s="1">
        <v>42899</v>
      </c>
      <c r="B349">
        <v>12.8</v>
      </c>
      <c r="C349" s="93">
        <f t="shared" si="83"/>
        <v>1.5649452269170805E-3</v>
      </c>
      <c r="D349" s="26">
        <f t="shared" si="80"/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178">+B349/D349-1</f>
        <v>-1.0673501759128623E-4</v>
      </c>
      <c r="H349" s="25">
        <f>(+B349/(D349*(1-VLOOKUP(A349,FX!A:K,9,0)))-1)</f>
        <v>3.0144934557663206E-4</v>
      </c>
      <c r="I349" s="25">
        <f t="shared" si="151"/>
        <v>-6.1680681454412412E-4</v>
      </c>
      <c r="J349">
        <v>11313.58</v>
      </c>
      <c r="K349">
        <v>11285.34</v>
      </c>
      <c r="L349" s="25">
        <f t="shared" ref="L349" si="179">+K349/J349-1</f>
        <v>-2.496115287998979E-3</v>
      </c>
      <c r="M349">
        <f t="shared" ref="M349" si="180">WEEKDAY(A349,2)</f>
        <v>2</v>
      </c>
    </row>
    <row r="350" spans="1:14" x14ac:dyDescent="0.15">
      <c r="A350" s="1">
        <v>42900</v>
      </c>
      <c r="B350">
        <v>12.64</v>
      </c>
      <c r="C350" s="93">
        <f t="shared" si="83"/>
        <v>-1.2499999999999956E-2</v>
      </c>
      <c r="D350" s="26">
        <f t="shared" si="80"/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181">+B350/D350-1</f>
        <v>3.3024272540622679E-3</v>
      </c>
      <c r="H350" s="25">
        <f>(+B350/(D350*(1-VLOOKUP(A350,FX!A:K,9,0)))-1)</f>
        <v>3.3556261926863673E-3</v>
      </c>
      <c r="I350" s="25">
        <f t="shared" si="151"/>
        <v>-4.5074610341844235E-4</v>
      </c>
      <c r="J350">
        <v>11285.34</v>
      </c>
      <c r="K350">
        <v>11100.74</v>
      </c>
      <c r="L350" s="25">
        <f t="shared" ref="L350" si="182">+K350/J350-1</f>
        <v>-1.6357504514706744E-2</v>
      </c>
      <c r="M350">
        <f t="shared" ref="M350" si="183">WEEKDAY(A350,2)</f>
        <v>3</v>
      </c>
    </row>
    <row r="351" spans="1:14" x14ac:dyDescent="0.15">
      <c r="A351" s="1">
        <v>42901</v>
      </c>
      <c r="B351">
        <v>12.5</v>
      </c>
      <c r="C351" s="93">
        <f t="shared" si="83"/>
        <v>-1.1075949367088667E-2</v>
      </c>
      <c r="D351" s="26">
        <f t="shared" si="80"/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184">+B351/D351-1</f>
        <v>-4.1755201030564404E-3</v>
      </c>
      <c r="H351" s="25">
        <f>(+B351/(D351*(1-VLOOKUP(A351,FX!A:K,9,0)))-1)</f>
        <v>-4.9136883560100264E-3</v>
      </c>
      <c r="I351" s="25">
        <f t="shared" si="151"/>
        <v>-4.9830449110852548E-3</v>
      </c>
      <c r="J351">
        <v>11100.74</v>
      </c>
      <c r="K351">
        <v>11018.85</v>
      </c>
      <c r="L351" s="25">
        <f t="shared" ref="L351" si="185">+K351/J351-1</f>
        <v>-7.3769856784321464E-3</v>
      </c>
      <c r="M351">
        <f t="shared" ref="M351" si="186">WEEKDAY(A351,2)</f>
        <v>4</v>
      </c>
    </row>
    <row r="352" spans="1:14" x14ac:dyDescent="0.15">
      <c r="A352" s="1">
        <v>42902</v>
      </c>
      <c r="B352">
        <v>12.4</v>
      </c>
      <c r="C352" s="93">
        <f t="shared" si="83"/>
        <v>-8.0000000000000071E-3</v>
      </c>
      <c r="D352" s="26">
        <f t="shared" si="80"/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187">+B352/D352-1</f>
        <v>-9.0400817299667313E-3</v>
      </c>
      <c r="H352" s="25">
        <f>(+B352/(D352*(1-VLOOKUP(A352,FX!A:K,9,0)))-1)</f>
        <v>-2.9139528928292524E-3</v>
      </c>
      <c r="I352" s="25">
        <f t="shared" si="151"/>
        <v>-2.8547304089099335E-3</v>
      </c>
      <c r="J352">
        <v>11018.85</v>
      </c>
      <c r="K352">
        <v>10975.45</v>
      </c>
      <c r="L352" s="25">
        <f t="shared" ref="L352" si="188">+K352/J352-1</f>
        <v>-3.9387050372770016E-3</v>
      </c>
      <c r="M352">
        <f t="shared" ref="M352" si="189">WEEKDAY(A352,2)</f>
        <v>5</v>
      </c>
    </row>
    <row r="353" spans="1:14" x14ac:dyDescent="0.15">
      <c r="A353" s="1">
        <v>42905</v>
      </c>
      <c r="B353">
        <v>12.56</v>
      </c>
      <c r="C353" s="93">
        <f t="shared" si="83"/>
        <v>1.2903225806451646E-2</v>
      </c>
      <c r="D353" s="26">
        <f t="shared" si="80"/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190">+B353/D353-1</f>
        <v>-4.7946012416200112E-4</v>
      </c>
      <c r="H353" s="25">
        <f>(+B353/(D353*(1-VLOOKUP(A353,FX!A:K,9,0)))-1)</f>
        <v>-2.6286867750470178E-3</v>
      </c>
      <c r="I353" s="25">
        <f t="shared" si="151"/>
        <v>-5.3315508446927229E-4</v>
      </c>
      <c r="J353">
        <v>10975.45</v>
      </c>
      <c r="K353">
        <v>11090.65</v>
      </c>
      <c r="L353" s="25">
        <f t="shared" ref="L353" si="191">+K353/J353-1</f>
        <v>1.0496152777334844E-2</v>
      </c>
      <c r="M353">
        <f t="shared" ref="M353" si="192">WEEKDAY(A353,2)</f>
        <v>1</v>
      </c>
    </row>
    <row r="354" spans="1:14" x14ac:dyDescent="0.15">
      <c r="A354" s="1">
        <v>42906</v>
      </c>
      <c r="B354">
        <v>12.5</v>
      </c>
      <c r="C354" s="93">
        <f t="shared" si="83"/>
        <v>-4.777070063694322E-3</v>
      </c>
      <c r="D354" s="26">
        <f t="shared" si="80"/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193">+B354/D354-1</f>
        <v>-2.8847132107820972E-3</v>
      </c>
      <c r="H354" s="25">
        <f>(+B354/(D354*(1-VLOOKUP(A354,FX!A:K,9,0)))-1)</f>
        <v>1.5942134391822016E-4</v>
      </c>
      <c r="I354" s="25">
        <f t="shared" si="151"/>
        <v>-8.7922628087278021E-4</v>
      </c>
      <c r="J354">
        <v>11090.65</v>
      </c>
      <c r="K354">
        <v>11063.7</v>
      </c>
      <c r="L354" s="25">
        <f t="shared" ref="L354" si="194">+K354/J354-1</f>
        <v>-2.4299747985915277E-3</v>
      </c>
      <c r="M354">
        <f t="shared" ref="M354" si="195">WEEKDAY(A354,2)</f>
        <v>2</v>
      </c>
    </row>
    <row r="355" spans="1:14" x14ac:dyDescent="0.15">
      <c r="A355" s="1">
        <v>42907</v>
      </c>
      <c r="B355">
        <v>12.62</v>
      </c>
      <c r="C355" s="93">
        <f t="shared" si="83"/>
        <v>9.5999999999998309E-3</v>
      </c>
      <c r="D355" s="26">
        <f t="shared" si="80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196">+B355/D355-1</f>
        <v>-3.0328067224530963E-3</v>
      </c>
      <c r="H355" s="25">
        <f>(+B355/(D355*(1-VLOOKUP(A355,FX!A:K,9,0)))-1)</f>
        <v>-3.5236704538067487E-3</v>
      </c>
      <c r="I355" s="25">
        <f t="shared" si="151"/>
        <v>-3.1595576619274368E-3</v>
      </c>
      <c r="J355">
        <v>11063.7</v>
      </c>
      <c r="K355">
        <v>11194.04</v>
      </c>
      <c r="L355" s="25">
        <f t="shared" ref="L355:L356" si="197">+K355/J355-1</f>
        <v>1.1780868967885993E-2</v>
      </c>
      <c r="M355">
        <f t="shared" ref="M355:M356" si="198">WEEKDAY(A355,2)</f>
        <v>3</v>
      </c>
    </row>
    <row r="356" spans="1:14" x14ac:dyDescent="0.15">
      <c r="A356" s="1">
        <v>42908</v>
      </c>
      <c r="B356">
        <v>12.72</v>
      </c>
      <c r="C356" s="93">
        <f t="shared" si="83"/>
        <v>7.923930269413848E-3</v>
      </c>
      <c r="D356" s="26">
        <f t="shared" si="80"/>
        <v>12.757635688276975</v>
      </c>
      <c r="E356" s="26">
        <f>D356*(1-VLOOKUP(A356,FX!A:K,9,0))</f>
        <v>12.756122666002685</v>
      </c>
      <c r="F356">
        <v>12.7575</v>
      </c>
      <c r="G356" s="25">
        <f t="shared" si="196"/>
        <v>-2.9500519686072035E-3</v>
      </c>
      <c r="H356" s="25">
        <f>(+B356/(D356*(1-VLOOKUP(A356,FX!A:K,9,0)))-1)</f>
        <v>-2.8317904231948132E-3</v>
      </c>
      <c r="I356" s="25">
        <f t="shared" ref="I356:I500" si="199">+B356/F356-1</f>
        <v>-2.9394473838918467E-3</v>
      </c>
      <c r="J356">
        <v>11194.04</v>
      </c>
      <c r="K356">
        <v>11280.37</v>
      </c>
      <c r="L356" s="25">
        <f t="shared" si="197"/>
        <v>7.7121396743267123E-3</v>
      </c>
      <c r="M356">
        <f t="shared" si="198"/>
        <v>4</v>
      </c>
    </row>
    <row r="357" spans="1:14" x14ac:dyDescent="0.15">
      <c r="A357" s="1">
        <v>42909</v>
      </c>
      <c r="B357">
        <v>12.84</v>
      </c>
      <c r="C357" s="93">
        <f t="shared" si="83"/>
        <v>9.4339622641508303E-3</v>
      </c>
      <c r="D357" s="26">
        <f t="shared" si="80"/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00">+B357/D357-1</f>
        <v>-8.2658811244573638E-4</v>
      </c>
      <c r="H357" s="25">
        <f>(+B357/(D357*(1-VLOOKUP(A357,FX!A:K,9,0)))-1)</f>
        <v>6.7104796053341076E-4</v>
      </c>
      <c r="I357" s="25">
        <f t="shared" si="199"/>
        <v>6.078458876888071E-4</v>
      </c>
      <c r="J357">
        <v>11280.37</v>
      </c>
      <c r="K357">
        <v>11362.71</v>
      </c>
      <c r="L357" s="25">
        <f t="shared" ref="L357" si="201">+K357/J357-1</f>
        <v>7.2994059592015326E-3</v>
      </c>
      <c r="M357">
        <f t="shared" ref="M357" si="202">WEEKDAY(A357,2)</f>
        <v>5</v>
      </c>
    </row>
    <row r="358" spans="1:14" x14ac:dyDescent="0.15">
      <c r="A358" s="1">
        <v>42912</v>
      </c>
      <c r="B358">
        <v>12.96</v>
      </c>
      <c r="C358" s="93">
        <f t="shared" si="83"/>
        <v>9.3457943925234765E-3</v>
      </c>
      <c r="D358" s="26">
        <f t="shared" si="80"/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203">+B358/D358-1</f>
        <v>3.4016769530642588E-3</v>
      </c>
      <c r="H358" s="25">
        <f>(+B358/(D358*(1-VLOOKUP(A358,FX!A:K,9,0)))-1)</f>
        <v>4.6683778915557195E-3</v>
      </c>
      <c r="I358" s="25">
        <f t="shared" si="199"/>
        <v>5.0095382849699721E-3</v>
      </c>
      <c r="J358">
        <v>11362.71</v>
      </c>
      <c r="K358">
        <v>11436.97</v>
      </c>
      <c r="L358" s="25">
        <f t="shared" ref="L358" si="204">+K358/J358-1</f>
        <v>6.5354127668488804E-3</v>
      </c>
      <c r="M358">
        <f t="shared" ref="M358" si="205">WEEKDAY(A358,2)</f>
        <v>1</v>
      </c>
    </row>
    <row r="359" spans="1:14" x14ac:dyDescent="0.15">
      <c r="A359" s="1">
        <v>42913</v>
      </c>
      <c r="B359">
        <v>12.98</v>
      </c>
      <c r="C359" s="93">
        <f t="shared" si="83"/>
        <v>1.5432098765431057E-3</v>
      </c>
      <c r="D359" s="26">
        <f t="shared" si="80"/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206">+B359/D359-1</f>
        <v>1.6829872904471355E-3</v>
      </c>
      <c r="H359" s="25">
        <f>(+B359/(D359*(1-VLOOKUP(A359,FX!A:K,9,0)))-1)</f>
        <v>1.4387788683081215E-3</v>
      </c>
      <c r="I359" s="25">
        <f t="shared" si="199"/>
        <v>-1.8455859735465596E-3</v>
      </c>
      <c r="J359">
        <v>11436.97</v>
      </c>
      <c r="K359">
        <v>11492.66</v>
      </c>
      <c r="L359" s="25">
        <f t="shared" ref="L359" si="207">+K359/J359-1</f>
        <v>4.8692966756056499E-3</v>
      </c>
      <c r="M359">
        <f t="shared" ref="M359" si="208">WEEKDAY(A359,2)</f>
        <v>2</v>
      </c>
    </row>
    <row r="360" spans="1:14" x14ac:dyDescent="0.15">
      <c r="A360" s="1">
        <v>42914</v>
      </c>
      <c r="B360">
        <v>12.94</v>
      </c>
      <c r="C360" s="93">
        <f t="shared" si="83"/>
        <v>-3.0816640986133237E-3</v>
      </c>
      <c r="D360" s="26">
        <f t="shared" si="80"/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209">+B360/D360-1</f>
        <v>2.2846701028853555E-3</v>
      </c>
      <c r="H360" s="25">
        <f>(+B360/(D360*(1-VLOOKUP(A360,FX!A:K,9,0)))-1)</f>
        <v>-4.5147047610064606E-3</v>
      </c>
      <c r="I360" s="25">
        <f t="shared" si="199"/>
        <v>-7.6448466783529678E-4</v>
      </c>
      <c r="J360">
        <v>11492.66</v>
      </c>
      <c r="K360">
        <v>11410.03</v>
      </c>
      <c r="L360" s="25">
        <f t="shared" ref="L360" si="210">+K360/J360-1</f>
        <v>-7.1898063633657472E-3</v>
      </c>
      <c r="M360">
        <f t="shared" ref="M360" si="211">WEEKDAY(A360,2)</f>
        <v>3</v>
      </c>
    </row>
    <row r="361" spans="1:14" x14ac:dyDescent="0.15">
      <c r="A361" s="1">
        <v>42915</v>
      </c>
      <c r="B361">
        <v>13.08</v>
      </c>
      <c r="C361" s="93">
        <f t="shared" si="83"/>
        <v>1.0819165378670892E-2</v>
      </c>
      <c r="D361" s="26">
        <f t="shared" si="80"/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212">+B361/D361-1</f>
        <v>3.3710636840416086E-3</v>
      </c>
      <c r="H361" s="25">
        <f>(+B361/(D361*(1-VLOOKUP(A361,FX!A:K,9,0)))-1)</f>
        <v>1.4453434268162368E-3</v>
      </c>
      <c r="I361" s="25">
        <f t="shared" si="199"/>
        <v>-4.9669506743588165E-4</v>
      </c>
      <c r="J361">
        <v>11410.03</v>
      </c>
      <c r="K361">
        <v>11485.94</v>
      </c>
      <c r="L361" s="25">
        <f t="shared" ref="L361" si="213">+K361/J361-1</f>
        <v>6.652918528698093E-3</v>
      </c>
      <c r="M361">
        <f t="shared" ref="M361" si="214">WEEKDAY(A361,2)</f>
        <v>4</v>
      </c>
    </row>
    <row r="362" spans="1:14" x14ac:dyDescent="0.15">
      <c r="A362" s="1">
        <v>42916</v>
      </c>
      <c r="B362">
        <v>13.06</v>
      </c>
      <c r="C362" s="93">
        <f t="shared" si="83"/>
        <v>-1.5290519877675379E-3</v>
      </c>
      <c r="D362" s="26">
        <f t="shared" ref="D362:D425" si="215">+(F361-O362)*(1+L362)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216">+B362/D362-1</f>
        <v>2.121344757091137E-4</v>
      </c>
      <c r="H362" s="25">
        <f>(+B362/(D362*(1-VLOOKUP(A362,FX!A:K,9,0)))-1)</f>
        <v>-2.5153770294664701E-3</v>
      </c>
      <c r="I362" s="25">
        <f t="shared" si="199"/>
        <v>-1.9563489637463016E-3</v>
      </c>
      <c r="J362">
        <v>11485.94</v>
      </c>
      <c r="K362">
        <v>11460.25</v>
      </c>
      <c r="L362" s="25">
        <f t="shared" ref="L362" si="217">+K362/J362-1</f>
        <v>-2.2366475882688031E-3</v>
      </c>
      <c r="M362">
        <f t="shared" ref="M362" si="218">WEEKDAY(A362,2)</f>
        <v>5</v>
      </c>
      <c r="N362" s="50" t="s">
        <v>377</v>
      </c>
    </row>
    <row r="363" spans="1:14" x14ac:dyDescent="0.15">
      <c r="A363" s="1">
        <v>42919</v>
      </c>
      <c r="B363">
        <v>12.94</v>
      </c>
      <c r="C363" s="93">
        <f t="shared" si="83"/>
        <v>-9.1883614088821286E-3</v>
      </c>
      <c r="D363" s="26">
        <f t="shared" si="215"/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219">+B363/D363-1</f>
        <v>-3.2555827264864057E-3</v>
      </c>
      <c r="H363" s="25">
        <f>(+B363/(D363*(1-VLOOKUP(A363,FX!A:K,9,0)))-1)</f>
        <v>-1.0060619042023822E-3</v>
      </c>
      <c r="I363" s="25">
        <f t="shared" si="199"/>
        <v>-2.2053267122126297E-3</v>
      </c>
      <c r="J363">
        <v>11460.25</v>
      </c>
      <c r="K363">
        <v>11369.75</v>
      </c>
      <c r="L363" s="25">
        <f t="shared" ref="L363" si="220">+K363/J363-1</f>
        <v>-7.8968608887240999E-3</v>
      </c>
      <c r="M363">
        <f t="shared" ref="M363" si="221">WEEKDAY(A363,2)</f>
        <v>1</v>
      </c>
    </row>
    <row r="364" spans="1:14" x14ac:dyDescent="0.15">
      <c r="A364" s="1">
        <v>42920</v>
      </c>
      <c r="B364">
        <v>12.78</v>
      </c>
      <c r="C364" s="93">
        <f t="shared" si="83"/>
        <v>-1.2364760432766575E-2</v>
      </c>
      <c r="D364" s="26">
        <f t="shared" si="215"/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222">+B364/D364-1</f>
        <v>-4.5911377804723763E-3</v>
      </c>
      <c r="H364" s="25">
        <f>(+B364/(D364*(1-VLOOKUP(A364,FX!A:K,9,0)))-1)</f>
        <v>-2.2570443652528693E-3</v>
      </c>
      <c r="I364" s="25">
        <f t="shared" si="199"/>
        <v>-2.6222138977336495E-3</v>
      </c>
      <c r="J364">
        <v>11369.75</v>
      </c>
      <c r="K364">
        <v>11256.08</v>
      </c>
      <c r="L364" s="25">
        <f t="shared" ref="L364" si="223">+K364/J364-1</f>
        <v>-9.997581301259939E-3</v>
      </c>
      <c r="M364">
        <f t="shared" ref="M364" si="224">WEEKDAY(A364,2)</f>
        <v>2</v>
      </c>
    </row>
    <row r="365" spans="1:14" x14ac:dyDescent="0.15">
      <c r="A365" s="1">
        <v>42921</v>
      </c>
      <c r="B365">
        <v>13.02</v>
      </c>
      <c r="C365" s="93">
        <f t="shared" si="83"/>
        <v>1.8779342723004744E-2</v>
      </c>
      <c r="D365" s="26">
        <f t="shared" si="215"/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225">+B365/D365-1</f>
        <v>1.1485763533007898E-3</v>
      </c>
      <c r="H365" s="25">
        <f>(+B365/(D365*(1-VLOOKUP(A365,FX!A:K,9,0)))-1)</f>
        <v>3.5684681095360382E-4</v>
      </c>
      <c r="I365" s="25">
        <f t="shared" si="199"/>
        <v>1.1841963612875261E-3</v>
      </c>
      <c r="J365">
        <v>11256.08</v>
      </c>
      <c r="K365">
        <v>11424.27</v>
      </c>
      <c r="L365" s="25">
        <f t="shared" ref="L365" si="226">+K365/J365-1</f>
        <v>1.4942146821984359E-2</v>
      </c>
      <c r="M365">
        <f t="shared" ref="M365" si="227">WEEKDAY(A365,2)</f>
        <v>3</v>
      </c>
    </row>
    <row r="366" spans="1:14" x14ac:dyDescent="0.15">
      <c r="A366" s="1">
        <v>42922</v>
      </c>
      <c r="B366">
        <v>13.02</v>
      </c>
      <c r="C366" s="93">
        <f t="shared" si="83"/>
        <v>0</v>
      </c>
      <c r="D366" s="26">
        <f t="shared" si="215"/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228">+B366/D366-1</f>
        <v>-1.1289543448245176E-4</v>
      </c>
      <c r="H366" s="25">
        <f>(+B366/(D366*(1-VLOOKUP(A366,FX!A:K,9,0)))-1)</f>
        <v>1.3434855603131624E-3</v>
      </c>
      <c r="I366" s="25">
        <f t="shared" si="199"/>
        <v>-3.7620250443393122E-4</v>
      </c>
      <c r="J366">
        <v>11424.27</v>
      </c>
      <c r="K366">
        <v>11439.09</v>
      </c>
      <c r="L366" s="25">
        <f t="shared" ref="L366" si="229">+K366/J366-1</f>
        <v>1.2972382480456179E-3</v>
      </c>
      <c r="M366">
        <f t="shared" ref="M366" si="230">WEEKDAY(A366,2)</f>
        <v>4</v>
      </c>
    </row>
    <row r="367" spans="1:14" x14ac:dyDescent="0.15">
      <c r="A367" s="1">
        <v>42923</v>
      </c>
      <c r="B367">
        <v>12.94</v>
      </c>
      <c r="C367" s="93">
        <f t="shared" si="83"/>
        <v>-6.1443932411674451E-3</v>
      </c>
      <c r="D367" s="26">
        <f t="shared" si="215"/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231">+B367/D367-1</f>
        <v>-3.7240790128678647E-5</v>
      </c>
      <c r="H367" s="25">
        <f>(+B367/(D367*(1-VLOOKUP(A367,FX!A:K,9,0)))-1)</f>
        <v>-4.6256477846084998E-4</v>
      </c>
      <c r="I367" s="25">
        <f t="shared" si="199"/>
        <v>-2.3976378256277409E-3</v>
      </c>
      <c r="J367">
        <v>11439.09</v>
      </c>
      <c r="K367">
        <v>11364.95</v>
      </c>
      <c r="L367" s="25">
        <f t="shared" ref="L367" si="232">+K367/J367-1</f>
        <v>-6.4812847875136415E-3</v>
      </c>
      <c r="M367">
        <f t="shared" ref="M367" si="233">WEEKDAY(A367,2)</f>
        <v>5</v>
      </c>
      <c r="N367" s="50" t="s">
        <v>376</v>
      </c>
    </row>
    <row r="368" spans="1:14" x14ac:dyDescent="0.15">
      <c r="A368" s="1">
        <v>42926</v>
      </c>
      <c r="B368">
        <v>13</v>
      </c>
      <c r="C368" s="93">
        <f t="shared" si="83"/>
        <v>4.6367851622874934E-3</v>
      </c>
      <c r="D368" s="26">
        <f t="shared" si="215"/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234">+B368/D368-1</f>
        <v>-5.8248686642226044E-4</v>
      </c>
      <c r="H368" s="25">
        <f>(+B368/(D368*(1-VLOOKUP(A368,FX!A:K,9,0)))-1)</f>
        <v>-7.6980554676508994E-4</v>
      </c>
      <c r="I368" s="25">
        <f t="shared" si="199"/>
        <v>-5.8427380915770932E-4</v>
      </c>
      <c r="J368">
        <v>11364.95</v>
      </c>
      <c r="K368">
        <v>11396.91</v>
      </c>
      <c r="L368" s="25">
        <f t="shared" ref="L368" si="235">+K368/J368-1</f>
        <v>2.8121549148918401E-3</v>
      </c>
      <c r="M368">
        <f t="shared" ref="M368" si="236">WEEKDAY(A368,2)</f>
        <v>1</v>
      </c>
    </row>
    <row r="369" spans="1:14" x14ac:dyDescent="0.15">
      <c r="A369" s="1">
        <v>42927</v>
      </c>
      <c r="B369">
        <v>13.16</v>
      </c>
      <c r="C369" s="93">
        <f t="shared" si="83"/>
        <v>1.2307692307692353E-2</v>
      </c>
      <c r="D369" s="26">
        <f t="shared" si="215"/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237">+B369/D369-1</f>
        <v>-2.7928778629882078E-4</v>
      </c>
      <c r="H369" s="25">
        <f>(+B369/(D369*(1-VLOOKUP(A369,FX!A:K,9,0)))-1)</f>
        <v>6.5829273586315296E-4</v>
      </c>
      <c r="I369" s="25">
        <f t="shared" si="199"/>
        <v>-1.2219093662009239E-3</v>
      </c>
      <c r="J369">
        <v>11396.91</v>
      </c>
      <c r="K369">
        <v>11533.66</v>
      </c>
      <c r="L369" s="25">
        <f t="shared" ref="L369" si="238">+K369/J369-1</f>
        <v>1.1998866359390403E-2</v>
      </c>
      <c r="M369">
        <f t="shared" ref="M369" si="239">WEEKDAY(A369,2)</f>
        <v>2</v>
      </c>
    </row>
    <row r="370" spans="1:14" x14ac:dyDescent="0.15">
      <c r="A370" s="1">
        <v>42928</v>
      </c>
      <c r="B370">
        <v>13.14</v>
      </c>
      <c r="C370" s="93">
        <f t="shared" si="83"/>
        <v>-1.5197568389057059E-3</v>
      </c>
      <c r="D370" s="26">
        <f t="shared" si="215"/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240">+B370/D370-1</f>
        <v>4.0704684218795251E-4</v>
      </c>
      <c r="H370" s="25">
        <f>(+B370/(D370*(1-VLOOKUP(A370,FX!A:K,9,0)))-1)</f>
        <v>-2.1307678641577787E-3</v>
      </c>
      <c r="I370" s="25">
        <f t="shared" si="199"/>
        <v>-2.7095334593228992E-3</v>
      </c>
      <c r="J370">
        <v>11533.66</v>
      </c>
      <c r="K370">
        <v>11497.38</v>
      </c>
      <c r="L370" s="25">
        <f t="shared" ref="L370" si="241">+K370/J370-1</f>
        <v>-3.1455756455454065E-3</v>
      </c>
      <c r="M370">
        <f t="shared" ref="M370" si="242">WEEKDAY(A370,2)</f>
        <v>3</v>
      </c>
    </row>
    <row r="371" spans="1:14" x14ac:dyDescent="0.15">
      <c r="A371" s="1">
        <v>42929</v>
      </c>
      <c r="B371">
        <v>13.4</v>
      </c>
      <c r="C371" s="93">
        <f t="shared" si="83"/>
        <v>1.9786910197869156E-2</v>
      </c>
      <c r="D371" s="26">
        <f t="shared" si="215"/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243">+B371/D371-1</f>
        <v>4.0416036127151056E-3</v>
      </c>
      <c r="H371" s="25">
        <f>(+B371/(D371*(1-VLOOKUP(A371,FX!A:K,9,0)))-1)</f>
        <v>2.0214438245387267E-3</v>
      </c>
      <c r="I371" s="25">
        <f t="shared" si="199"/>
        <v>8.2904495514957155E-4</v>
      </c>
      <c r="J371">
        <v>11497.38</v>
      </c>
      <c r="K371">
        <v>11646.04</v>
      </c>
      <c r="L371" s="25">
        <f t="shared" ref="L371" si="244">+K371/J371-1</f>
        <v>1.2929902290782946E-2</v>
      </c>
      <c r="M371">
        <f t="shared" ref="M371" si="245">WEEKDAY(A371,2)</f>
        <v>4</v>
      </c>
    </row>
    <row r="372" spans="1:14" x14ac:dyDescent="0.15">
      <c r="A372" s="1">
        <v>42930</v>
      </c>
      <c r="B372">
        <v>13.44</v>
      </c>
      <c r="C372" s="93">
        <f t="shared" si="83"/>
        <v>2.9850746268655914E-3</v>
      </c>
      <c r="D372" s="26">
        <f t="shared" si="215"/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246">+B372/D372-1</f>
        <v>-4.0510843051115852E-3</v>
      </c>
      <c r="H372" s="25">
        <f>(+B372/(D372*(1-VLOOKUP(A372,FX!A:K,9,0)))-1)</f>
        <v>-3.3387146925081268E-3</v>
      </c>
      <c r="I372" s="25">
        <f t="shared" si="199"/>
        <v>-4.9972237645753426E-3</v>
      </c>
      <c r="J372">
        <v>11646.04</v>
      </c>
      <c r="K372">
        <v>11738.04</v>
      </c>
      <c r="L372" s="25">
        <f t="shared" ref="L372" si="247">+K372/J372-1</f>
        <v>7.8996809215836628E-3</v>
      </c>
      <c r="M372">
        <f t="shared" ref="M372" si="248">WEEKDAY(A372,2)</f>
        <v>5</v>
      </c>
      <c r="N372" s="50" t="s">
        <v>375</v>
      </c>
    </row>
    <row r="373" spans="1:14" x14ac:dyDescent="0.15">
      <c r="A373" s="1">
        <v>42933</v>
      </c>
      <c r="B373">
        <v>13.5</v>
      </c>
      <c r="C373" s="93">
        <f t="shared" si="83"/>
        <v>4.4642857142858094E-3</v>
      </c>
      <c r="D373" s="26">
        <f t="shared" si="215"/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249">+B373/D373-1</f>
        <v>-3.4037468594353415E-3</v>
      </c>
      <c r="H373" s="25">
        <f>(+B373/(D373*(1-VLOOKUP(A373,FX!A:K,9,0)))-1)</f>
        <v>-5.5479323419375115E-3</v>
      </c>
      <c r="I373" s="25">
        <f t="shared" si="199"/>
        <v>-4.1971247114016563E-3</v>
      </c>
      <c r="J373">
        <v>11738.04</v>
      </c>
      <c r="K373">
        <v>11771.59</v>
      </c>
      <c r="L373" s="25">
        <f t="shared" ref="L373" si="250">+K373/J373-1</f>
        <v>2.8582284606288866E-3</v>
      </c>
      <c r="M373">
        <f t="shared" ref="M373" si="251">WEEKDAY(A373,2)</f>
        <v>1</v>
      </c>
    </row>
    <row r="374" spans="1:14" x14ac:dyDescent="0.15">
      <c r="A374" s="1">
        <v>42934</v>
      </c>
      <c r="B374">
        <v>13.5</v>
      </c>
      <c r="C374" s="93">
        <f t="shared" si="83"/>
        <v>0</v>
      </c>
      <c r="D374" s="26">
        <f t="shared" si="215"/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252">+B374/D374-1</f>
        <v>-1.2734655986162968E-3</v>
      </c>
      <c r="H374" s="25">
        <f>(+B374/(D374*(1-VLOOKUP(A374,FX!A:K,9,0)))-1)</f>
        <v>-3.1447788763938611E-3</v>
      </c>
      <c r="I374" s="25">
        <f t="shared" si="199"/>
        <v>-4.2191602985867105E-3</v>
      </c>
      <c r="J374">
        <v>11771.59</v>
      </c>
      <c r="K374">
        <v>11737.13</v>
      </c>
      <c r="L374" s="25">
        <f t="shared" ref="L374" si="253">+K374/J374-1</f>
        <v>-2.9273870394739276E-3</v>
      </c>
      <c r="M374">
        <f t="shared" ref="M374" si="254">WEEKDAY(A374,2)</f>
        <v>2</v>
      </c>
    </row>
    <row r="375" spans="1:14" ht="27" x14ac:dyDescent="0.15">
      <c r="A375" s="1">
        <v>42935</v>
      </c>
      <c r="B375">
        <v>13.7</v>
      </c>
      <c r="C375" s="93">
        <f t="shared" si="83"/>
        <v>1.4814814814814836E-2</v>
      </c>
      <c r="D375" s="26">
        <f t="shared" si="215"/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255">+B375/D375-1</f>
        <v>-1.7196145737136126E-3</v>
      </c>
      <c r="H375" s="25">
        <f>(+B375/(D375*(1-VLOOKUP(A375,FX!A:K,9,0)))-1)</f>
        <v>-1.5754863648104189E-3</v>
      </c>
      <c r="I375" s="25">
        <f t="shared" si="199"/>
        <v>-1.6396429222080844E-3</v>
      </c>
      <c r="J375">
        <v>11737.13</v>
      </c>
      <c r="K375">
        <v>11881.19</v>
      </c>
      <c r="L375" s="25">
        <f t="shared" ref="L375" si="256">+K375/J375-1</f>
        <v>1.2273869336030252E-2</v>
      </c>
      <c r="M375">
        <f t="shared" ref="M375" si="257">WEEKDAY(A375,2)</f>
        <v>3</v>
      </c>
      <c r="N375" s="50" t="s">
        <v>385</v>
      </c>
    </row>
    <row r="376" spans="1:14" x14ac:dyDescent="0.15">
      <c r="A376" s="1">
        <v>42936</v>
      </c>
      <c r="B376">
        <v>13.74</v>
      </c>
      <c r="C376" s="93">
        <f t="shared" si="83"/>
        <v>2.9197080291971655E-3</v>
      </c>
      <c r="D376" s="26">
        <f t="shared" si="215"/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258">+B376/D376-1</f>
        <v>-1.6078370037498901E-3</v>
      </c>
      <c r="H376" s="25">
        <f>(+B376/(D376*(1-VLOOKUP(A376,FX!A:K,9,0)))-1)</f>
        <v>4.6733017414801736E-4</v>
      </c>
      <c r="I376" s="25">
        <f t="shared" si="199"/>
        <v>-5.9644171600647944E-4</v>
      </c>
      <c r="J376">
        <v>11881.19</v>
      </c>
      <c r="K376">
        <v>11915.5</v>
      </c>
      <c r="L376" s="25">
        <f t="shared" ref="L376" si="259">+K376/J376-1</f>
        <v>2.8877578761050682E-3</v>
      </c>
      <c r="M376">
        <f t="shared" ref="M376" si="260">WEEKDAY(A376,2)</f>
        <v>4</v>
      </c>
    </row>
    <row r="377" spans="1:14" x14ac:dyDescent="0.15">
      <c r="A377" s="1">
        <v>42937</v>
      </c>
      <c r="B377">
        <v>13.64</v>
      </c>
      <c r="C377" s="93">
        <f t="shared" ref="C377:C440" si="261">B377/(B376-O377)-1</f>
        <v>-7.2780203784570396E-3</v>
      </c>
      <c r="D377" s="26">
        <f t="shared" si="215"/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262">+B377/D377-1</f>
        <v>1.1172915752992729E-3</v>
      </c>
      <c r="H377" s="25">
        <f>(+B377/(D377*(1-VLOOKUP(A377,FX!A:K,9,0)))-1)</f>
        <v>-3.3260299277493299E-4</v>
      </c>
      <c r="I377" s="25">
        <f t="shared" si="199"/>
        <v>-1.4660606949123967E-4</v>
      </c>
      <c r="J377">
        <v>11915.5</v>
      </c>
      <c r="K377">
        <v>11808.53</v>
      </c>
      <c r="L377" s="25">
        <f t="shared" ref="L377" si="263">+K377/J377-1</f>
        <v>-8.9773824010741521E-3</v>
      </c>
      <c r="M377">
        <f t="shared" ref="M377" si="264">WEEKDAY(A377,2)</f>
        <v>5</v>
      </c>
    </row>
    <row r="378" spans="1:14" x14ac:dyDescent="0.15">
      <c r="A378" s="1">
        <v>42940</v>
      </c>
      <c r="B378">
        <v>13.72</v>
      </c>
      <c r="C378" s="93">
        <f t="shared" si="261"/>
        <v>5.8651026392961825E-3</v>
      </c>
      <c r="D378" s="26">
        <f t="shared" si="215"/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265">+B378/D378-1</f>
        <v>-1.3381406747897673E-3</v>
      </c>
      <c r="H378" s="25">
        <f>(+B378/(D378*(1-VLOOKUP(A378,FX!A:K,9,0)))-1)</f>
        <v>-2.0146342998677014E-3</v>
      </c>
      <c r="I378" s="25">
        <f t="shared" si="199"/>
        <v>-1.1066456986429385E-3</v>
      </c>
      <c r="J378">
        <v>11808.53</v>
      </c>
      <c r="K378">
        <v>11891.96</v>
      </c>
      <c r="L378" s="25">
        <f t="shared" ref="L378" si="266">+K378/J378-1</f>
        <v>7.0652316588091235E-3</v>
      </c>
      <c r="M378">
        <f t="shared" ref="M378" si="267">WEEKDAY(A378,2)</f>
        <v>1</v>
      </c>
    </row>
    <row r="379" spans="1:14" x14ac:dyDescent="0.15">
      <c r="A379" s="1">
        <v>42941</v>
      </c>
      <c r="B379">
        <v>13.72</v>
      </c>
      <c r="C379" s="93">
        <f t="shared" si="261"/>
        <v>0</v>
      </c>
      <c r="D379" s="26">
        <f t="shared" si="215"/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268">+B379/D379-1</f>
        <v>1.5910560701088983E-3</v>
      </c>
      <c r="H379" s="25">
        <f>(+B379/(D379*(1-VLOOKUP(A379,FX!A:K,9,0)))-1)</f>
        <v>4.5357690229486103E-4</v>
      </c>
      <c r="I379" s="25">
        <f t="shared" si="199"/>
        <v>-1.6032414627398239E-4</v>
      </c>
      <c r="J379">
        <v>11891.96</v>
      </c>
      <c r="K379">
        <v>11859.93</v>
      </c>
      <c r="L379" s="25">
        <f t="shared" ref="L379" si="269">+K379/J379-1</f>
        <v>-2.6934163922515131E-3</v>
      </c>
      <c r="M379">
        <f t="shared" ref="M379" si="270">WEEKDAY(A379,2)</f>
        <v>2</v>
      </c>
    </row>
    <row r="380" spans="1:14" x14ac:dyDescent="0.15">
      <c r="A380" s="1">
        <v>42942</v>
      </c>
      <c r="B380">
        <v>13.64</v>
      </c>
      <c r="C380" s="93">
        <f t="shared" si="261"/>
        <v>-5.8309037900874383E-3</v>
      </c>
      <c r="D380" s="26">
        <f t="shared" si="215"/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271">+B380/D380-1</f>
        <v>-1.5316763628192565E-3</v>
      </c>
      <c r="H380" s="25">
        <f>(+B380/(D380*(1-VLOOKUP(A380,FX!A:K,9,0)))-1)</f>
        <v>-2.2994528132869174E-4</v>
      </c>
      <c r="I380" s="25">
        <f t="shared" si="199"/>
        <v>-3.5910853139264898E-4</v>
      </c>
      <c r="J380">
        <v>11859.93</v>
      </c>
      <c r="K380">
        <v>11806.97</v>
      </c>
      <c r="L380" s="25">
        <f t="shared" ref="L380" si="272">+K380/J380-1</f>
        <v>-4.4654563728454555E-3</v>
      </c>
      <c r="M380">
        <f t="shared" ref="M380" si="273">WEEKDAY(A380,2)</f>
        <v>3</v>
      </c>
    </row>
    <row r="381" spans="1:14" x14ac:dyDescent="0.15">
      <c r="A381" s="1">
        <v>42943</v>
      </c>
      <c r="B381">
        <v>13.68</v>
      </c>
      <c r="C381" s="93">
        <f t="shared" si="261"/>
        <v>2.9325513196480912E-3</v>
      </c>
      <c r="D381" s="26">
        <f t="shared" si="215"/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274">+B381/D381-1</f>
        <v>3.6613143986496954E-3</v>
      </c>
      <c r="H381" s="25">
        <f>(+B381/(D381*(1-VLOOKUP(A381,FX!A:K,9,0)))-1)</f>
        <v>-2.230011258532727E-4</v>
      </c>
      <c r="I381" s="25">
        <f t="shared" si="199"/>
        <v>-2.1929343654858435E-5</v>
      </c>
      <c r="J381">
        <v>11806.97</v>
      </c>
      <c r="K381">
        <v>11794.16</v>
      </c>
      <c r="L381" s="25">
        <f t="shared" ref="L381" si="275">+K381/J381-1</f>
        <v>-1.084952362883862E-3</v>
      </c>
      <c r="M381">
        <f t="shared" ref="M381" si="276">WEEKDAY(A381,2)</f>
        <v>4</v>
      </c>
    </row>
    <row r="382" spans="1:14" x14ac:dyDescent="0.15">
      <c r="A382" s="1">
        <v>42944</v>
      </c>
      <c r="B382">
        <v>13.68</v>
      </c>
      <c r="C382" s="93">
        <f t="shared" si="261"/>
        <v>0</v>
      </c>
      <c r="D382" s="26">
        <f t="shared" si="215"/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277">+B382/D382-1</f>
        <v>-2.3126709370387966E-3</v>
      </c>
      <c r="H382" s="25">
        <f>(+B382/(D382*(1-VLOOKUP(A382,FX!A:K,9,0)))-1)</f>
        <v>2.4368169919974925E-4</v>
      </c>
      <c r="I382" s="25">
        <f t="shared" si="199"/>
        <v>-5.1873662061352466E-4</v>
      </c>
      <c r="J382">
        <v>11794.16</v>
      </c>
      <c r="K382">
        <v>11821.24</v>
      </c>
      <c r="L382" s="25">
        <f t="shared" ref="L382" si="278">+K382/J382-1</f>
        <v>2.2960516052012991E-3</v>
      </c>
      <c r="M382">
        <f t="shared" ref="M382" si="279">WEEKDAY(A382,2)</f>
        <v>5</v>
      </c>
    </row>
    <row r="383" spans="1:14" ht="27" x14ac:dyDescent="0.15">
      <c r="A383" s="1">
        <v>42947</v>
      </c>
      <c r="B383">
        <v>13.72</v>
      </c>
      <c r="C383" s="93">
        <f t="shared" si="261"/>
        <v>2.9239766081872176E-3</v>
      </c>
      <c r="D383" s="26">
        <f t="shared" si="215"/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280">+B383/D383-1</f>
        <v>3.6543389201588727E-3</v>
      </c>
      <c r="H383" s="25">
        <f>(+B383/(D383*(1-VLOOKUP(A383,FX!A:K,9,0)))-1)</f>
        <v>7.3751110888076177E-4</v>
      </c>
      <c r="I383" s="25">
        <f t="shared" si="199"/>
        <v>1.1456258254709528E-3</v>
      </c>
      <c r="J383">
        <v>11821.24</v>
      </c>
      <c r="K383">
        <v>11806.51</v>
      </c>
      <c r="L383" s="25">
        <f t="shared" ref="L383" si="281">+K383/J383-1</f>
        <v>-1.2460621728346277E-3</v>
      </c>
      <c r="M383">
        <f t="shared" ref="M383" si="282">WEEKDAY(A383,2)</f>
        <v>1</v>
      </c>
      <c r="N383" s="50" t="s">
        <v>393</v>
      </c>
    </row>
    <row r="384" spans="1:14" x14ac:dyDescent="0.15">
      <c r="A384" s="1">
        <v>42948</v>
      </c>
      <c r="B384">
        <v>13.9</v>
      </c>
      <c r="C384" s="93">
        <f t="shared" si="261"/>
        <v>1.3119533527696792E-2</v>
      </c>
      <c r="D384" s="26">
        <f t="shared" si="215"/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283">+B384/D384-1</f>
        <v>-6.1012722785469542E-4</v>
      </c>
      <c r="H384" s="25">
        <f>(+B384/(D384*(1-VLOOKUP(A384,FX!A:K,9,0)))-1)</f>
        <v>-9.9633156870049255E-4</v>
      </c>
      <c r="I384" s="25">
        <f t="shared" si="199"/>
        <v>-6.1703238168778762E-3</v>
      </c>
      <c r="J384">
        <v>11806.51</v>
      </c>
      <c r="K384">
        <v>11982.42</v>
      </c>
      <c r="L384" s="25">
        <f t="shared" ref="L384" si="284">+K384/J384-1</f>
        <v>1.4899407191456326E-2</v>
      </c>
      <c r="M384">
        <f t="shared" ref="M384" si="285">WEEKDAY(A384,2)</f>
        <v>2</v>
      </c>
    </row>
    <row r="385" spans="1:14" x14ac:dyDescent="0.15">
      <c r="A385" s="1">
        <v>42949</v>
      </c>
      <c r="B385">
        <v>13.92</v>
      </c>
      <c r="C385" s="93">
        <f t="shared" si="261"/>
        <v>1.4388489208632116E-3</v>
      </c>
      <c r="D385" s="26">
        <f t="shared" si="215"/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286">+B385/D385-1</f>
        <v>-3.7592790774887419E-3</v>
      </c>
      <c r="H385" s="25">
        <f>(+B385/(D385*(1-VLOOKUP(A385,FX!A:K,9,0)))-1)</f>
        <v>-2.6445078277498313E-3</v>
      </c>
      <c r="I385" s="25">
        <f t="shared" si="199"/>
        <v>1.2227576781989047E-3</v>
      </c>
      <c r="J385">
        <v>11982.42</v>
      </c>
      <c r="K385">
        <v>11970.62</v>
      </c>
      <c r="L385" s="25">
        <f t="shared" ref="L385" si="287">+K385/J385-1</f>
        <v>-9.847760302175157E-4</v>
      </c>
      <c r="M385">
        <f t="shared" ref="M385" si="288">WEEKDAY(A385,2)</f>
        <v>3</v>
      </c>
    </row>
    <row r="386" spans="1:14" x14ac:dyDescent="0.15">
      <c r="A386" s="1">
        <v>42950</v>
      </c>
      <c r="B386">
        <v>13.74</v>
      </c>
      <c r="C386" s="93">
        <f t="shared" si="261"/>
        <v>-1.2931034482758563E-2</v>
      </c>
      <c r="D386" s="26">
        <f t="shared" si="215"/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289">+B386/D386-1</f>
        <v>2.2455023945653352E-3</v>
      </c>
      <c r="H386" s="25">
        <f>(+B386/(D386*(1-VLOOKUP(A386,FX!A:K,9,0)))-1)</f>
        <v>1.8971733017389969E-3</v>
      </c>
      <c r="I386" s="25">
        <f t="shared" si="199"/>
        <v>1.8739563812955051E-3</v>
      </c>
      <c r="J386">
        <v>11970.62</v>
      </c>
      <c r="K386">
        <v>11803.77</v>
      </c>
      <c r="L386" s="25">
        <f t="shared" ref="L386" si="290">+K386/J386-1</f>
        <v>-1.3938292252197448E-2</v>
      </c>
      <c r="M386">
        <f t="shared" ref="M386" si="291">WEEKDAY(A386,2)</f>
        <v>4</v>
      </c>
    </row>
    <row r="387" spans="1:14" ht="40.5" x14ac:dyDescent="0.15">
      <c r="A387" s="1">
        <v>42951</v>
      </c>
      <c r="B387">
        <v>13.7</v>
      </c>
      <c r="C387" s="93">
        <f t="shared" si="261"/>
        <v>-2.9112081513829047E-3</v>
      </c>
      <c r="D387" s="26">
        <f t="shared" si="215"/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292">+B387/D387-1</f>
        <v>5.3803024017811119E-3</v>
      </c>
      <c r="H387" s="25">
        <f>(+B387/(D387*(1-VLOOKUP(A387,FX!A:K,9,0)))-1)</f>
        <v>4.4626456131591219E-3</v>
      </c>
      <c r="I387" s="25">
        <f t="shared" si="199"/>
        <v>4.7818816557632093E-3</v>
      </c>
      <c r="J387">
        <v>11803.77</v>
      </c>
      <c r="K387">
        <v>11728.36</v>
      </c>
      <c r="L387" s="25">
        <f t="shared" ref="L387" si="293">+K387/J387-1</f>
        <v>-6.3886368507688474E-3</v>
      </c>
      <c r="M387">
        <f t="shared" ref="M387" si="294">WEEKDAY(A387,2)</f>
        <v>5</v>
      </c>
      <c r="N387" s="50" t="s">
        <v>399</v>
      </c>
    </row>
    <row r="388" spans="1:14" x14ac:dyDescent="0.15">
      <c r="A388" s="1">
        <v>42954</v>
      </c>
      <c r="B388">
        <v>13.72</v>
      </c>
      <c r="C388" s="93">
        <f t="shared" si="261"/>
        <v>1.4598540145986938E-3</v>
      </c>
      <c r="D388" s="26">
        <f t="shared" si="215"/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295">+B388/D388-1</f>
        <v>2.3813594028148088E-3</v>
      </c>
      <c r="H388" s="25">
        <f>(+B388/(D388*(1-VLOOKUP(A388,FX!A:K,9,0)))-1)</f>
        <v>3.4658487894920764E-3</v>
      </c>
      <c r="I388" s="25">
        <f t="shared" si="199"/>
        <v>2.7114135161405706E-3</v>
      </c>
      <c r="J388">
        <v>11728.36</v>
      </c>
      <c r="K388">
        <v>11773.61</v>
      </c>
      <c r="L388" s="25">
        <f t="shared" ref="L388" si="296">+K388/J388-1</f>
        <v>3.8581694286328183E-3</v>
      </c>
      <c r="M388">
        <f t="shared" ref="M388" si="297">WEEKDAY(A388,2)</f>
        <v>1</v>
      </c>
    </row>
    <row r="389" spans="1:14" x14ac:dyDescent="0.15">
      <c r="A389" s="1">
        <v>42955</v>
      </c>
      <c r="B389">
        <v>13.72</v>
      </c>
      <c r="C389" s="93">
        <f t="shared" si="261"/>
        <v>0</v>
      </c>
      <c r="D389" s="26">
        <f t="shared" si="215"/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298">+B389/D389-1</f>
        <v>3.9879718477451309E-3</v>
      </c>
      <c r="H389" s="25">
        <f>(+B389/(D389*(1-VLOOKUP(A389,FX!A:K,9,0)))-1)</f>
        <v>1.9800611751752406E-4</v>
      </c>
      <c r="I389" s="25">
        <f t="shared" si="199"/>
        <v>5.1046452271585885E-4</v>
      </c>
      <c r="J389">
        <v>11773.61</v>
      </c>
      <c r="K389">
        <v>11758.64</v>
      </c>
      <c r="L389" s="25">
        <f t="shared" ref="L389" si="299">+K389/J389-1</f>
        <v>-1.2714876745536507E-3</v>
      </c>
      <c r="M389">
        <f t="shared" ref="M389" si="300">WEEKDAY(A389,2)</f>
        <v>2</v>
      </c>
    </row>
    <row r="390" spans="1:14" x14ac:dyDescent="0.15">
      <c r="A390" s="1">
        <v>42956</v>
      </c>
      <c r="B390">
        <v>13.64</v>
      </c>
      <c r="C390" s="93">
        <f t="shared" si="261"/>
        <v>-5.8309037900874383E-3</v>
      </c>
      <c r="D390" s="26">
        <f t="shared" si="215"/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301">+B390/D390-1</f>
        <v>3.5870035790330768E-4</v>
      </c>
      <c r="H390" s="25">
        <f>(+B390/(D390*(1-VLOOKUP(A390,FX!A:K,9,0)))-1)</f>
        <v>-5.0774876731096708E-4</v>
      </c>
      <c r="I390" s="25">
        <f t="shared" si="199"/>
        <v>-1.0399730485857184E-3</v>
      </c>
      <c r="J390">
        <v>11758.64</v>
      </c>
      <c r="K390">
        <v>11691.85</v>
      </c>
      <c r="L390" s="25">
        <f t="shared" ref="L390" si="302">+K390/J390-1</f>
        <v>-5.6800786485511345E-3</v>
      </c>
      <c r="M390">
        <f t="shared" ref="M390" si="303">WEEKDAY(A390,2)</f>
        <v>3</v>
      </c>
    </row>
    <row r="391" spans="1:14" x14ac:dyDescent="0.15">
      <c r="A391" s="1">
        <v>42957</v>
      </c>
      <c r="B391">
        <v>13.56</v>
      </c>
      <c r="C391" s="93">
        <f t="shared" si="261"/>
        <v>-5.8651026392961825E-3</v>
      </c>
      <c r="D391" s="26">
        <f t="shared" si="215"/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304">+B391/D391-1</f>
        <v>-2.9163895847815757E-3</v>
      </c>
      <c r="H391" s="25">
        <f>(+B391/(D391*(1-VLOOKUP(A391,FX!A:K,9,0)))-1)</f>
        <v>-5.8293116962704339E-3</v>
      </c>
      <c r="I391" s="25">
        <f t="shared" si="199"/>
        <v>-5.1941192006338399E-3</v>
      </c>
      <c r="J391">
        <v>11691.85</v>
      </c>
      <c r="K391">
        <v>11645.15</v>
      </c>
      <c r="L391" s="25">
        <f t="shared" ref="L391" si="305">+K391/J391-1</f>
        <v>-3.9942353006582332E-3</v>
      </c>
      <c r="M391">
        <f t="shared" ref="M391" si="306">WEEKDAY(A391,2)</f>
        <v>4</v>
      </c>
    </row>
    <row r="392" spans="1:14" x14ac:dyDescent="0.15">
      <c r="A392" s="1">
        <v>42958</v>
      </c>
      <c r="B392">
        <v>13.28</v>
      </c>
      <c r="C392" s="93">
        <f t="shared" si="261"/>
        <v>-2.0648967551622488E-2</v>
      </c>
      <c r="D392" s="26">
        <f t="shared" si="215"/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307">+B392/D392-1</f>
        <v>-1.0461705837096602E-2</v>
      </c>
      <c r="H392" s="25">
        <f>(+B392/(D392*(1-VLOOKUP(A392,FX!A:K,9,0)))-1)</f>
        <v>-8.766240079657539E-3</v>
      </c>
      <c r="I392" s="25">
        <f t="shared" si="199"/>
        <v>-9.7681008127656899E-3</v>
      </c>
      <c r="J392">
        <v>11645.15</v>
      </c>
      <c r="K392">
        <v>11465.4</v>
      </c>
      <c r="L392" s="25">
        <f t="shared" ref="L392" si="308">+K392/J392-1</f>
        <v>-1.5435610533140354E-2</v>
      </c>
      <c r="M392">
        <f t="shared" ref="M392" si="309">WEEKDAY(A392,2)</f>
        <v>5</v>
      </c>
    </row>
    <row r="393" spans="1:14" x14ac:dyDescent="0.15">
      <c r="A393" s="1">
        <v>42961</v>
      </c>
      <c r="B393">
        <v>13.46</v>
      </c>
      <c r="C393" s="93">
        <f t="shared" si="261"/>
        <v>1.3554216867470048E-2</v>
      </c>
      <c r="D393" s="26">
        <f t="shared" si="215"/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310">+B393/D393-1</f>
        <v>-4.4019660539413863E-3</v>
      </c>
      <c r="H393" s="25">
        <f>(+B393/(D393*(1-VLOOKUP(A393,FX!A:K,9,0)))-1)</f>
        <v>-5.6131673324599785E-3</v>
      </c>
      <c r="I393" s="25">
        <f t="shared" si="199"/>
        <v>-5.9891737008070933E-3</v>
      </c>
      <c r="J393">
        <v>11465.4</v>
      </c>
      <c r="K393">
        <v>11558.17</v>
      </c>
      <c r="L393" s="25">
        <f t="shared" ref="L393" si="311">+K393/J393-1</f>
        <v>8.0913007832261741E-3</v>
      </c>
      <c r="M393">
        <f t="shared" ref="M393" si="312">WEEKDAY(A393,2)</f>
        <v>1</v>
      </c>
    </row>
    <row r="394" spans="1:14" x14ac:dyDescent="0.15">
      <c r="A394" s="1">
        <v>42962</v>
      </c>
      <c r="B394">
        <v>13.56</v>
      </c>
      <c r="C394" s="93">
        <f t="shared" si="261"/>
        <v>7.429420505200568E-3</v>
      </c>
      <c r="D394" s="26">
        <f t="shared" si="215"/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313">+B394/D394-1</f>
        <v>-4.8071080371107078E-3</v>
      </c>
      <c r="H394" s="25">
        <f>(+B394/(D394*(1-VLOOKUP(A394,FX!A:K,9,0)))-1)</f>
        <v>-3.6605384175342204E-3</v>
      </c>
      <c r="I394" s="25">
        <f t="shared" si="199"/>
        <v>-2.9118503485396907E-3</v>
      </c>
      <c r="J394">
        <v>11558.17</v>
      </c>
      <c r="K394">
        <v>11630.21</v>
      </c>
      <c r="L394" s="25">
        <f t="shared" ref="L394" si="314">+K394/J394-1</f>
        <v>6.232820593571331E-3</v>
      </c>
      <c r="M394">
        <f t="shared" ref="M394" si="315">WEEKDAY(A394,2)</f>
        <v>2</v>
      </c>
    </row>
    <row r="395" spans="1:14" x14ac:dyDescent="0.15">
      <c r="A395" s="1">
        <v>42963</v>
      </c>
      <c r="B395">
        <v>13.58</v>
      </c>
      <c r="C395" s="93">
        <f t="shared" si="261"/>
        <v>1.4749262536872809E-3</v>
      </c>
      <c r="D395" s="26">
        <f t="shared" si="215"/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316">+B395/D395-1</f>
        <v>1.2577375715776551E-3</v>
      </c>
      <c r="H395" s="25">
        <f>(+B395/(D395*(1-VLOOKUP(A395,FX!A:K,9,0)))-1)</f>
        <v>2.2931114543331965E-3</v>
      </c>
      <c r="I395" s="25">
        <f t="shared" si="199"/>
        <v>3.1913007505466329E-3</v>
      </c>
      <c r="J395">
        <v>11630.21</v>
      </c>
      <c r="K395">
        <v>11598.86</v>
      </c>
      <c r="L395" s="25">
        <f t="shared" ref="L395" si="317">+K395/J395-1</f>
        <v>-2.6955661161749411E-3</v>
      </c>
      <c r="M395">
        <f t="shared" ref="M395" si="318">WEEKDAY(A395,2)</f>
        <v>3</v>
      </c>
    </row>
    <row r="396" spans="1:14" x14ac:dyDescent="0.15">
      <c r="A396" s="1">
        <v>42964</v>
      </c>
      <c r="B396">
        <v>13.64</v>
      </c>
      <c r="C396" s="93">
        <f t="shared" si="261"/>
        <v>4.4182621502208974E-3</v>
      </c>
      <c r="D396" s="26">
        <f t="shared" si="215"/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319">+B396/D396-1</f>
        <v>6.0762349644616354E-3</v>
      </c>
      <c r="H396" s="25">
        <f>(+B396/(D396*(1-VLOOKUP(A396,FX!A:K,9,0)))-1)</f>
        <v>3.4785972325259706E-3</v>
      </c>
      <c r="I396" s="25">
        <f t="shared" si="199"/>
        <v>2.6536507913172969E-3</v>
      </c>
      <c r="J396">
        <v>11598.86</v>
      </c>
      <c r="K396">
        <v>11616.7</v>
      </c>
      <c r="L396" s="25">
        <f t="shared" ref="L396" si="320">+K396/J396-1</f>
        <v>1.5380821908359543E-3</v>
      </c>
      <c r="M396">
        <f t="shared" ref="M396" si="321">WEEKDAY(A396,2)</f>
        <v>4</v>
      </c>
    </row>
    <row r="397" spans="1:14" x14ac:dyDescent="0.15">
      <c r="A397" s="1">
        <v>42965</v>
      </c>
      <c r="B397">
        <v>13.66</v>
      </c>
      <c r="C397" s="93">
        <f t="shared" si="261"/>
        <v>1.4662756598240456E-3</v>
      </c>
      <c r="D397" s="26">
        <f t="shared" si="215"/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322">+B397/D397-1</f>
        <v>1.5889568176259417E-3</v>
      </c>
      <c r="H397" s="25">
        <f>(+B397/(D397*(1-VLOOKUP(A397,FX!A:K,9,0)))-1)</f>
        <v>2.2406314195089205E-3</v>
      </c>
      <c r="I397" s="25">
        <f t="shared" si="199"/>
        <v>-1.2283575105287436E-3</v>
      </c>
      <c r="J397">
        <v>11616.7</v>
      </c>
      <c r="K397">
        <v>11646.1</v>
      </c>
      <c r="L397" s="25">
        <f t="shared" ref="L397" si="323">+K397/J397-1</f>
        <v>2.5308392228429177E-3</v>
      </c>
      <c r="M397">
        <f t="shared" ref="M397" si="324">WEEKDAY(A397,2)</f>
        <v>5</v>
      </c>
    </row>
    <row r="398" spans="1:14" x14ac:dyDescent="0.15">
      <c r="A398" s="1">
        <v>42968</v>
      </c>
      <c r="B398">
        <v>13.7</v>
      </c>
      <c r="C398" s="93">
        <f t="shared" si="261"/>
        <v>2.9282576866762611E-3</v>
      </c>
      <c r="D398" s="26">
        <f t="shared" si="215"/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325">+B398/D398-1</f>
        <v>-5.5299105033834728E-4</v>
      </c>
      <c r="H398" s="25">
        <f>(+B398/(D398*(1-VLOOKUP(A398,FX!A:K,9,0)))-1)</f>
        <v>-8.7365137068862175E-4</v>
      </c>
      <c r="I398" s="25">
        <f t="shared" si="199"/>
        <v>-2.1050484743861952E-3</v>
      </c>
      <c r="J398">
        <v>11646.1</v>
      </c>
      <c r="K398">
        <v>11672.31</v>
      </c>
      <c r="L398" s="25">
        <f t="shared" ref="L398" si="326">+K398/J398-1</f>
        <v>2.2505388069824495E-3</v>
      </c>
      <c r="M398">
        <f t="shared" ref="M398" si="327">WEEKDAY(A398,2)</f>
        <v>1</v>
      </c>
    </row>
    <row r="399" spans="1:14" x14ac:dyDescent="0.15">
      <c r="A399" s="1">
        <v>42969</v>
      </c>
      <c r="B399">
        <v>13.86</v>
      </c>
      <c r="C399" s="93">
        <f t="shared" si="261"/>
        <v>1.167883211678844E-2</v>
      </c>
      <c r="D399" s="26">
        <f t="shared" si="215"/>
        <v>13.863785918211562</v>
      </c>
      <c r="E399" s="26">
        <f>D399*(1-VLOOKUP(A399,FX!A:K,9,0))</f>
        <v>13.904530011598684</v>
      </c>
      <c r="F399">
        <v>13.9069</v>
      </c>
      <c r="G399" s="93">
        <f t="shared" ref="G399" si="328">+B399/D399-1</f>
        <v>-2.7307967923750898E-4</v>
      </c>
      <c r="H399" s="93">
        <f>(+B399/(D399*(1-VLOOKUP(A399,FX!A:K,9,0)))-1)</f>
        <v>-3.2025542439434451E-3</v>
      </c>
      <c r="I399" s="93">
        <f t="shared" si="199"/>
        <v>-3.3724266371369938E-3</v>
      </c>
      <c r="J399">
        <v>11672.31</v>
      </c>
      <c r="K399" s="92">
        <v>11786.99</v>
      </c>
      <c r="L399" s="93">
        <f t="shared" ref="L399" si="329">+K399/J399-1</f>
        <v>9.8249618113295245E-3</v>
      </c>
      <c r="M399" s="92">
        <f t="shared" ref="M399" si="330">WEEKDAY(A399,2)</f>
        <v>2</v>
      </c>
    </row>
    <row r="400" spans="1:14" ht="148.5" x14ac:dyDescent="0.15">
      <c r="A400" s="1">
        <v>42970</v>
      </c>
      <c r="B400">
        <v>13.86</v>
      </c>
      <c r="C400" s="93">
        <f t="shared" si="261"/>
        <v>0</v>
      </c>
      <c r="D400" s="26">
        <f t="shared" si="215"/>
        <v>14.014290100271573</v>
      </c>
      <c r="E400" s="26">
        <f>D400*(1-VLOOKUP(A400,FX!A:K,9,0))</f>
        <v>14.011040777997593</v>
      </c>
      <c r="F400">
        <v>14.01</v>
      </c>
      <c r="G400" s="93">
        <f t="shared" ref="G400" si="331">+B400/D400-1</f>
        <v>-1.1009483831691425E-2</v>
      </c>
      <c r="H400" s="93">
        <f>(+B400/(D400*(1-VLOOKUP(A400,FX!A:K,9,0)))-1)</f>
        <v>-1.0780125501795856E-2</v>
      </c>
      <c r="I400" s="93">
        <f t="shared" si="199"/>
        <v>-1.0706638115631772E-2</v>
      </c>
      <c r="J400">
        <v>11786.99</v>
      </c>
      <c r="K400" s="92">
        <v>11878.01</v>
      </c>
      <c r="L400" s="93">
        <f t="shared" ref="L400" si="332">+K400/J400-1</f>
        <v>7.7220732349820853E-3</v>
      </c>
      <c r="M400" s="92">
        <f t="shared" ref="M400" si="333">WEEKDAY(A400,2)</f>
        <v>3</v>
      </c>
      <c r="N400" s="50" t="s">
        <v>419</v>
      </c>
    </row>
    <row r="401" spans="1:13" x14ac:dyDescent="0.15">
      <c r="A401" s="1">
        <v>42971</v>
      </c>
      <c r="B401">
        <v>13.94</v>
      </c>
      <c r="C401" s="93">
        <f t="shared" si="261"/>
        <v>5.7720057720058726E-3</v>
      </c>
      <c r="D401" s="26">
        <f t="shared" si="215"/>
        <v>13.960095756780809</v>
      </c>
      <c r="E401" s="26">
        <f>D401*(1-VLOOKUP(A401,FX!A:K,9,0))</f>
        <v>13.976779896294389</v>
      </c>
      <c r="F401">
        <v>13.9648</v>
      </c>
      <c r="G401" s="93">
        <f t="shared" ref="G401" si="334">+B401/D401-1</f>
        <v>-1.4395142505414515E-3</v>
      </c>
      <c r="H401" s="93">
        <f>(+B401/(D401*(1-VLOOKUP(A401,FX!A:K,9,0)))-1)</f>
        <v>-2.6314999998061639E-3</v>
      </c>
      <c r="I401" s="93">
        <f t="shared" si="199"/>
        <v>-1.7758936755271071E-3</v>
      </c>
      <c r="J401">
        <v>11878.01</v>
      </c>
      <c r="K401">
        <v>11835.7</v>
      </c>
      <c r="L401" s="93">
        <f t="shared" ref="L401" si="335">+K401/J401-1</f>
        <v>-3.5620444838823095E-3</v>
      </c>
      <c r="M401" s="92">
        <f t="shared" ref="M401" si="336">WEEKDAY(A401,2)</f>
        <v>4</v>
      </c>
    </row>
    <row r="402" spans="1:13" x14ac:dyDescent="0.15">
      <c r="A402" s="1">
        <v>42972</v>
      </c>
      <c r="B402">
        <v>14.28</v>
      </c>
      <c r="C402" s="93">
        <f t="shared" si="261"/>
        <v>2.4390243902439046E-2</v>
      </c>
      <c r="D402" s="26">
        <f t="shared" si="215"/>
        <v>14.262509331598469</v>
      </c>
      <c r="E402" s="26">
        <f>D402*(1-VLOOKUP(A402,FX!A:K,9,0))</f>
        <v>14.255483063796069</v>
      </c>
      <c r="F402">
        <v>14.2624</v>
      </c>
      <c r="G402" s="93">
        <f t="shared" ref="G402" si="337">+B402/D402-1</f>
        <v>1.2263387875779408E-3</v>
      </c>
      <c r="H402" s="93">
        <f>(+B402/(D402*(1-VLOOKUP(A402,FX!A:K,9,0)))-1)</f>
        <v>1.7198250030681095E-3</v>
      </c>
      <c r="I402" s="93">
        <f t="shared" si="199"/>
        <v>1.2340139107023251E-3</v>
      </c>
      <c r="J402">
        <v>11835.7</v>
      </c>
      <c r="K402">
        <v>12088.02</v>
      </c>
      <c r="L402" s="93">
        <f t="shared" ref="L402" si="338">+K402/J402-1</f>
        <v>2.1318553190770251E-2</v>
      </c>
      <c r="M402" s="92">
        <f t="shared" ref="M402" si="339">WEEKDAY(A402,2)</f>
        <v>5</v>
      </c>
    </row>
    <row r="403" spans="1:13" x14ac:dyDescent="0.15">
      <c r="A403" s="90">
        <v>42975</v>
      </c>
      <c r="B403">
        <v>14.42</v>
      </c>
      <c r="C403" s="93">
        <f t="shared" si="261"/>
        <v>9.8039215686274161E-3</v>
      </c>
      <c r="D403" s="26">
        <f t="shared" si="215"/>
        <v>14.396021287853593</v>
      </c>
      <c r="E403" s="26">
        <f>D403*(1-VLOOKUP(A403,FX!A:K,9,0))</f>
        <v>14.453474212010287</v>
      </c>
      <c r="F403">
        <v>14.446899999999999</v>
      </c>
      <c r="G403" s="93">
        <f t="shared" ref="G403" si="340">+B403/D403-1</f>
        <v>1.6656485612895899E-3</v>
      </c>
      <c r="H403" s="93">
        <f>(+B403/(D403*(1-VLOOKUP(A403,FX!A:K,9,0)))-1)</f>
        <v>-2.3159976293084528E-3</v>
      </c>
      <c r="I403" s="93">
        <f t="shared" si="199"/>
        <v>-1.8619911538114708E-3</v>
      </c>
      <c r="J403">
        <v>12088.02</v>
      </c>
      <c r="K403">
        <v>12201.27</v>
      </c>
      <c r="L403" s="93">
        <f t="shared" ref="L403" si="341">+K403/J403-1</f>
        <v>9.3687799987094422E-3</v>
      </c>
      <c r="M403" s="92">
        <f t="shared" ref="M403" si="342">WEEKDAY(A403,2)</f>
        <v>1</v>
      </c>
    </row>
    <row r="404" spans="1:13" x14ac:dyDescent="0.15">
      <c r="A404" s="90">
        <v>42976</v>
      </c>
      <c r="B404">
        <v>14.5</v>
      </c>
      <c r="C404" s="93">
        <f t="shared" si="261"/>
        <v>5.5478502080443803E-3</v>
      </c>
      <c r="D404" s="26">
        <f t="shared" si="215"/>
        <v>14.464412082840553</v>
      </c>
      <c r="E404" s="26">
        <f>D404*(1-VLOOKUP(A404,FX!A:K,9,0))</f>
        <v>14.514500550023881</v>
      </c>
      <c r="F404">
        <v>14.5349</v>
      </c>
      <c r="G404" s="93">
        <f t="shared" ref="G404" si="343">+B404/D404-1</f>
        <v>2.4603777157086171E-3</v>
      </c>
      <c r="H404" s="93">
        <f>(+B404/(D404*(1-VLOOKUP(A404,FX!A:K,9,0)))-1)</f>
        <v>-9.9903885592922403E-4</v>
      </c>
      <c r="I404" s="93">
        <f t="shared" si="199"/>
        <v>-2.4011173107486572E-3</v>
      </c>
      <c r="J404">
        <v>12201.27</v>
      </c>
      <c r="K404">
        <v>12216.06</v>
      </c>
      <c r="L404" s="93">
        <f t="shared" ref="L404" si="344">+K404/J404-1</f>
        <v>1.2121688971720168E-3</v>
      </c>
      <c r="M404" s="92">
        <f t="shared" ref="M404" si="345">WEEKDAY(A404,2)</f>
        <v>2</v>
      </c>
    </row>
    <row r="405" spans="1:13" x14ac:dyDescent="0.15">
      <c r="A405" s="90">
        <v>42977</v>
      </c>
      <c r="B405">
        <v>14.52</v>
      </c>
      <c r="C405" s="93">
        <f t="shared" si="261"/>
        <v>1.3793103448276334E-3</v>
      </c>
      <c r="D405" s="26">
        <f t="shared" si="215"/>
        <v>14.481548517115995</v>
      </c>
      <c r="E405" s="26">
        <f>D405*(1-VLOOKUP(A405,FX!A:K,9,0))</f>
        <v>14.528979960823657</v>
      </c>
      <c r="F405">
        <v>14.505100000000001</v>
      </c>
      <c r="G405" s="93">
        <f t="shared" ref="G405" si="346">+B405/D405-1</f>
        <v>2.6552051970518686E-3</v>
      </c>
      <c r="H405" s="93">
        <f>(+B405/(D405*(1-VLOOKUP(A405,FX!A:K,9,0)))-1)</f>
        <v>-6.1807235248934056E-4</v>
      </c>
      <c r="I405" s="93">
        <f t="shared" si="199"/>
        <v>1.0272249071014983E-3</v>
      </c>
      <c r="J405">
        <v>12216.06</v>
      </c>
      <c r="K405">
        <v>12171.22</v>
      </c>
      <c r="L405" s="93">
        <f t="shared" ref="L405" si="347">+K405/J405-1</f>
        <v>-3.6705779113723747E-3</v>
      </c>
      <c r="M405" s="92">
        <f t="shared" ref="M405" si="348">WEEKDAY(A405,2)</f>
        <v>3</v>
      </c>
    </row>
    <row r="406" spans="1:13" x14ac:dyDescent="0.15">
      <c r="A406" s="90">
        <v>42978</v>
      </c>
      <c r="B406">
        <v>14.36</v>
      </c>
      <c r="C406" s="93">
        <f t="shared" si="261"/>
        <v>-1.1019283746556474E-2</v>
      </c>
      <c r="D406" s="26">
        <f t="shared" si="215"/>
        <v>14.397961316285468</v>
      </c>
      <c r="E406" s="26">
        <f>D406*(1-VLOOKUP(A406,FX!A:K,9,0))</f>
        <v>14.361066348693486</v>
      </c>
      <c r="F406">
        <v>14.3759</v>
      </c>
      <c r="G406" s="93">
        <f t="shared" ref="G406" si="349">+B406/D406-1</f>
        <v>-2.63657579372234E-3</v>
      </c>
      <c r="H406" s="93">
        <f>(+B406/(D406*(1-VLOOKUP(A406,FX!A:K,9,0)))-1)</f>
        <v>-7.4252751682601925E-5</v>
      </c>
      <c r="I406" s="93">
        <f t="shared" si="199"/>
        <v>-1.1060177101955837E-3</v>
      </c>
      <c r="J406">
        <v>12171.22</v>
      </c>
      <c r="K406">
        <v>12081.32</v>
      </c>
      <c r="L406" s="93">
        <f t="shared" ref="L406" si="350">+K406/J406-1</f>
        <v>-7.386276807090808E-3</v>
      </c>
      <c r="M406" s="92">
        <f t="shared" ref="M406" si="351">WEEKDAY(A406,2)</f>
        <v>4</v>
      </c>
    </row>
    <row r="407" spans="1:13" x14ac:dyDescent="0.15">
      <c r="A407" s="90">
        <v>42979</v>
      </c>
      <c r="B407">
        <v>14.4</v>
      </c>
      <c r="C407" s="93">
        <f t="shared" si="261"/>
        <v>2.7855153203342198E-3</v>
      </c>
      <c r="D407" s="26">
        <f t="shared" si="215"/>
        <v>14.36408401573669</v>
      </c>
      <c r="E407" s="26">
        <f>D407*(1-VLOOKUP(A407,FX!A:K,9,0))</f>
        <v>14.411404318644689</v>
      </c>
      <c r="F407">
        <v>14.411099999999999</v>
      </c>
      <c r="G407" s="93">
        <f t="shared" ref="G407" si="352">+B407/D407-1</f>
        <v>2.5004019904062424E-3</v>
      </c>
      <c r="H407" s="93">
        <f>(+B407/(D407*(1-VLOOKUP(A407,FX!A:K,9,0)))-1)</f>
        <v>-7.9133985783286231E-4</v>
      </c>
      <c r="I407" s="93">
        <f t="shared" si="199"/>
        <v>-7.7023960696953608E-4</v>
      </c>
      <c r="J407">
        <v>12081.32</v>
      </c>
      <c r="K407">
        <v>12071.39</v>
      </c>
      <c r="L407" s="93">
        <f t="shared" ref="L407" si="353">+K407/J407-1</f>
        <v>-8.2193005400077457E-4</v>
      </c>
      <c r="M407" s="92">
        <f t="shared" ref="M407" si="354">WEEKDAY(A407,2)</f>
        <v>5</v>
      </c>
    </row>
    <row r="408" spans="1:13" x14ac:dyDescent="0.15">
      <c r="A408" s="90">
        <v>42982</v>
      </c>
      <c r="B408">
        <v>14.52</v>
      </c>
      <c r="C408" s="93">
        <f t="shared" si="261"/>
        <v>8.3333333333333037E-3</v>
      </c>
      <c r="D408" s="26">
        <f t="shared" si="215"/>
        <v>14.455748970831031</v>
      </c>
      <c r="E408" s="26">
        <f>D408*(1-VLOOKUP(A408,FX!A:K,9,0))</f>
        <v>14.531367477750747</v>
      </c>
      <c r="F408">
        <v>14.5467</v>
      </c>
      <c r="G408" s="93">
        <f t="shared" ref="G408" si="355">+B408/D408-1</f>
        <v>4.444669681149982E-3</v>
      </c>
      <c r="H408" s="93">
        <f>(+B408/(D408*(1-VLOOKUP(A408,FX!A:K,9,0)))-1)</f>
        <v>-7.8227171449296584E-4</v>
      </c>
      <c r="I408" s="93">
        <f t="shared" si="199"/>
        <v>-1.8354678380663181E-3</v>
      </c>
      <c r="J408">
        <v>12071.39</v>
      </c>
      <c r="K408">
        <v>12108.79</v>
      </c>
      <c r="L408" s="93">
        <f t="shared" ref="L408" si="356">+K408/J408-1</f>
        <v>3.0982347517560793E-3</v>
      </c>
      <c r="M408" s="92">
        <f t="shared" ref="M408" si="357">WEEKDAY(A408,2)</f>
        <v>1</v>
      </c>
    </row>
    <row r="409" spans="1:13" x14ac:dyDescent="0.15">
      <c r="A409" s="90">
        <v>42983</v>
      </c>
      <c r="B409">
        <v>14.58</v>
      </c>
      <c r="C409" s="93">
        <f t="shared" si="261"/>
        <v>4.1322314049587749E-3</v>
      </c>
      <c r="D409" s="26">
        <f t="shared" si="215"/>
        <v>14.639767337776934</v>
      </c>
      <c r="E409" s="26">
        <f>D409*(1-VLOOKUP(A409,FX!A:K,9,0))</f>
        <v>14.654684231858088</v>
      </c>
      <c r="F409">
        <v>14.634600000000001</v>
      </c>
      <c r="G409" s="93">
        <f t="shared" ref="G409" si="358">+B409/D409-1</f>
        <v>-4.0825333079378412E-3</v>
      </c>
      <c r="H409" s="93">
        <f>(+B409/(D409*(1-VLOOKUP(A409,FX!A:K,9,0)))-1)</f>
        <v>-5.0962702898592616E-3</v>
      </c>
      <c r="I409" s="93">
        <f t="shared" si="199"/>
        <v>-3.7308843425853944E-3</v>
      </c>
      <c r="J409">
        <v>12108.79</v>
      </c>
      <c r="K409">
        <v>12186.26</v>
      </c>
      <c r="L409" s="93">
        <f t="shared" ref="L409" si="359">+K409/J409-1</f>
        <v>6.3978316578285899E-3</v>
      </c>
      <c r="M409" s="92">
        <f t="shared" ref="M409" si="360">WEEKDAY(A409,2)</f>
        <v>2</v>
      </c>
    </row>
    <row r="410" spans="1:13" x14ac:dyDescent="0.15">
      <c r="A410" s="90">
        <v>42984</v>
      </c>
      <c r="B410">
        <v>14.54</v>
      </c>
      <c r="C410" s="93">
        <f t="shared" si="261"/>
        <v>-2.743484224965731E-3</v>
      </c>
      <c r="D410" s="26">
        <f t="shared" si="215"/>
        <v>14.560491851478632</v>
      </c>
      <c r="E410" s="26">
        <f>D410*(1-VLOOKUP(A410,FX!A:K,9,0))</f>
        <v>14.563585540502906</v>
      </c>
      <c r="F410">
        <v>14.5503</v>
      </c>
      <c r="G410" s="93">
        <f t="shared" ref="G410" si="361">+B410/D410-1</f>
        <v>-1.4073598397400522E-3</v>
      </c>
      <c r="H410" s="93">
        <f>(+B410/(D410*(1-VLOOKUP(A410,FX!A:K,9,0)))-1)</f>
        <v>-1.6194872091981338E-3</v>
      </c>
      <c r="I410" s="93">
        <f t="shared" si="199"/>
        <v>-7.0788918441555548E-4</v>
      </c>
      <c r="J410">
        <v>12186.26</v>
      </c>
      <c r="K410">
        <v>12124.55</v>
      </c>
      <c r="L410" s="93">
        <f t="shared" ref="L410" si="362">+K410/J410-1</f>
        <v>-5.0638998347319886E-3</v>
      </c>
      <c r="M410" s="92">
        <f t="shared" ref="M410" si="363">WEEKDAY(A410,2)</f>
        <v>3</v>
      </c>
    </row>
    <row r="411" spans="1:13" x14ac:dyDescent="0.15">
      <c r="A411" s="90">
        <v>42985</v>
      </c>
      <c r="B411">
        <v>14.46</v>
      </c>
      <c r="C411" s="93">
        <f t="shared" si="261"/>
        <v>-5.5020632737274866E-3</v>
      </c>
      <c r="D411" s="26">
        <f t="shared" si="215"/>
        <v>14.43666543978952</v>
      </c>
      <c r="E411" s="26">
        <f>D411*(1-VLOOKUP(A411,FX!A:K,9,0))</f>
        <v>14.452973210964741</v>
      </c>
      <c r="F411">
        <v>14.4815</v>
      </c>
      <c r="G411" s="93">
        <f t="shared" ref="G411" si="364">+B411/D411-1</f>
        <v>1.6163400272590778E-3</v>
      </c>
      <c r="H411" s="93">
        <f>(+B411/(D411*(1-VLOOKUP(A411,FX!A:K,9,0)))-1)</f>
        <v>4.8618294192426248E-4</v>
      </c>
      <c r="I411" s="93">
        <f t="shared" si="199"/>
        <v>-1.4846528329247599E-3</v>
      </c>
      <c r="J411">
        <v>12124.55</v>
      </c>
      <c r="K411">
        <v>12029.86</v>
      </c>
      <c r="L411" s="93">
        <f t="shared" ref="L411" si="365">+K411/J411-1</f>
        <v>-7.8097743833790423E-3</v>
      </c>
      <c r="M411" s="92">
        <f t="shared" ref="M411" si="366">WEEKDAY(A411,2)</f>
        <v>4</v>
      </c>
    </row>
    <row r="412" spans="1:13" x14ac:dyDescent="0.15">
      <c r="A412" s="90">
        <v>42986</v>
      </c>
      <c r="B412">
        <v>14.54</v>
      </c>
      <c r="C412" s="93">
        <f t="shared" si="261"/>
        <v>5.5325034578146415E-3</v>
      </c>
      <c r="D412" s="26">
        <f t="shared" si="215"/>
        <v>14.454017332288156</v>
      </c>
      <c r="E412" s="26">
        <f>D412*(1-VLOOKUP(A412,FX!A:K,9,0))</f>
        <v>14.635630357703064</v>
      </c>
      <c r="F412">
        <v>14.5738</v>
      </c>
      <c r="G412" s="93">
        <f t="shared" ref="G412" si="367">+B412/D412-1</f>
        <v>5.9487037918357633E-3</v>
      </c>
      <c r="H412" s="93">
        <f>(+B412/(D412*(1-VLOOKUP(A412,FX!A:K,9,0)))-1)</f>
        <v>-6.5340785033377591E-3</v>
      </c>
      <c r="I412" s="93">
        <f t="shared" si="199"/>
        <v>-2.319230399758565E-3</v>
      </c>
      <c r="J412">
        <v>12029.86</v>
      </c>
      <c r="K412">
        <v>12007.03</v>
      </c>
      <c r="L412" s="93">
        <f t="shared" ref="L412" si="368">+K412/J412-1</f>
        <v>-1.8977776964985704E-3</v>
      </c>
      <c r="M412" s="92">
        <f t="shared" ref="M412" si="369">WEEKDAY(A412,2)</f>
        <v>5</v>
      </c>
    </row>
    <row r="413" spans="1:13" x14ac:dyDescent="0.15">
      <c r="A413" s="90">
        <v>42989</v>
      </c>
      <c r="B413">
        <v>14.42</v>
      </c>
      <c r="C413" s="93">
        <f t="shared" si="261"/>
        <v>-8.2530949105914519E-3</v>
      </c>
      <c r="D413" s="26">
        <f t="shared" si="215"/>
        <v>14.515939476123572</v>
      </c>
      <c r="E413" s="26">
        <f>D413*(1-VLOOKUP(A413,FX!A:K,9,0))</f>
        <v>14.366988790507195</v>
      </c>
      <c r="F413">
        <v>14.3809</v>
      </c>
      <c r="G413" s="93">
        <f t="shared" ref="G413" si="370">+B413/D413-1</f>
        <v>-6.6092502163830336E-3</v>
      </c>
      <c r="H413" s="93">
        <f>(+B413/(D413*(1-VLOOKUP(A413,FX!A:K,9,0)))-1)</f>
        <v>3.6897926396262104E-3</v>
      </c>
      <c r="I413" s="93">
        <f t="shared" si="199"/>
        <v>2.7188840754055477E-3</v>
      </c>
      <c r="J413">
        <v>12007.03</v>
      </c>
      <c r="K413">
        <v>11959.36</v>
      </c>
      <c r="L413" s="93">
        <f t="shared" ref="L413" si="371">+K413/J413-1</f>
        <v>-3.9701741396498402E-3</v>
      </c>
      <c r="M413" s="92">
        <f t="shared" ref="M413" si="372">WEEKDAY(A413,2)</f>
        <v>1</v>
      </c>
    </row>
    <row r="414" spans="1:13" x14ac:dyDescent="0.15">
      <c r="A414" s="90">
        <v>42990</v>
      </c>
      <c r="B414">
        <v>14.48</v>
      </c>
      <c r="C414" s="93">
        <f t="shared" si="261"/>
        <v>4.1608876560332853E-3</v>
      </c>
      <c r="D414" s="26">
        <f t="shared" si="215"/>
        <v>14.463450302440934</v>
      </c>
      <c r="E414" s="26">
        <f>D414*(1-VLOOKUP(A414,FX!A:K,9,0))</f>
        <v>14.41907824952006</v>
      </c>
      <c r="F414">
        <v>14.4396</v>
      </c>
      <c r="G414" s="93">
        <f t="shared" ref="G414" si="373">+B414/D414-1</f>
        <v>1.1442427092429597E-3</v>
      </c>
      <c r="H414" s="93">
        <f>(+B414/(D414*(1-VLOOKUP(A414,FX!A:K,9,0)))-1)</f>
        <v>4.2250794000626701E-3</v>
      </c>
      <c r="I414" s="93">
        <f t="shared" si="199"/>
        <v>2.797861436604876E-3</v>
      </c>
      <c r="J414">
        <v>11959.36</v>
      </c>
      <c r="K414">
        <v>12028.01</v>
      </c>
      <c r="L414" s="93">
        <f t="shared" ref="L414" si="374">+K414/J414-1</f>
        <v>5.7402737270222381E-3</v>
      </c>
      <c r="M414" s="92">
        <f t="shared" ref="M414" si="375">WEEKDAY(A414,2)</f>
        <v>2</v>
      </c>
    </row>
    <row r="415" spans="1:13" x14ac:dyDescent="0.15">
      <c r="A415" s="90">
        <v>42991</v>
      </c>
      <c r="B415">
        <v>14.44</v>
      </c>
      <c r="C415" s="93">
        <f t="shared" si="261"/>
        <v>-2.7624309392265678E-3</v>
      </c>
      <c r="D415" s="26">
        <f t="shared" si="215"/>
        <v>14.428915569242127</v>
      </c>
      <c r="E415" s="26">
        <f>D415*(1-VLOOKUP(A415,FX!A:K,9,0))</f>
        <v>14.452976567203832</v>
      </c>
      <c r="F415">
        <v>14.4466</v>
      </c>
      <c r="G415" s="93">
        <f t="shared" ref="G415" si="376">+B415/D415-1</f>
        <v>7.6820955148559911E-4</v>
      </c>
      <c r="H415" s="93">
        <f>(+B415/(D415*(1-VLOOKUP(A415,FX!A:K,9,0)))-1)</f>
        <v>-8.978473841352308E-4</v>
      </c>
      <c r="I415" s="93">
        <f t="shared" si="199"/>
        <v>-4.5685490011493357E-4</v>
      </c>
      <c r="J415">
        <v>12028.01</v>
      </c>
      <c r="K415">
        <v>12019.11</v>
      </c>
      <c r="L415" s="93">
        <f t="shared" ref="L415" si="377">+K415/J415-1</f>
        <v>-7.399395244932494E-4</v>
      </c>
      <c r="M415" s="92">
        <f t="shared" ref="M415" si="378">WEEKDAY(A415,2)</f>
        <v>3</v>
      </c>
    </row>
    <row r="416" spans="1:13" x14ac:dyDescent="0.15">
      <c r="A416" s="90">
        <v>42992</v>
      </c>
      <c r="B416">
        <v>14.24</v>
      </c>
      <c r="C416" s="93">
        <f t="shared" si="261"/>
        <v>-1.3850415512465353E-2</v>
      </c>
      <c r="D416" s="26">
        <f t="shared" si="215"/>
        <v>14.346475965857703</v>
      </c>
      <c r="E416" s="26">
        <f>D416*(1-VLOOKUP(A416,FX!A:K,9,0))</f>
        <v>14.295109870181438</v>
      </c>
      <c r="F416">
        <v>14.2874</v>
      </c>
      <c r="G416" s="93">
        <f t="shared" ref="G416" si="379">+B416/D416-1</f>
        <v>-7.4217505477371937E-3</v>
      </c>
      <c r="H416" s="93">
        <f>(+B416/(D416*(1-VLOOKUP(A416,FX!A:K,9,0)))-1)</f>
        <v>-3.8551554120190845E-3</v>
      </c>
      <c r="I416" s="93">
        <f t="shared" si="199"/>
        <v>-3.3176085221943152E-3</v>
      </c>
      <c r="J416">
        <v>12019.11</v>
      </c>
      <c r="K416">
        <v>11935.81</v>
      </c>
      <c r="L416" s="93">
        <f t="shared" ref="L416" si="380">+K416/J416-1</f>
        <v>-6.9306296389667343E-3</v>
      </c>
      <c r="M416" s="92">
        <f t="shared" ref="M416" si="381">WEEKDAY(A416,2)</f>
        <v>4</v>
      </c>
    </row>
    <row r="417" spans="1:14" x14ac:dyDescent="0.15">
      <c r="A417" s="90">
        <v>42993</v>
      </c>
      <c r="B417">
        <v>14.24</v>
      </c>
      <c r="C417" s="93">
        <f t="shared" si="261"/>
        <v>0</v>
      </c>
      <c r="D417" s="26">
        <f t="shared" si="215"/>
        <v>14.26618881047872</v>
      </c>
      <c r="E417" s="26">
        <f>D417*(1-VLOOKUP(A417,FX!A:K,9,0))</f>
        <v>14.280578774889854</v>
      </c>
      <c r="F417">
        <v>14.2866</v>
      </c>
      <c r="G417" s="93">
        <f t="shared" ref="G417" si="382">+B417/D417-1</f>
        <v>-1.8357257727784626E-3</v>
      </c>
      <c r="H417" s="93">
        <f>(+B417/(D417*(1-VLOOKUP(A417,FX!A:K,9,0)))-1)</f>
        <v>-2.8415357339161007E-3</v>
      </c>
      <c r="I417" s="93">
        <f t="shared" si="199"/>
        <v>-3.2617977685382993E-3</v>
      </c>
      <c r="J417">
        <v>11935.81</v>
      </c>
      <c r="K417">
        <v>11918.09</v>
      </c>
      <c r="L417" s="93">
        <f t="shared" ref="L417" si="383">+K417/J417-1</f>
        <v>-1.4846080827358721E-3</v>
      </c>
      <c r="M417" s="92">
        <f t="shared" ref="M417" si="384">WEEKDAY(A417,2)</f>
        <v>5</v>
      </c>
    </row>
    <row r="418" spans="1:14" x14ac:dyDescent="0.15">
      <c r="A418" s="90">
        <v>42996</v>
      </c>
      <c r="B418">
        <v>14.3</v>
      </c>
      <c r="C418" s="93">
        <f t="shared" si="261"/>
        <v>4.2134831460673983E-3</v>
      </c>
      <c r="D418" s="26">
        <f t="shared" si="215"/>
        <v>14.305180351381805</v>
      </c>
      <c r="E418" s="26">
        <f>D418*(1-VLOOKUP(A418,FX!A:K,9,0))</f>
        <v>14.29510780359497</v>
      </c>
      <c r="F418">
        <v>14.292400000000001</v>
      </c>
      <c r="G418" s="93">
        <f t="shared" ref="G418" si="385">+B418/D418-1</f>
        <v>-3.6213114791694423E-4</v>
      </c>
      <c r="H418" s="93">
        <f>(+B418/(D418*(1-VLOOKUP(A418,FX!A:K,9,0)))-1)</f>
        <v>3.4222871714195691E-4</v>
      </c>
      <c r="I418" s="93">
        <f t="shared" si="199"/>
        <v>5.3175114046632999E-4</v>
      </c>
      <c r="J418">
        <v>11918.09</v>
      </c>
      <c r="K418">
        <v>11933.59</v>
      </c>
      <c r="L418" s="93">
        <f t="shared" ref="L418" si="386">+K418/J418-1</f>
        <v>1.3005439630007221E-3</v>
      </c>
      <c r="M418" s="92">
        <f t="shared" ref="M418" si="387">WEEKDAY(A418,2)</f>
        <v>1</v>
      </c>
      <c r="N418" s="50" t="s">
        <v>441</v>
      </c>
    </row>
    <row r="419" spans="1:14" x14ac:dyDescent="0.15">
      <c r="A419" s="90">
        <v>42997</v>
      </c>
      <c r="B419">
        <v>14.14</v>
      </c>
      <c r="C419" s="93">
        <f t="shared" si="261"/>
        <v>-1.118881118881121E-2</v>
      </c>
      <c r="D419" s="26">
        <f t="shared" si="215"/>
        <v>14.300005149833371</v>
      </c>
      <c r="E419" s="26">
        <f>D419*(1-VLOOKUP(A419,FX!A:K,9,0))</f>
        <v>14.207175239771345</v>
      </c>
      <c r="F419">
        <v>14.206200000000001</v>
      </c>
      <c r="G419" s="93">
        <f t="shared" ref="G419" si="388">+B419/D419-1</f>
        <v>-1.1189167287484203E-2</v>
      </c>
      <c r="H419" s="93">
        <f>(+B419/(D419*(1-VLOOKUP(A419,FX!A:K,9,0)))-1)</f>
        <v>-4.7282615043203746E-3</v>
      </c>
      <c r="I419" s="93">
        <f t="shared" si="199"/>
        <v>-4.6599372105137205E-3</v>
      </c>
      <c r="J419">
        <v>11933.59</v>
      </c>
      <c r="K419">
        <v>11939.94</v>
      </c>
      <c r="L419" s="93">
        <f t="shared" ref="L419" si="389">+K419/J419-1</f>
        <v>5.3211146017262401E-4</v>
      </c>
      <c r="M419" s="92">
        <f t="shared" ref="M419" si="390">WEEKDAY(A419,2)</f>
        <v>2</v>
      </c>
      <c r="N419" s="50" t="s">
        <v>443</v>
      </c>
    </row>
    <row r="420" spans="1:14" x14ac:dyDescent="0.15">
      <c r="A420" s="90">
        <v>42998</v>
      </c>
      <c r="B420">
        <v>14.24</v>
      </c>
      <c r="C420" s="93">
        <f t="shared" si="261"/>
        <v>7.0721357850069833E-3</v>
      </c>
      <c r="D420" s="26">
        <f t="shared" si="215"/>
        <v>14.19414727561445</v>
      </c>
      <c r="E420" s="26">
        <f>D420*(1-VLOOKUP(A420,FX!A:K,9,0))</f>
        <v>14.252856807584426</v>
      </c>
      <c r="F420">
        <v>14.2424</v>
      </c>
      <c r="G420" s="93">
        <f t="shared" ref="G420" si="391">+B420/D420-1</f>
        <v>3.2303965497333387E-3</v>
      </c>
      <c r="H420" s="93">
        <f>(+B420/(D420*(1-VLOOKUP(A420,FX!A:K,9,0)))-1)</f>
        <v>-9.0205127000109186E-4</v>
      </c>
      <c r="I420" s="93">
        <f t="shared" si="199"/>
        <v>-1.6851092512493171E-4</v>
      </c>
      <c r="J420">
        <v>11939.94</v>
      </c>
      <c r="K420">
        <v>11929.81</v>
      </c>
      <c r="L420" s="93">
        <f t="shared" ref="L420" si="392">+K420/J420-1</f>
        <v>-8.4841297359961043E-4</v>
      </c>
      <c r="M420" s="92">
        <f t="shared" ref="M420" si="393">WEEKDAY(A420,2)</f>
        <v>3</v>
      </c>
    </row>
    <row r="421" spans="1:14" x14ac:dyDescent="0.15">
      <c r="A421" s="90">
        <v>42999</v>
      </c>
      <c r="B421">
        <v>14.24</v>
      </c>
      <c r="C421" s="93">
        <f t="shared" si="261"/>
        <v>0</v>
      </c>
      <c r="D421" s="26">
        <f t="shared" si="215"/>
        <v>14.313529564678733</v>
      </c>
      <c r="E421" s="26">
        <f>D421*(1-VLOOKUP(A421,FX!A:K,9,0))</f>
        <v>14.255162220785056</v>
      </c>
      <c r="F421">
        <v>14.2674</v>
      </c>
      <c r="G421" s="93">
        <f t="shared" ref="G421" si="394">+B421/D421-1</f>
        <v>-5.1370673003100498E-3</v>
      </c>
      <c r="H421" s="93">
        <f>(+B421/(D421*(1-VLOOKUP(A421,FX!A:K,9,0)))-1)</f>
        <v>-1.0636301818403027E-3</v>
      </c>
      <c r="I421" s="93">
        <f t="shared" si="199"/>
        <v>-1.9204620323254318E-3</v>
      </c>
      <c r="J421">
        <v>11929.81</v>
      </c>
      <c r="K421">
        <v>11989.39</v>
      </c>
      <c r="L421" s="93">
        <f t="shared" ref="L421" si="395">+K421/J421-1</f>
        <v>4.994211978229357E-3</v>
      </c>
      <c r="M421" s="92">
        <f t="shared" ref="M421" si="396">WEEKDAY(A421,2)</f>
        <v>4</v>
      </c>
    </row>
    <row r="422" spans="1:14" x14ac:dyDescent="0.15">
      <c r="A422" s="90">
        <v>43000</v>
      </c>
      <c r="B422">
        <v>14.24</v>
      </c>
      <c r="C422" s="93">
        <f t="shared" si="261"/>
        <v>0</v>
      </c>
      <c r="D422" s="26">
        <f t="shared" si="215"/>
        <v>14.283274628817647</v>
      </c>
      <c r="E422" s="26">
        <f>D422*(1-VLOOKUP(A422,FX!A:K,9,0))</f>
        <v>14.315075822474748</v>
      </c>
      <c r="F422">
        <v>14.300800000000001</v>
      </c>
      <c r="G422" s="93">
        <f t="shared" ref="G422" si="397">+B422/D422-1</f>
        <v>-3.0297414243045662E-3</v>
      </c>
      <c r="H422" s="93">
        <f>(+B422/(D422*(1-VLOOKUP(A422,FX!A:K,9,0)))-1)</f>
        <v>-5.24452845418244E-3</v>
      </c>
      <c r="I422" s="93">
        <f t="shared" si="199"/>
        <v>-4.2515104050123709E-3</v>
      </c>
      <c r="J422">
        <v>11989.39</v>
      </c>
      <c r="K422">
        <v>12002.73</v>
      </c>
      <c r="L422" s="93">
        <f t="shared" ref="L422" si="398">+K422/J422-1</f>
        <v>1.112650435093121E-3</v>
      </c>
      <c r="M422" s="92">
        <f t="shared" ref="M422" si="399">WEEKDAY(A422,2)</f>
        <v>5</v>
      </c>
    </row>
    <row r="423" spans="1:14" x14ac:dyDescent="0.15">
      <c r="A423" s="90">
        <v>43003</v>
      </c>
      <c r="B423">
        <v>14.12</v>
      </c>
      <c r="C423" s="93">
        <f t="shared" si="261"/>
        <v>-8.4269662921349076E-3</v>
      </c>
      <c r="D423" s="26">
        <f t="shared" si="215"/>
        <v>14.263805096340583</v>
      </c>
      <c r="E423" s="26">
        <f>D423*(1-VLOOKUP(A423,FX!A:K,9,0))</f>
        <v>14.217545792592588</v>
      </c>
      <c r="F423">
        <v>14.220800000000001</v>
      </c>
      <c r="G423" s="93">
        <f t="shared" ref="G423" si="400">+B423/D423-1</f>
        <v>-1.0081818657034058E-2</v>
      </c>
      <c r="H423" s="93">
        <f>(+B423/(D423*(1-VLOOKUP(A423,FX!A:K,9,0)))-1)</f>
        <v>-6.8609444988326773E-3</v>
      </c>
      <c r="I423" s="93">
        <f t="shared" si="199"/>
        <v>-7.0882088208822358E-3</v>
      </c>
      <c r="J423">
        <v>12002.73</v>
      </c>
      <c r="K423">
        <v>11971.68</v>
      </c>
      <c r="L423" s="93">
        <f t="shared" ref="L423" si="401">+K423/J423-1</f>
        <v>-2.5869114776387869E-3</v>
      </c>
      <c r="M423" s="92">
        <f t="shared" ref="M423" si="402">WEEKDAY(A423,2)</f>
        <v>1</v>
      </c>
    </row>
    <row r="424" spans="1:14" x14ac:dyDescent="0.15">
      <c r="A424" s="90">
        <v>43004</v>
      </c>
      <c r="B424">
        <v>14.16</v>
      </c>
      <c r="C424" s="93">
        <f t="shared" si="261"/>
        <v>2.8328611898018607E-3</v>
      </c>
      <c r="D424" s="26">
        <f t="shared" si="215"/>
        <v>14.226656199297008</v>
      </c>
      <c r="E424" s="26">
        <f>D424*(1-VLOOKUP(A424,FX!A:K,9,0))</f>
        <v>14.192685042244058</v>
      </c>
      <c r="F424">
        <v>14.214600000000001</v>
      </c>
      <c r="G424" s="93">
        <f t="shared" ref="G424" si="403">+B424/D424-1</f>
        <v>-4.685303304110322E-3</v>
      </c>
      <c r="H424" s="93">
        <f>(+B424/(D424*(1-VLOOKUP(A424,FX!A:K,9,0)))-1)</f>
        <v>-2.302949875007565E-3</v>
      </c>
      <c r="I424" s="93">
        <f t="shared" si="199"/>
        <v>-3.8411211008400059E-3</v>
      </c>
      <c r="J424">
        <v>11971.68</v>
      </c>
      <c r="K424">
        <v>11976.61</v>
      </c>
      <c r="L424" s="93">
        <f t="shared" ref="L424" si="404">+K424/J424-1</f>
        <v>4.1180519359018675E-4</v>
      </c>
      <c r="M424" s="92">
        <f t="shared" ref="M424" si="405">WEEKDAY(A424,2)</f>
        <v>2</v>
      </c>
    </row>
    <row r="425" spans="1:14" x14ac:dyDescent="0.15">
      <c r="A425" s="90">
        <v>43005</v>
      </c>
      <c r="B425">
        <v>14.06</v>
      </c>
      <c r="C425" s="93">
        <f t="shared" si="261"/>
        <v>-7.0621468926553854E-3</v>
      </c>
      <c r="D425" s="26">
        <f t="shared" si="215"/>
        <v>14.158639390946185</v>
      </c>
      <c r="E425" s="26">
        <f>D425*(1-VLOOKUP(A425,FX!A:K,9,0))</f>
        <v>14.122209991998844</v>
      </c>
      <c r="F425">
        <v>14.1098</v>
      </c>
      <c r="G425" s="93">
        <f t="shared" ref="G425" si="406">+B425/D425-1</f>
        <v>-6.9667281030731942E-3</v>
      </c>
      <c r="H425" s="93">
        <f>(+B425/(D425*(1-VLOOKUP(A425,FX!A:K,9,0)))-1)</f>
        <v>-4.4051173317837256E-3</v>
      </c>
      <c r="I425" s="93">
        <f t="shared" si="199"/>
        <v>-3.5294617925130112E-3</v>
      </c>
      <c r="J425">
        <v>11976.61</v>
      </c>
      <c r="K425">
        <v>11929.46</v>
      </c>
      <c r="L425" s="93">
        <f t="shared" ref="L425" si="407">+K425/J425-1</f>
        <v>-3.9368402244042144E-3</v>
      </c>
      <c r="M425" s="92">
        <f t="shared" ref="M425" si="408">WEEKDAY(A425,2)</f>
        <v>3</v>
      </c>
    </row>
    <row r="426" spans="1:14" x14ac:dyDescent="0.15">
      <c r="A426" s="90">
        <v>43006</v>
      </c>
      <c r="B426">
        <v>13.98</v>
      </c>
      <c r="C426" s="93">
        <f t="shared" si="261"/>
        <v>-5.6899004267425557E-3</v>
      </c>
      <c r="D426" s="26">
        <f t="shared" ref="D426:D486" si="409">+(F425-O426)*(1+L426)</f>
        <v>14.118741736507774</v>
      </c>
      <c r="E426" s="26">
        <f>D426*(1-VLOOKUP(A426,FX!A:K,9,0))</f>
        <v>14.034256400757419</v>
      </c>
      <c r="F426">
        <v>14.0419</v>
      </c>
      <c r="G426" s="93">
        <f t="shared" ref="G426" si="410">+B426/D426-1</f>
        <v>-9.8267777042071458E-3</v>
      </c>
      <c r="H426" s="93">
        <f>(+B426/(D426*(1-VLOOKUP(A426,FX!A:K,9,0)))-1)</f>
        <v>-3.865997542590871E-3</v>
      </c>
      <c r="I426" s="93">
        <f t="shared" si="199"/>
        <v>-4.4082353527655771E-3</v>
      </c>
      <c r="J426">
        <v>11929.46</v>
      </c>
      <c r="K426">
        <v>11937.02</v>
      </c>
      <c r="L426" s="93">
        <f t="shared" ref="L426" si="411">+K426/J426-1</f>
        <v>6.3372524825111576E-4</v>
      </c>
      <c r="M426" s="92">
        <f t="shared" ref="M426" si="412">WEEKDAY(A426,2)</f>
        <v>4</v>
      </c>
    </row>
    <row r="427" spans="1:14" x14ac:dyDescent="0.15">
      <c r="A427" s="90">
        <v>43007</v>
      </c>
      <c r="B427">
        <v>14.08</v>
      </c>
      <c r="C427" s="93">
        <f t="shared" si="261"/>
        <v>7.1530758226037161E-3</v>
      </c>
      <c r="D427" s="26">
        <f t="shared" si="409"/>
        <v>14.07199057553728</v>
      </c>
      <c r="E427" s="26">
        <f>D427*(1-VLOOKUP(A427,FX!A:K,9,0))</f>
        <v>14.069100993438942</v>
      </c>
      <c r="F427">
        <v>14.0931</v>
      </c>
      <c r="G427" s="93">
        <f t="shared" ref="G427" si="413">+B427/D427-1</f>
        <v>5.691749450602579E-4</v>
      </c>
      <c r="H427" s="93">
        <f>(+B427/(D427*(1-VLOOKUP(A427,FX!A:K,9,0)))-1)</f>
        <v>7.7467683017840017E-4</v>
      </c>
      <c r="I427" s="93">
        <f t="shared" si="199"/>
        <v>-9.2953289198260958E-4</v>
      </c>
      <c r="J427">
        <v>11937.02</v>
      </c>
      <c r="K427">
        <v>11962.6</v>
      </c>
      <c r="L427" s="93">
        <f t="shared" ref="L427" si="414">+K427/J427-1</f>
        <v>2.1429133904442565E-3</v>
      </c>
      <c r="M427" s="92">
        <f t="shared" ref="M427" si="415">WEEKDAY(A427,2)</f>
        <v>5</v>
      </c>
    </row>
    <row r="428" spans="1:14" x14ac:dyDescent="0.15">
      <c r="A428" s="90">
        <v>43010</v>
      </c>
      <c r="B428">
        <v>14.08</v>
      </c>
      <c r="C428" s="93">
        <f t="shared" si="261"/>
        <v>0</v>
      </c>
      <c r="D428" s="26">
        <f t="shared" si="409"/>
        <v>14.0931</v>
      </c>
      <c r="E428" s="26">
        <f>D428*(1-VLOOKUP(A428,FX!A:K,9,0))</f>
        <v>14.102438713087651</v>
      </c>
      <c r="F428" s="92">
        <v>14.0931</v>
      </c>
      <c r="G428" s="93">
        <f t="shared" ref="G428" si="416">+B428/D428-1</f>
        <v>-9.2953289198260958E-4</v>
      </c>
      <c r="H428" s="93">
        <f>(+B428/(D428*(1-VLOOKUP(A428,FX!A:K,9,0)))-1)</f>
        <v>-1.5911228932926624E-3</v>
      </c>
      <c r="I428" s="93">
        <f t="shared" si="199"/>
        <v>-9.2953289198260958E-4</v>
      </c>
      <c r="J428">
        <v>11962.6</v>
      </c>
      <c r="K428">
        <v>11962.6</v>
      </c>
      <c r="L428" s="93">
        <f t="shared" ref="L428" si="417">+K428/J428-1</f>
        <v>0</v>
      </c>
      <c r="M428" s="92">
        <f t="shared" ref="M428" si="418">WEEKDAY(A428,2)</f>
        <v>1</v>
      </c>
    </row>
    <row r="429" spans="1:14" x14ac:dyDescent="0.15">
      <c r="A429" s="90">
        <v>43011</v>
      </c>
      <c r="B429">
        <v>14.38</v>
      </c>
      <c r="C429" s="93">
        <f t="shared" si="261"/>
        <v>2.1306818181818121E-2</v>
      </c>
      <c r="D429" s="26">
        <f t="shared" si="409"/>
        <v>14.0931</v>
      </c>
      <c r="E429" s="26">
        <f>D429*(1-VLOOKUP(A429,FX!A:K,9,0))</f>
        <v>14.067370124267265</v>
      </c>
      <c r="F429" s="92">
        <v>14.0931</v>
      </c>
      <c r="G429" s="93">
        <f t="shared" ref="G429" si="419">+B429/D429-1</f>
        <v>2.0357479901512265E-2</v>
      </c>
      <c r="H429" s="93">
        <f>(+B429/(D429*(1-VLOOKUP(A429,FX!A:K,9,0)))-1)</f>
        <v>2.2223761298028721E-2</v>
      </c>
      <c r="I429" s="93">
        <f t="shared" si="199"/>
        <v>2.0357479901512265E-2</v>
      </c>
      <c r="J429">
        <v>11962.6</v>
      </c>
      <c r="K429">
        <v>11962.6</v>
      </c>
      <c r="L429" s="93">
        <f t="shared" ref="L429" si="420">+K429/J429-1</f>
        <v>0</v>
      </c>
      <c r="M429" s="92">
        <f t="shared" ref="M429" si="421">WEEKDAY(A429,2)</f>
        <v>2</v>
      </c>
    </row>
    <row r="430" spans="1:14" x14ac:dyDescent="0.15">
      <c r="A430" s="90">
        <v>43012</v>
      </c>
      <c r="B430">
        <v>14.54</v>
      </c>
      <c r="C430" s="93">
        <f t="shared" si="261"/>
        <v>1.1126564673157091E-2</v>
      </c>
      <c r="D430" s="26">
        <f t="shared" si="409"/>
        <v>14.0931</v>
      </c>
      <c r="E430" s="26">
        <f>D430*(1-VLOOKUP(A430,FX!A:K,9,0))</f>
        <v>14.172393307407415</v>
      </c>
      <c r="F430" s="92">
        <v>14.0931</v>
      </c>
      <c r="G430" s="93">
        <f t="shared" ref="G430" si="422">+B430/D430-1</f>
        <v>3.1710553391375962E-2</v>
      </c>
      <c r="H430" s="93">
        <f>(+B430/(D430*(1-VLOOKUP(A430,FX!A:K,9,0)))-1)</f>
        <v>2.5938222614838802E-2</v>
      </c>
      <c r="I430" s="93">
        <f t="shared" si="199"/>
        <v>3.1710553391375962E-2</v>
      </c>
      <c r="J430">
        <v>11962.6</v>
      </c>
      <c r="K430">
        <v>11962.6</v>
      </c>
      <c r="L430" s="93">
        <f t="shared" ref="L430" si="423">+K430/J430-1</f>
        <v>0</v>
      </c>
      <c r="M430" s="92">
        <f t="shared" ref="M430" si="424">WEEKDAY(A430,2)</f>
        <v>3</v>
      </c>
    </row>
    <row r="431" spans="1:14" x14ac:dyDescent="0.15">
      <c r="A431" s="90">
        <v>43013</v>
      </c>
      <c r="B431">
        <v>14.54</v>
      </c>
      <c r="C431" s="93">
        <f t="shared" si="261"/>
        <v>0</v>
      </c>
      <c r="D431" s="26">
        <f t="shared" si="409"/>
        <v>14.0931</v>
      </c>
      <c r="E431" s="26">
        <f>D431*(1-VLOOKUP(A431,FX!A:K,9,0))</f>
        <v>14.075184047224871</v>
      </c>
      <c r="F431" s="92">
        <v>14.0931</v>
      </c>
      <c r="G431" s="93">
        <f t="shared" ref="G431" si="425">+B431/D431-1</f>
        <v>3.1710553391375962E-2</v>
      </c>
      <c r="H431" s="93">
        <f>(+B431/(D431*(1-VLOOKUP(A431,FX!A:K,9,0)))-1)</f>
        <v>3.3023792173202393E-2</v>
      </c>
      <c r="I431" s="93">
        <f t="shared" si="199"/>
        <v>3.1710553391375962E-2</v>
      </c>
      <c r="J431">
        <v>11962.6</v>
      </c>
      <c r="K431">
        <v>11962.6</v>
      </c>
      <c r="L431" s="93">
        <f t="shared" ref="L431" si="426">+K431/J431-1</f>
        <v>0</v>
      </c>
      <c r="M431" s="92">
        <f t="shared" ref="M431" si="427">WEEKDAY(A431,2)</f>
        <v>4</v>
      </c>
    </row>
    <row r="432" spans="1:14" x14ac:dyDescent="0.15">
      <c r="A432" s="90">
        <v>43014</v>
      </c>
      <c r="B432">
        <v>14.54</v>
      </c>
      <c r="C432" s="93">
        <f t="shared" si="261"/>
        <v>0</v>
      </c>
      <c r="D432" s="26">
        <f t="shared" si="409"/>
        <v>14.0931</v>
      </c>
      <c r="E432" s="26">
        <f>D432*(1-VLOOKUP(A432,FX!A:K,9,0))</f>
        <v>14.082530733150708</v>
      </c>
      <c r="F432" s="92">
        <v>14.0931</v>
      </c>
      <c r="G432" s="93">
        <f t="shared" ref="G432" si="428">+B432/D432-1</f>
        <v>3.1710553391375962E-2</v>
      </c>
      <c r="H432" s="93">
        <f>(+B432/(D432*(1-VLOOKUP(A432,FX!A:K,9,0)))-1)</f>
        <v>3.2484876157407916E-2</v>
      </c>
      <c r="I432" s="93">
        <f t="shared" si="199"/>
        <v>3.1710553391375962E-2</v>
      </c>
      <c r="J432">
        <v>11962.6</v>
      </c>
      <c r="K432">
        <v>11962.6</v>
      </c>
      <c r="L432" s="93">
        <f t="shared" ref="L432" si="429">+K432/J432-1</f>
        <v>0</v>
      </c>
      <c r="M432" s="92">
        <f t="shared" ref="M432" si="430">WEEKDAY(A432,2)</f>
        <v>5</v>
      </c>
    </row>
    <row r="433" spans="1:14" x14ac:dyDescent="0.15">
      <c r="A433" s="90">
        <v>43017</v>
      </c>
      <c r="B433">
        <v>14.4</v>
      </c>
      <c r="C433" s="93">
        <f t="shared" si="261"/>
        <v>-9.6286107290233236E-3</v>
      </c>
      <c r="D433" s="26">
        <f t="shared" si="409"/>
        <v>14.266398029692542</v>
      </c>
      <c r="E433" s="26">
        <f>D433*(1-VLOOKUP(A433,FX!A:K,9,0))</f>
        <v>14.330854069459301</v>
      </c>
      <c r="F433">
        <v>14.3215</v>
      </c>
      <c r="G433" s="93">
        <f t="shared" ref="G433" si="431">+B433/D433-1</f>
        <v>9.364800423301789E-3</v>
      </c>
      <c r="H433" s="93">
        <f>(+B433/(D433*(1-VLOOKUP(A433,FX!A:K,9,0)))-1)</f>
        <v>4.8249692729798177E-3</v>
      </c>
      <c r="I433" s="93">
        <f t="shared" si="199"/>
        <v>5.4812694201027412E-3</v>
      </c>
      <c r="J433">
        <v>11962.6</v>
      </c>
      <c r="K433">
        <v>12109.7</v>
      </c>
      <c r="L433" s="93">
        <f t="shared" ref="L433" si="432">+K433/J433-1</f>
        <v>1.2296657917175269E-2</v>
      </c>
      <c r="M433" s="92">
        <f t="shared" ref="M433" si="433">WEEKDAY(A433,2)</f>
        <v>1</v>
      </c>
    </row>
    <row r="434" spans="1:14" x14ac:dyDescent="0.15">
      <c r="A434" s="90">
        <v>43018</v>
      </c>
      <c r="B434">
        <v>14.46</v>
      </c>
      <c r="C434" s="93">
        <f t="shared" si="261"/>
        <v>4.1666666666666519E-3</v>
      </c>
      <c r="D434" s="26">
        <f t="shared" si="409"/>
        <v>14.362644288050074</v>
      </c>
      <c r="E434" s="26">
        <f>D434*(1-VLOOKUP(A434,FX!A:K,9,0))</f>
        <v>14.454953290953249</v>
      </c>
      <c r="F434">
        <v>14.458500000000001</v>
      </c>
      <c r="G434" s="93">
        <f t="shared" ref="G434" si="434">+B434/D434-1</f>
        <v>6.7783974870789798E-3</v>
      </c>
      <c r="H434" s="93">
        <f>(+B434/(D434*(1-VLOOKUP(A434,FX!A:K,9,0)))-1)</f>
        <v>3.4913354233467864E-4</v>
      </c>
      <c r="I434" s="93">
        <f t="shared" si="199"/>
        <v>1.0374520178446645E-4</v>
      </c>
      <c r="J434">
        <v>12109.7</v>
      </c>
      <c r="K434">
        <v>12144.49</v>
      </c>
      <c r="L434" s="93">
        <f t="shared" ref="L434" si="435">+K434/J434-1</f>
        <v>2.8729035401371394E-3</v>
      </c>
      <c r="M434" s="92">
        <f t="shared" ref="M434" si="436">WEEKDAY(A434,2)</f>
        <v>2</v>
      </c>
    </row>
    <row r="435" spans="1:14" x14ac:dyDescent="0.15">
      <c r="A435" s="90">
        <v>43019</v>
      </c>
      <c r="B435">
        <v>14.52</v>
      </c>
      <c r="C435" s="93">
        <f t="shared" si="261"/>
        <v>4.1493775933609811E-3</v>
      </c>
      <c r="D435" s="26">
        <f t="shared" si="409"/>
        <v>14.54020675384475</v>
      </c>
      <c r="E435" s="26">
        <f>D435*(1-VLOOKUP(A435,FX!A:K,9,0))</f>
        <v>14.559090708729402</v>
      </c>
      <c r="F435">
        <v>14.5496</v>
      </c>
      <c r="G435" s="93">
        <f t="shared" ref="G435" si="437">+B435/D435-1</f>
        <v>-1.3897157163468288E-3</v>
      </c>
      <c r="H435" s="93">
        <f>(+B435/(D435*(1-VLOOKUP(A435,FX!A:K,9,0)))-1)</f>
        <v>-2.6849691035968348E-3</v>
      </c>
      <c r="I435" s="93">
        <f t="shared" si="199"/>
        <v>-2.0344201902458003E-3</v>
      </c>
      <c r="J435">
        <v>12144.49</v>
      </c>
      <c r="K435">
        <v>12213.12</v>
      </c>
      <c r="L435" s="93">
        <f t="shared" ref="L435" si="438">+K435/J435-1</f>
        <v>5.6511224431821105E-3</v>
      </c>
      <c r="M435" s="92">
        <f t="shared" ref="M435" si="439">WEEKDAY(A435,2)</f>
        <v>3</v>
      </c>
      <c r="N435" s="50" t="s">
        <v>482</v>
      </c>
    </row>
    <row r="436" spans="1:14" ht="27" x14ac:dyDescent="0.15">
      <c r="A436" s="90">
        <v>43020</v>
      </c>
      <c r="B436">
        <v>14.6</v>
      </c>
      <c r="C436" s="93">
        <f t="shared" si="261"/>
        <v>5.5096418732782926E-3</v>
      </c>
      <c r="D436" s="26">
        <f t="shared" si="409"/>
        <v>14.613096770685951</v>
      </c>
      <c r="E436" s="26">
        <f>D436*(1-VLOOKUP(A436,FX!A:K,9,0))</f>
        <v>14.609085774802507</v>
      </c>
      <c r="F436">
        <v>14.6127</v>
      </c>
      <c r="G436" s="93">
        <f t="shared" ref="G436" si="440">+B436/D436-1</f>
        <v>-8.9623513013503686E-4</v>
      </c>
      <c r="H436" s="93">
        <f>(+B436/(D436*(1-VLOOKUP(A436,FX!A:K,9,0)))-1)</f>
        <v>-6.2192630959689854E-4</v>
      </c>
      <c r="I436" s="93">
        <f t="shared" si="199"/>
        <v>-8.6910700965603382E-4</v>
      </c>
      <c r="J436">
        <v>12213.12</v>
      </c>
      <c r="K436">
        <v>12266.42</v>
      </c>
      <c r="L436" s="93">
        <f t="shared" ref="L436" si="441">+K436/J436-1</f>
        <v>4.364159199287343E-3</v>
      </c>
      <c r="M436" s="92">
        <f t="shared" ref="M436" si="442">WEEKDAY(A436,2)</f>
        <v>4</v>
      </c>
      <c r="N436" s="50" t="s">
        <v>490</v>
      </c>
    </row>
    <row r="437" spans="1:14" x14ac:dyDescent="0.15">
      <c r="A437" s="90">
        <v>43021</v>
      </c>
      <c r="B437">
        <v>14.62</v>
      </c>
      <c r="C437" s="93">
        <f t="shared" si="261"/>
        <v>1.36986301369868E-3</v>
      </c>
      <c r="D437" s="26">
        <f t="shared" si="409"/>
        <v>14.626054211497731</v>
      </c>
      <c r="E437" s="26">
        <f>D437*(1-VLOOKUP(A437,FX!A:K,9,0))</f>
        <v>14.640738816236894</v>
      </c>
      <c r="F437">
        <v>14.6426</v>
      </c>
      <c r="G437" s="93">
        <f t="shared" ref="G437" si="443">+B437/D437-1</f>
        <v>-4.1393334184225417E-4</v>
      </c>
      <c r="H437" s="93">
        <f>(+B437/(D437*(1-VLOOKUP(A437,FX!A:K,9,0)))-1)</f>
        <v>-1.4165143233000332E-3</v>
      </c>
      <c r="I437" s="93">
        <f t="shared" si="199"/>
        <v>-1.5434417384890819E-3</v>
      </c>
      <c r="J437">
        <v>12266.42</v>
      </c>
      <c r="K437">
        <v>12277.63</v>
      </c>
      <c r="L437" s="93">
        <f t="shared" ref="L437" si="444">+K437/J437-1</f>
        <v>9.1387707252810202E-4</v>
      </c>
      <c r="M437" s="92">
        <f t="shared" ref="M437" si="445">WEEKDAY(A437,2)</f>
        <v>5</v>
      </c>
    </row>
    <row r="438" spans="1:14" x14ac:dyDescent="0.15">
      <c r="A438" s="90">
        <v>43024</v>
      </c>
      <c r="B438">
        <v>14.64</v>
      </c>
      <c r="C438" s="93">
        <f t="shared" si="261"/>
        <v>1.3679890560875929E-3</v>
      </c>
      <c r="D438" s="26">
        <f t="shared" si="409"/>
        <v>14.709601633702921</v>
      </c>
      <c r="E438" s="26">
        <f>D438*(1-VLOOKUP(A438,FX!A:K,9,0))</f>
        <v>14.702719016653061</v>
      </c>
      <c r="F438">
        <v>14.7035</v>
      </c>
      <c r="G438" s="93">
        <f t="shared" ref="G438" si="446">+B438/D438-1</f>
        <v>-4.7317143887464219E-3</v>
      </c>
      <c r="H438" s="93">
        <f>(+B438/(D438*(1-VLOOKUP(A438,FX!A:K,9,0)))-1)</f>
        <v>-4.2658107375935783E-3</v>
      </c>
      <c r="I438" s="93">
        <f t="shared" si="199"/>
        <v>-4.3186996293399504E-3</v>
      </c>
      <c r="J438">
        <v>12277.63</v>
      </c>
      <c r="K438">
        <v>12333.81</v>
      </c>
      <c r="L438" s="93">
        <f t="shared" ref="L438" si="447">+K438/J438-1</f>
        <v>4.5758016815948821E-3</v>
      </c>
      <c r="M438" s="92">
        <f t="shared" ref="M438" si="448">WEEKDAY(A438,2)</f>
        <v>1</v>
      </c>
    </row>
    <row r="439" spans="1:14" x14ac:dyDescent="0.15">
      <c r="A439" s="90">
        <v>43025</v>
      </c>
      <c r="B439">
        <v>14.58</v>
      </c>
      <c r="C439" s="93">
        <f t="shared" si="261"/>
        <v>-4.098360655737765E-3</v>
      </c>
      <c r="D439" s="26">
        <f t="shared" si="409"/>
        <v>14.705812731426869</v>
      </c>
      <c r="E439" s="26">
        <f>D439*(1-VLOOKUP(A439,FX!A:K,9,0))</f>
        <v>14.636980381674725</v>
      </c>
      <c r="F439">
        <v>14.629</v>
      </c>
      <c r="G439" s="93">
        <f t="shared" ref="G439" si="449">+B439/D439-1</f>
        <v>-8.555306240096705E-3</v>
      </c>
      <c r="H439" s="93">
        <f>(+B439/(D439*(1-VLOOKUP(A439,FX!A:K,9,0)))-1)</f>
        <v>-3.8929055166366799E-3</v>
      </c>
      <c r="I439" s="93">
        <f t="shared" si="199"/>
        <v>-3.3495112447876618E-3</v>
      </c>
      <c r="J439">
        <v>12333.81</v>
      </c>
      <c r="K439">
        <v>12335.75</v>
      </c>
      <c r="L439" s="93">
        <f t="shared" ref="L439" si="450">+K439/J439-1</f>
        <v>1.5729121820440284E-4</v>
      </c>
      <c r="M439" s="92">
        <f t="shared" ref="M439" si="451">WEEKDAY(A439,2)</f>
        <v>2</v>
      </c>
    </row>
    <row r="440" spans="1:14" ht="40.5" x14ac:dyDescent="0.15">
      <c r="A440" s="90">
        <v>43026</v>
      </c>
      <c r="B440">
        <v>14.72</v>
      </c>
      <c r="C440" s="93">
        <f t="shared" si="261"/>
        <v>9.6021947873801139E-3</v>
      </c>
      <c r="D440" s="26">
        <f t="shared" si="409"/>
        <v>14.778257721662648</v>
      </c>
      <c r="E440" s="26">
        <f>D440*(1-VLOOKUP(A440,FX!A:K,9,0))</f>
        <v>14.761752921667158</v>
      </c>
      <c r="F440">
        <v>14.7643</v>
      </c>
      <c r="G440" s="93">
        <f t="shared" ref="G440" si="452">+B440/D440-1</f>
        <v>-3.9421238118787505E-3</v>
      </c>
      <c r="H440" s="93">
        <f>(+B440/(D440*(1-VLOOKUP(A440,FX!A:K,9,0)))-1)</f>
        <v>-2.8284528191684366E-3</v>
      </c>
      <c r="I440" s="93">
        <f t="shared" si="199"/>
        <v>-3.0004808897137192E-3</v>
      </c>
      <c r="J440">
        <v>12335.75</v>
      </c>
      <c r="K440">
        <v>12461.61</v>
      </c>
      <c r="L440" s="93">
        <f t="shared" ref="L440" si="453">+K440/J440-1</f>
        <v>1.0202865654702853E-2</v>
      </c>
      <c r="M440" s="92">
        <f t="shared" ref="M440" si="454">WEEKDAY(A440,2)</f>
        <v>3</v>
      </c>
      <c r="N440" s="50" t="s">
        <v>505</v>
      </c>
    </row>
    <row r="441" spans="1:14" x14ac:dyDescent="0.15">
      <c r="A441" s="90">
        <v>43027</v>
      </c>
      <c r="B441">
        <v>14.56</v>
      </c>
      <c r="C441" s="93">
        <f t="shared" ref="C441:C486" si="455">B441/(B440-O441)-1</f>
        <v>-1.0869565217391353E-2</v>
      </c>
      <c r="D441" s="26">
        <f t="shared" si="409"/>
        <v>14.777380001059253</v>
      </c>
      <c r="E441" s="26">
        <f>D441*(1-VLOOKUP(A441,FX!A:K,9,0))</f>
        <v>14.738920324996714</v>
      </c>
      <c r="F441">
        <v>14.748799999999999</v>
      </c>
      <c r="G441" s="93">
        <f t="shared" ref="G441" si="456">+B441/D441-1</f>
        <v>-1.4710320844674163E-2</v>
      </c>
      <c r="H441" s="93">
        <f>(+B441/(D441*(1-VLOOKUP(A441,FX!A:K,9,0)))-1)</f>
        <v>-1.2139310142905813E-2</v>
      </c>
      <c r="I441" s="93">
        <f t="shared" si="199"/>
        <v>-1.2801041440659522E-2</v>
      </c>
      <c r="J441">
        <v>12461.61</v>
      </c>
      <c r="K441">
        <v>12472.65</v>
      </c>
      <c r="L441" s="93">
        <f t="shared" ref="L441" si="457">+K441/J441-1</f>
        <v>8.8592084008398686E-4</v>
      </c>
      <c r="M441" s="92">
        <f t="shared" ref="M441" si="458">WEEKDAY(A441,2)</f>
        <v>4</v>
      </c>
    </row>
    <row r="442" spans="1:14" x14ac:dyDescent="0.15">
      <c r="A442" s="90">
        <v>43028</v>
      </c>
      <c r="B442">
        <v>14.62</v>
      </c>
      <c r="C442" s="93">
        <f t="shared" si="455"/>
        <v>4.1208791208791062E-3</v>
      </c>
      <c r="D442" s="26">
        <f t="shared" si="409"/>
        <v>14.660337826524435</v>
      </c>
      <c r="E442" s="26">
        <f>D442*(1-VLOOKUP(A442,FX!A:K,9,0))</f>
        <v>14.673690766509445</v>
      </c>
      <c r="F442">
        <v>14.672000000000001</v>
      </c>
      <c r="G442" s="93">
        <f t="shared" ref="G442" si="459">+B442/D442-1</f>
        <v>-2.751493655995696E-3</v>
      </c>
      <c r="H442" s="93">
        <f>(+B442/(D442*(1-VLOOKUP(A442,FX!A:K,9,0)))-1)</f>
        <v>-3.6589817356643684E-3</v>
      </c>
      <c r="I442" s="93">
        <f t="shared" si="199"/>
        <v>-3.5441657579062813E-3</v>
      </c>
      <c r="J442">
        <v>12472.65</v>
      </c>
      <c r="K442">
        <v>12397.84</v>
      </c>
      <c r="L442" s="93">
        <f t="shared" ref="L442" si="460">+K442/J442-1</f>
        <v>-5.9979234565228357E-3</v>
      </c>
      <c r="M442" s="92">
        <f t="shared" ref="M442" si="461">WEEKDAY(A442,2)</f>
        <v>5</v>
      </c>
    </row>
    <row r="443" spans="1:14" x14ac:dyDescent="0.15">
      <c r="A443" s="90">
        <v>43031</v>
      </c>
      <c r="B443">
        <v>14.56</v>
      </c>
      <c r="C443" s="93">
        <f t="shared" si="455"/>
        <v>-4.1039671682625567E-3</v>
      </c>
      <c r="D443" s="26">
        <f t="shared" si="409"/>
        <v>14.642863905325443</v>
      </c>
      <c r="E443" s="26">
        <f>D443*(1-VLOOKUP(A443,FX!A:K,9,0))</f>
        <v>14.626125508559189</v>
      </c>
      <c r="F443">
        <v>14.6051</v>
      </c>
      <c r="G443" s="93">
        <f t="shared" ref="G443" si="462">+B443/D443-1</f>
        <v>-5.6589957989916506E-3</v>
      </c>
      <c r="H443" s="93">
        <f>(+B443/(D443*(1-VLOOKUP(A443,FX!A:K,9,0)))-1)</f>
        <v>-4.5210543640209488E-3</v>
      </c>
      <c r="I443" s="93">
        <f t="shared" si="199"/>
        <v>-3.0879624240847114E-3</v>
      </c>
      <c r="J443">
        <v>12397.84</v>
      </c>
      <c r="K443">
        <v>12373.22</v>
      </c>
      <c r="L443" s="93">
        <f t="shared" ref="L443" si="463">+K443/J443-1</f>
        <v>-1.9858297897054067E-3</v>
      </c>
      <c r="M443" s="92">
        <f t="shared" ref="M443" si="464">WEEKDAY(A443,2)</f>
        <v>1</v>
      </c>
    </row>
    <row r="444" spans="1:14" x14ac:dyDescent="0.15">
      <c r="A444" s="90">
        <v>43032</v>
      </c>
      <c r="B444">
        <v>14.64</v>
      </c>
      <c r="C444" s="93">
        <f t="shared" si="455"/>
        <v>5.494505494505475E-3</v>
      </c>
      <c r="D444" s="26">
        <f t="shared" si="409"/>
        <v>14.718428272753576</v>
      </c>
      <c r="E444" s="26">
        <f>D444*(1-VLOOKUP(A444,FX!A:K,9,0))</f>
        <v>14.714166828734717</v>
      </c>
      <c r="F444">
        <v>14.725199999999999</v>
      </c>
      <c r="G444" s="93">
        <f t="shared" ref="G444" si="465">+B444/D444-1</f>
        <v>-5.3285766183852612E-3</v>
      </c>
      <c r="H444" s="93">
        <f>(+B444/(D444*(1-VLOOKUP(A444,FX!A:K,9,0)))-1)</f>
        <v>-5.0405048140326203E-3</v>
      </c>
      <c r="I444" s="93">
        <f t="shared" si="199"/>
        <v>-5.7859995110421947E-3</v>
      </c>
      <c r="J444">
        <v>12373.22</v>
      </c>
      <c r="K444">
        <v>12469.23</v>
      </c>
      <c r="L444" s="93">
        <f t="shared" ref="L444" si="466">+K444/J444-1</f>
        <v>7.7594999523162844E-3</v>
      </c>
      <c r="M444" s="92">
        <f t="shared" ref="M444" si="467">WEEKDAY(A444,2)</f>
        <v>2</v>
      </c>
    </row>
    <row r="445" spans="1:14" x14ac:dyDescent="0.15">
      <c r="A445" s="90">
        <v>43033</v>
      </c>
      <c r="B445">
        <v>14.74</v>
      </c>
      <c r="C445" s="93">
        <f t="shared" si="455"/>
        <v>6.830601092896238E-3</v>
      </c>
      <c r="D445" s="26">
        <f t="shared" si="409"/>
        <v>14.787599969204193</v>
      </c>
      <c r="E445" s="26">
        <f>D445*(1-VLOOKUP(A445,FX!A:K,9,0))</f>
        <v>14.773148011162172</v>
      </c>
      <c r="F445">
        <v>14.7692</v>
      </c>
      <c r="G445" s="93">
        <f t="shared" ref="G445" si="468">+B445/D445-1</f>
        <v>-3.2189110676054122E-3</v>
      </c>
      <c r="H445" s="93">
        <f>(+B445/(D445*(1-VLOOKUP(A445,FX!A:K,9,0)))-1)</f>
        <v>-2.2438014658167083E-3</v>
      </c>
      <c r="I445" s="93">
        <f t="shared" si="199"/>
        <v>-1.9770874522654358E-3</v>
      </c>
      <c r="J445">
        <v>12469.23</v>
      </c>
      <c r="K445">
        <v>12522.07</v>
      </c>
      <c r="L445" s="93">
        <f t="shared" ref="L445" si="469">+K445/J445-1</f>
        <v>4.2376313533394327E-3</v>
      </c>
      <c r="M445" s="92">
        <f t="shared" ref="M445" si="470">WEEKDAY(A445,2)</f>
        <v>3</v>
      </c>
    </row>
    <row r="446" spans="1:14" x14ac:dyDescent="0.15">
      <c r="A446" s="90">
        <v>43034</v>
      </c>
      <c r="B446">
        <v>14.84</v>
      </c>
      <c r="C446" s="93">
        <f t="shared" si="455"/>
        <v>6.7842605156038793E-3</v>
      </c>
      <c r="D446" s="26">
        <f t="shared" si="409"/>
        <v>14.847279825460168</v>
      </c>
      <c r="E446" s="26">
        <f>D446*(1-VLOOKUP(A446,FX!A:K,9,0))</f>
        <v>14.862461706511159</v>
      </c>
      <c r="F446">
        <v>14.854699999999999</v>
      </c>
      <c r="G446" s="93">
        <f t="shared" ref="G446" si="471">+B446/D446-1</f>
        <v>-4.9031375078445461E-4</v>
      </c>
      <c r="H446" s="93">
        <f>(+B446/(D446*(1-VLOOKUP(A446,FX!A:K,9,0)))-1)</f>
        <v>-1.5113045843084816E-3</v>
      </c>
      <c r="I446" s="93">
        <f t="shared" si="199"/>
        <v>-9.8958578766317196E-4</v>
      </c>
      <c r="J446">
        <v>12522.07</v>
      </c>
      <c r="K446">
        <v>12588.27</v>
      </c>
      <c r="L446" s="93">
        <f t="shared" ref="L446" si="472">+K446/J446-1</f>
        <v>5.2866658627528373E-3</v>
      </c>
      <c r="M446" s="92">
        <f t="shared" ref="M446" si="473">WEEKDAY(A446,2)</f>
        <v>4</v>
      </c>
    </row>
    <row r="447" spans="1:14" x14ac:dyDescent="0.15">
      <c r="A447" s="90">
        <v>43035</v>
      </c>
      <c r="B447">
        <v>15.04</v>
      </c>
      <c r="C447" s="93">
        <f t="shared" si="455"/>
        <v>1.3477088948786964E-2</v>
      </c>
      <c r="D447" s="26">
        <f t="shared" si="409"/>
        <v>15.11015571043519</v>
      </c>
      <c r="E447" s="26">
        <f>D447*(1-VLOOKUP(A447,FX!A:K,9,0))</f>
        <v>15.062033991763652</v>
      </c>
      <c r="F447">
        <v>15.068300000000001</v>
      </c>
      <c r="G447" s="93">
        <f t="shared" ref="G447" si="474">+B447/D447-1</f>
        <v>-4.6429508589869162E-3</v>
      </c>
      <c r="H447" s="93">
        <f>(+B447/(D447*(1-VLOOKUP(A447,FX!A:K,9,0)))-1)</f>
        <v>-1.4628828865810295E-3</v>
      </c>
      <c r="I447" s="93">
        <f t="shared" si="199"/>
        <v>-1.8781149831103017E-3</v>
      </c>
      <c r="J447">
        <v>12588.27</v>
      </c>
      <c r="K447">
        <v>12804.75</v>
      </c>
      <c r="L447" s="93">
        <f t="shared" ref="L447" si="475">+K447/J447-1</f>
        <v>1.7196961933609645E-2</v>
      </c>
      <c r="M447" s="92">
        <f t="shared" ref="M447" si="476">WEEKDAY(A447,2)</f>
        <v>5</v>
      </c>
    </row>
    <row r="448" spans="1:14" x14ac:dyDescent="0.15">
      <c r="A448" s="90">
        <v>43038</v>
      </c>
      <c r="B448">
        <v>15</v>
      </c>
      <c r="C448" s="93">
        <f t="shared" si="455"/>
        <v>-2.6595744680850686E-3</v>
      </c>
      <c r="D448" s="26">
        <f t="shared" si="409"/>
        <v>15.092576852652334</v>
      </c>
      <c r="E448" s="26">
        <f>D448*(1-VLOOKUP(A448,FX!A:K,9,0))</f>
        <v>15.108373600419961</v>
      </c>
      <c r="F448">
        <v>15.105600000000001</v>
      </c>
      <c r="G448" s="93">
        <f t="shared" ref="G448" si="477">+B448/D448-1</f>
        <v>-6.1339328304340635E-3</v>
      </c>
      <c r="H448" s="93">
        <f>(+B448/(D448*(1-VLOOKUP(A448,FX!A:K,9,0)))-1)</f>
        <v>-7.1730818476020142E-3</v>
      </c>
      <c r="I448" s="93">
        <f t="shared" si="199"/>
        <v>-6.9907848744836798E-3</v>
      </c>
      <c r="J448">
        <v>12804.75</v>
      </c>
      <c r="K448">
        <v>12825.38</v>
      </c>
      <c r="L448" s="93">
        <f t="shared" ref="L448" si="478">+K448/J448-1</f>
        <v>1.6111208731133253E-3</v>
      </c>
      <c r="M448" s="92">
        <f t="shared" ref="M448" si="479">WEEKDAY(A448,2)</f>
        <v>1</v>
      </c>
    </row>
    <row r="449" spans="1:14" x14ac:dyDescent="0.15">
      <c r="A449" s="90">
        <v>43039</v>
      </c>
      <c r="B449">
        <v>15.08</v>
      </c>
      <c r="C449" s="93">
        <f t="shared" si="455"/>
        <v>5.3333333333334121E-3</v>
      </c>
      <c r="D449" s="26">
        <f t="shared" si="409"/>
        <v>15.062598899369846</v>
      </c>
      <c r="E449" s="26">
        <f>D449*(1-VLOOKUP(A449,FX!A:K,9,0))</f>
        <v>15.108141498602564</v>
      </c>
      <c r="F449">
        <v>15.105399999999999</v>
      </c>
      <c r="G449" s="93">
        <f t="shared" ref="G449" si="480">+B449/D449-1</f>
        <v>1.1552522075644056E-3</v>
      </c>
      <c r="H449" s="93">
        <f>(+B449/(D449*(1-VLOOKUP(A449,FX!A:K,9,0)))-1)</f>
        <v>-1.8626711038658428E-3</v>
      </c>
      <c r="I449" s="93">
        <f t="shared" si="199"/>
        <v>-1.6815178677823672E-3</v>
      </c>
      <c r="J449">
        <v>12825.38</v>
      </c>
      <c r="K449">
        <v>12788.87</v>
      </c>
      <c r="L449" s="93">
        <f t="shared" ref="L449" si="481">+K449/J449-1</f>
        <v>-2.8466992790855405E-3</v>
      </c>
      <c r="M449" s="92">
        <f t="shared" ref="M449" si="482">WEEKDAY(A449,2)</f>
        <v>2</v>
      </c>
    </row>
    <row r="450" spans="1:14" x14ac:dyDescent="0.15">
      <c r="A450" s="90">
        <v>43040</v>
      </c>
      <c r="B450">
        <v>15.1</v>
      </c>
      <c r="C450" s="93">
        <f t="shared" si="455"/>
        <v>1.3262599469496816E-3</v>
      </c>
      <c r="D450" s="26">
        <f t="shared" si="409"/>
        <v>15.097096611037566</v>
      </c>
      <c r="E450" s="26">
        <f>D450*(1-VLOOKUP(A450,FX!A:K,9,0))</f>
        <v>15.090411004181531</v>
      </c>
      <c r="F450">
        <v>15.1188</v>
      </c>
      <c r="G450" s="93">
        <f t="shared" ref="G450" si="483">+B450/D450-1</f>
        <v>1.9231439244493664E-4</v>
      </c>
      <c r="H450" s="93">
        <f>(+B450/(D450*(1-VLOOKUP(A450,FX!A:K,9,0)))-1)</f>
        <v>6.3543635861296188E-4</v>
      </c>
      <c r="I450" s="93">
        <f t="shared" si="199"/>
        <v>-1.243484932666683E-3</v>
      </c>
      <c r="J450">
        <v>12788.87</v>
      </c>
      <c r="K450">
        <v>12781.84</v>
      </c>
      <c r="L450" s="93">
        <f t="shared" ref="L450" si="484">+K450/J450-1</f>
        <v>-5.4969672848348416E-4</v>
      </c>
      <c r="M450" s="92">
        <f t="shared" ref="M450" si="485">WEEKDAY(A450,2)</f>
        <v>3</v>
      </c>
    </row>
    <row r="451" spans="1:14" x14ac:dyDescent="0.15">
      <c r="A451" s="90">
        <v>43041</v>
      </c>
      <c r="B451">
        <v>15.12</v>
      </c>
      <c r="C451" s="93">
        <f t="shared" si="455"/>
        <v>1.3245033112583293E-3</v>
      </c>
      <c r="D451" s="26">
        <f t="shared" si="409"/>
        <v>15.129126144279697</v>
      </c>
      <c r="E451" s="26">
        <f>D451*(1-VLOOKUP(A451,FX!A:K,9,0))</f>
        <v>15.19455022384089</v>
      </c>
      <c r="F451">
        <v>15.1747</v>
      </c>
      <c r="G451" s="93">
        <f t="shared" ref="G451" si="486">+B451/D451-1</f>
        <v>-6.0321688064901569E-4</v>
      </c>
      <c r="H451" s="93">
        <f>(+B451/(D451*(1-VLOOKUP(A451,FX!A:K,9,0)))-1)</f>
        <v>-4.9063791124214218E-3</v>
      </c>
      <c r="I451" s="93">
        <f t="shared" si="199"/>
        <v>-3.6046841123712481E-3</v>
      </c>
      <c r="J451">
        <v>12781.84</v>
      </c>
      <c r="K451">
        <v>12790.57</v>
      </c>
      <c r="L451" s="93">
        <f t="shared" ref="L451" si="487">+K451/J451-1</f>
        <v>6.830002566140525E-4</v>
      </c>
      <c r="M451" s="92">
        <f t="shared" ref="M451" si="488">WEEKDAY(A451,2)</f>
        <v>4</v>
      </c>
    </row>
    <row r="452" spans="1:14" x14ac:dyDescent="0.15">
      <c r="A452" s="90">
        <v>43042</v>
      </c>
      <c r="B452">
        <v>15.06</v>
      </c>
      <c r="C452" s="93">
        <f t="shared" si="455"/>
        <v>-3.9682539682538431E-3</v>
      </c>
      <c r="D452" s="26">
        <f t="shared" si="409"/>
        <v>15.186919894031307</v>
      </c>
      <c r="E452" s="26">
        <f>D452*(1-VLOOKUP(A452,FX!A:K,9,0))</f>
        <v>15.144505233972422</v>
      </c>
      <c r="F452">
        <v>15.135300000000001</v>
      </c>
      <c r="G452" s="93">
        <f t="shared" ref="G452" si="489">+B452/D452-1</f>
        <v>-8.3571846639678427E-3</v>
      </c>
      <c r="H452" s="93">
        <f>(+B452/(D452*(1-VLOOKUP(A452,FX!A:K,9,0)))-1)</f>
        <v>-5.5799270208483076E-3</v>
      </c>
      <c r="I452" s="93">
        <f t="shared" si="199"/>
        <v>-4.9751243781094301E-3</v>
      </c>
      <c r="J452">
        <v>12790.57</v>
      </c>
      <c r="K452">
        <v>12800.87</v>
      </c>
      <c r="L452" s="93">
        <f t="shared" ref="L452" si="490">+K452/J452-1</f>
        <v>8.0528076543906479E-4</v>
      </c>
      <c r="M452" s="92">
        <f t="shared" ref="M452" si="491">WEEKDAY(A452,2)</f>
        <v>5</v>
      </c>
    </row>
    <row r="453" spans="1:14" x14ac:dyDescent="0.15">
      <c r="A453" s="90">
        <v>43045</v>
      </c>
      <c r="B453">
        <v>15.06</v>
      </c>
      <c r="C453" s="93">
        <f t="shared" si="455"/>
        <v>0</v>
      </c>
      <c r="D453" s="26">
        <f t="shared" si="409"/>
        <v>15.145752106145908</v>
      </c>
      <c r="E453" s="26">
        <f>D453*(1-VLOOKUP(A453,FX!A:K,9,0))</f>
        <v>15.105179027480887</v>
      </c>
      <c r="F453">
        <v>15.1029</v>
      </c>
      <c r="G453" s="93">
        <f t="shared" ref="G453" si="492">+B453/D453-1</f>
        <v>-5.6617925306667871E-3</v>
      </c>
      <c r="H453" s="93">
        <f>(+B453/(D453*(1-VLOOKUP(A453,FX!A:K,9,0)))-1)</f>
        <v>-2.990962728656954E-3</v>
      </c>
      <c r="I453" s="93">
        <f t="shared" si="199"/>
        <v>-2.8405140734560907E-3</v>
      </c>
      <c r="J453">
        <v>12800.87</v>
      </c>
      <c r="K453">
        <v>12809.71</v>
      </c>
      <c r="L453" s="93">
        <f t="shared" ref="L453" si="493">+K453/J453-1</f>
        <v>6.9057806227212915E-4</v>
      </c>
      <c r="M453" s="92">
        <f t="shared" ref="M453" si="494">WEEKDAY(A453,2)</f>
        <v>1</v>
      </c>
    </row>
    <row r="454" spans="1:14" x14ac:dyDescent="0.15">
      <c r="A454" s="90">
        <v>43046</v>
      </c>
      <c r="B454">
        <v>15.3</v>
      </c>
      <c r="C454" s="93">
        <f t="shared" si="455"/>
        <v>1.5936254980079667E-2</v>
      </c>
      <c r="D454" s="26">
        <f t="shared" si="409"/>
        <v>15.257563799726928</v>
      </c>
      <c r="E454" s="26">
        <f>D454*(1-VLOOKUP(A454,FX!A:K,9,0))</f>
        <v>15.284450739949069</v>
      </c>
      <c r="F454">
        <v>15.2842</v>
      </c>
      <c r="G454" s="93">
        <f t="shared" ref="G454" si="495">+B454/D454-1</f>
        <v>2.7813221579864322E-3</v>
      </c>
      <c r="H454" s="93">
        <f>(+B454/(D454*(1-VLOOKUP(A454,FX!A:K,9,0)))-1)</f>
        <v>1.0173254057661563E-3</v>
      </c>
      <c r="I454" s="93">
        <f t="shared" si="199"/>
        <v>1.0337472684209814E-3</v>
      </c>
      <c r="J454">
        <v>12809.71</v>
      </c>
      <c r="K454">
        <v>12940.89</v>
      </c>
      <c r="L454" s="93">
        <f t="shared" ref="L454" si="496">+K454/J454-1</f>
        <v>1.024066899250653E-2</v>
      </c>
      <c r="M454" s="92">
        <f t="shared" ref="M454" si="497">WEEKDAY(A454,2)</f>
        <v>2</v>
      </c>
      <c r="N454" s="50" t="s">
        <v>563</v>
      </c>
    </row>
    <row r="455" spans="1:14" x14ac:dyDescent="0.15">
      <c r="A455" s="90">
        <v>43047</v>
      </c>
      <c r="B455">
        <v>15.18</v>
      </c>
      <c r="C455" s="93">
        <f t="shared" si="455"/>
        <v>-7.8431372549020439E-3</v>
      </c>
      <c r="D455" s="26">
        <f t="shared" si="409"/>
        <v>15.249452686329919</v>
      </c>
      <c r="E455" s="26">
        <f>D455*(1-VLOOKUP(A455,FX!A:K,9,0))</f>
        <v>15.205965012714135</v>
      </c>
      <c r="F455">
        <v>15.2171</v>
      </c>
      <c r="G455" s="93">
        <f t="shared" ref="G455" si="498">+B455/D455-1</f>
        <v>-4.5544379695789949E-3</v>
      </c>
      <c r="H455" s="93">
        <f>(+B455/(D455*(1-VLOOKUP(A455,FX!A:K,9,0)))-1)</f>
        <v>-1.7075544164690815E-3</v>
      </c>
      <c r="I455" s="93">
        <f t="shared" si="199"/>
        <v>-2.4380466711791948E-3</v>
      </c>
      <c r="J455">
        <v>12940.89</v>
      </c>
      <c r="K455">
        <v>12911.47</v>
      </c>
      <c r="L455" s="93">
        <f t="shared" ref="L455" si="499">+K455/J455-1</f>
        <v>-2.2734139614818405E-3</v>
      </c>
      <c r="M455" s="92">
        <f t="shared" ref="M455" si="500">WEEKDAY(A455,2)</f>
        <v>3</v>
      </c>
    </row>
    <row r="456" spans="1:14" x14ac:dyDescent="0.15">
      <c r="A456" s="90">
        <v>43048</v>
      </c>
      <c r="B456">
        <v>15.3</v>
      </c>
      <c r="C456" s="93">
        <f t="shared" si="455"/>
        <v>7.905138339921125E-3</v>
      </c>
      <c r="D456" s="26">
        <f t="shared" si="409"/>
        <v>15.313754708642781</v>
      </c>
      <c r="E456" s="26">
        <f>D456*(1-VLOOKUP(A456,FX!A:K,9,0))</f>
        <v>15.337409788457178</v>
      </c>
      <c r="F456">
        <v>15.3178</v>
      </c>
      <c r="G456" s="93">
        <f t="shared" ref="G456" si="501">+B456/D456-1</f>
        <v>-8.9819308879346416E-4</v>
      </c>
      <c r="H456" s="93">
        <f>(+B456/(D456*(1-VLOOKUP(A456,FX!A:K,9,0)))-1)</f>
        <v>-2.4391203582062593E-3</v>
      </c>
      <c r="I456" s="93">
        <f t="shared" si="199"/>
        <v>-1.1620467691182412E-3</v>
      </c>
      <c r="J456">
        <v>12911.47</v>
      </c>
      <c r="K456">
        <v>12993.48</v>
      </c>
      <c r="L456" s="93">
        <f t="shared" ref="L456" si="502">+K456/J456-1</f>
        <v>6.3517167293887233E-3</v>
      </c>
      <c r="M456" s="92">
        <f t="shared" ref="M456" si="503">WEEKDAY(A456,2)</f>
        <v>4</v>
      </c>
    </row>
    <row r="457" spans="1:14" x14ac:dyDescent="0.15">
      <c r="A457" s="90">
        <v>43049</v>
      </c>
      <c r="B457">
        <v>15.44</v>
      </c>
      <c r="C457" s="93">
        <f t="shared" si="455"/>
        <v>9.1503267973855884E-3</v>
      </c>
      <c r="D457" s="26">
        <f t="shared" si="409"/>
        <v>15.467447479505106</v>
      </c>
      <c r="E457" s="26">
        <f>D457*(1-VLOOKUP(A457,FX!A:K,9,0))</f>
        <v>15.442379376001824</v>
      </c>
      <c r="F457">
        <v>15.459899999999999</v>
      </c>
      <c r="G457" s="93">
        <f t="shared" ref="G457" si="504">+B457/D457-1</f>
        <v>-1.7745319349863342E-3</v>
      </c>
      <c r="H457" s="93">
        <f>(+B457/(D457*(1-VLOOKUP(A457,FX!A:K,9,0)))-1)</f>
        <v>-1.5408091874247187E-4</v>
      </c>
      <c r="I457" s="93">
        <f t="shared" si="199"/>
        <v>-1.287201081507594E-3</v>
      </c>
      <c r="J457">
        <v>12993.48</v>
      </c>
      <c r="K457">
        <v>13120.42</v>
      </c>
      <c r="L457" s="93">
        <f t="shared" ref="L457" si="505">+K457/J457-1</f>
        <v>9.7695151722247964E-3</v>
      </c>
      <c r="M457" s="92">
        <f t="shared" ref="M457" si="506">WEEKDAY(A457,2)</f>
        <v>5</v>
      </c>
    </row>
    <row r="458" spans="1:14" x14ac:dyDescent="0.15">
      <c r="A458" s="90">
        <v>43052</v>
      </c>
      <c r="B458">
        <v>15.44</v>
      </c>
      <c r="C458" s="93">
        <f t="shared" si="455"/>
        <v>0</v>
      </c>
      <c r="D458" s="26">
        <f t="shared" si="409"/>
        <v>15.525131148393116</v>
      </c>
      <c r="E458" s="26">
        <f>D458*(1-VLOOKUP(A458,FX!A:K,9,0))</f>
        <v>15.509904351456447</v>
      </c>
      <c r="F458">
        <v>15.4954</v>
      </c>
      <c r="G458" s="93">
        <f t="shared" ref="G458" si="507">+B458/D458-1</f>
        <v>-5.4834414974928025E-3</v>
      </c>
      <c r="H458" s="93">
        <f>(+B458/(D458*(1-VLOOKUP(A458,FX!A:K,9,0)))-1)</f>
        <v>-4.5070781787176495E-3</v>
      </c>
      <c r="I458" s="93">
        <f t="shared" si="199"/>
        <v>-3.575254591685284E-3</v>
      </c>
      <c r="J458">
        <v>13120.42</v>
      </c>
      <c r="K458">
        <v>13175.78</v>
      </c>
      <c r="L458" s="93">
        <f t="shared" ref="L458" si="508">+K458/J458-1</f>
        <v>4.2193771235983224E-3</v>
      </c>
      <c r="M458" s="92">
        <f t="shared" ref="M458" si="509">WEEKDAY(A458,2)</f>
        <v>1</v>
      </c>
    </row>
    <row r="459" spans="1:14" x14ac:dyDescent="0.15">
      <c r="A459" s="90">
        <v>43053</v>
      </c>
      <c r="B459">
        <v>15.38</v>
      </c>
      <c r="C459" s="93">
        <f t="shared" si="455"/>
        <v>-3.8860103626942033E-3</v>
      </c>
      <c r="D459" s="26">
        <f t="shared" si="409"/>
        <v>15.416980864889972</v>
      </c>
      <c r="E459" s="26">
        <f>D459*(1-VLOOKUP(A459,FX!A:K,9,0))</f>
        <v>15.426452774050849</v>
      </c>
      <c r="F459">
        <v>15.4283</v>
      </c>
      <c r="G459" s="93">
        <f t="shared" ref="G459" si="510">+B459/D459-1</f>
        <v>-2.3987099169455739E-3</v>
      </c>
      <c r="H459" s="93">
        <f>(+B459/(D459*(1-VLOOKUP(A459,FX!A:K,9,0)))-1)</f>
        <v>-3.0112414520198083E-3</v>
      </c>
      <c r="I459" s="93">
        <f t="shared" si="199"/>
        <v>-3.1306106311128623E-3</v>
      </c>
      <c r="J459">
        <v>13175.78</v>
      </c>
      <c r="K459">
        <v>13109.1</v>
      </c>
      <c r="L459" s="93">
        <f t="shared" ref="L459" si="511">+K459/J459-1</f>
        <v>-5.0608009544785837E-3</v>
      </c>
      <c r="M459" s="92">
        <f t="shared" ref="M459" si="512">WEEKDAY(A459,2)</f>
        <v>2</v>
      </c>
    </row>
    <row r="460" spans="1:14" x14ac:dyDescent="0.15">
      <c r="A460" s="90">
        <v>43054</v>
      </c>
      <c r="B460">
        <v>15.3</v>
      </c>
      <c r="C460" s="93">
        <f t="shared" si="455"/>
        <v>-5.2015604681404648E-3</v>
      </c>
      <c r="D460" s="26">
        <f t="shared" si="409"/>
        <v>15.373714669656955</v>
      </c>
      <c r="E460" s="26">
        <f>D460*(1-VLOOKUP(A460,FX!A:K,9,0))</f>
        <v>15.389357883987525</v>
      </c>
      <c r="F460">
        <v>15.403600000000001</v>
      </c>
      <c r="G460" s="93">
        <f t="shared" ref="G460" si="513">+B460/D460-1</f>
        <v>-4.7948509023941766E-3</v>
      </c>
      <c r="H460" s="93">
        <f>(+B460/(D460*(1-VLOOKUP(A460,FX!A:K,9,0)))-1)</f>
        <v>-5.8064725416842045E-3</v>
      </c>
      <c r="I460" s="93">
        <f t="shared" si="199"/>
        <v>-6.7257004856007274E-3</v>
      </c>
      <c r="J460">
        <v>13109.1</v>
      </c>
      <c r="K460">
        <v>13062.72</v>
      </c>
      <c r="L460" s="93">
        <f t="shared" ref="L460" si="514">+K460/J460-1</f>
        <v>-3.5380003203882016E-3</v>
      </c>
      <c r="M460" s="92">
        <f t="shared" ref="M460" si="515">WEEKDAY(A460,2)</f>
        <v>3</v>
      </c>
    </row>
    <row r="461" spans="1:14" x14ac:dyDescent="0.15">
      <c r="A461" s="90">
        <v>43055</v>
      </c>
      <c r="B461">
        <v>15.52</v>
      </c>
      <c r="C461" s="93">
        <f t="shared" si="455"/>
        <v>1.437908496732021E-2</v>
      </c>
      <c r="D461" s="26">
        <f t="shared" si="409"/>
        <v>15.57695464864898</v>
      </c>
      <c r="E461" s="26">
        <f>D461*(1-VLOOKUP(A461,FX!A:K,9,0))</f>
        <v>15.580239213446253</v>
      </c>
      <c r="F461">
        <v>15.5906</v>
      </c>
      <c r="G461" s="93">
        <f t="shared" ref="G461" si="516">+B461/D461-1</f>
        <v>-3.6563404037336378E-3</v>
      </c>
      <c r="H461" s="93">
        <f>(+B461/(D461*(1-VLOOKUP(A461,FX!A:K,9,0)))-1)</f>
        <v>-3.8663856582038525E-3</v>
      </c>
      <c r="I461" s="93">
        <f t="shared" si="199"/>
        <v>-4.528369658640452E-3</v>
      </c>
      <c r="J461">
        <v>13062.72</v>
      </c>
      <c r="K461">
        <v>13209.73</v>
      </c>
      <c r="L461" s="93">
        <f t="shared" ref="L461" si="517">+K461/J461-1</f>
        <v>1.125416452316208E-2</v>
      </c>
      <c r="M461" s="92">
        <f t="shared" ref="M461" si="518">WEEKDAY(A461,2)</f>
        <v>4</v>
      </c>
    </row>
    <row r="462" spans="1:14" x14ac:dyDescent="0.15">
      <c r="A462" s="90">
        <v>43056</v>
      </c>
      <c r="B462">
        <v>15.74</v>
      </c>
      <c r="C462" s="93">
        <f t="shared" si="455"/>
        <v>1.4175257731958713E-2</v>
      </c>
      <c r="D462" s="26">
        <f t="shared" si="409"/>
        <v>15.837056898967656</v>
      </c>
      <c r="E462" s="26">
        <f>D462*(1-VLOOKUP(A462,FX!A:K,9,0))</f>
        <v>15.845682990853229</v>
      </c>
      <c r="F462">
        <v>15.840400000000001</v>
      </c>
      <c r="G462" s="93">
        <f t="shared" ref="G462" si="519">+B462/D462-1</f>
        <v>-6.1284681608981817E-3</v>
      </c>
      <c r="H462" s="93">
        <f>(+B462/(D462*(1-VLOOKUP(A462,FX!A:K,9,0)))-1)</f>
        <v>-6.6695131358006643E-3</v>
      </c>
      <c r="I462" s="93">
        <f t="shared" si="199"/>
        <v>-6.3382237822277032E-3</v>
      </c>
      <c r="J462">
        <v>13209.73</v>
      </c>
      <c r="K462">
        <v>13418.55</v>
      </c>
      <c r="L462" s="93">
        <f t="shared" ref="L462" si="520">+K462/J462-1</f>
        <v>1.5808044524755704E-2</v>
      </c>
      <c r="M462" s="92">
        <f t="shared" ref="M462" si="521">WEEKDAY(A462,2)</f>
        <v>5</v>
      </c>
    </row>
    <row r="463" spans="1:14" x14ac:dyDescent="0.15">
      <c r="A463" s="90">
        <v>43059</v>
      </c>
      <c r="B463">
        <v>15.86</v>
      </c>
      <c r="C463" s="93">
        <f t="shared" si="455"/>
        <v>7.6238881829733263E-3</v>
      </c>
      <c r="D463" s="26">
        <f t="shared" si="409"/>
        <v>15.931887604845533</v>
      </c>
      <c r="E463" s="26">
        <f>D463*(1-VLOOKUP(A463,FX!A:K,9,0))</f>
        <v>15.914608796577006</v>
      </c>
      <c r="F463">
        <v>15.9116</v>
      </c>
      <c r="G463" s="93">
        <f t="shared" ref="G463" si="522">+B463/D463-1</f>
        <v>-4.5121837806381127E-3</v>
      </c>
      <c r="H463" s="93">
        <f>(+B463/(D463*(1-VLOOKUP(A463,FX!A:K,9,0)))-1)</f>
        <v>-3.4313627984844386E-3</v>
      </c>
      <c r="I463" s="93">
        <f t="shared" si="199"/>
        <v>-3.2429171170718085E-3</v>
      </c>
      <c r="J463">
        <v>13418.55</v>
      </c>
      <c r="K463">
        <v>13496.05</v>
      </c>
      <c r="L463" s="93">
        <f t="shared" ref="L463" si="523">+K463/J463-1</f>
        <v>5.7755867809861083E-3</v>
      </c>
      <c r="M463" s="92">
        <f t="shared" ref="M463" si="524">WEEKDAY(A463,2)</f>
        <v>1</v>
      </c>
    </row>
    <row r="464" spans="1:14" x14ac:dyDescent="0.15">
      <c r="A464" s="90">
        <v>43060</v>
      </c>
      <c r="B464">
        <v>16.22</v>
      </c>
      <c r="C464" s="93">
        <f t="shared" si="455"/>
        <v>2.2698612862547263E-2</v>
      </c>
      <c r="D464" s="26">
        <f t="shared" si="409"/>
        <v>16.233238078993484</v>
      </c>
      <c r="E464" s="26">
        <f>D464*(1-VLOOKUP(A464,FX!A:K,9,0))</f>
        <v>16.227911247417687</v>
      </c>
      <c r="F464">
        <v>16.229900000000001</v>
      </c>
      <c r="G464" s="93">
        <f t="shared" ref="G464" si="525">+B464/D464-1</f>
        <v>-8.1549219749421642E-4</v>
      </c>
      <c r="H464" s="93">
        <f>(+B464/(D464*(1-VLOOKUP(A464,FX!A:K,9,0)))-1)</f>
        <v>-4.8750866929636594E-4</v>
      </c>
      <c r="I464" s="93">
        <f t="shared" si="199"/>
        <v>-6.0998527409295011E-4</v>
      </c>
      <c r="J464">
        <v>13496.05</v>
      </c>
      <c r="K464">
        <v>13768.86</v>
      </c>
      <c r="L464" s="93">
        <f t="shared" ref="L464" si="526">+K464/J464-1</f>
        <v>2.021406263314085E-2</v>
      </c>
      <c r="M464" s="92">
        <f t="shared" ref="M464" si="527">WEEKDAY(A464,2)</f>
        <v>2</v>
      </c>
    </row>
    <row r="465" spans="1:14" x14ac:dyDescent="0.15">
      <c r="A465" s="90">
        <v>43061</v>
      </c>
      <c r="B465">
        <v>16.36</v>
      </c>
      <c r="C465" s="93">
        <f t="shared" si="455"/>
        <v>8.6313193588163362E-3</v>
      </c>
      <c r="D465" s="26">
        <f t="shared" si="409"/>
        <v>16.344709233298907</v>
      </c>
      <c r="E465" s="26">
        <f>D465*(1-VLOOKUP(A465,FX!A:K,9,0))</f>
        <v>16.411026560581206</v>
      </c>
      <c r="F465">
        <v>16.413900000000002</v>
      </c>
      <c r="G465" s="93">
        <f t="shared" ref="G465" si="528">+B465/D465-1</f>
        <v>9.3551781697898129E-4</v>
      </c>
      <c r="H465" s="93">
        <f>(+B465/(D465*(1-VLOOKUP(A465,FX!A:K,9,0)))-1)</f>
        <v>-3.1092851134475463E-3</v>
      </c>
      <c r="I465" s="93">
        <f t="shared" si="199"/>
        <v>-3.2838021433054809E-3</v>
      </c>
      <c r="J465">
        <v>13768.86</v>
      </c>
      <c r="K465">
        <v>13866.26</v>
      </c>
      <c r="L465" s="93">
        <f t="shared" ref="L465" si="529">+K465/J465-1</f>
        <v>7.0739334992149239E-3</v>
      </c>
      <c r="M465" s="92">
        <f t="shared" ref="M465" si="530">WEEKDAY(A465,2)</f>
        <v>3</v>
      </c>
    </row>
    <row r="466" spans="1:14" x14ac:dyDescent="0.15">
      <c r="A466" s="90">
        <v>43062</v>
      </c>
      <c r="B466">
        <v>15.88</v>
      </c>
      <c r="C466" s="93">
        <f t="shared" si="455"/>
        <v>-2.9339853300733409E-2</v>
      </c>
      <c r="D466" s="26">
        <f t="shared" si="409"/>
        <v>15.945450916685539</v>
      </c>
      <c r="E466" s="26">
        <f>D466*(1-VLOOKUP(A466,FX!A:K,9,0))</f>
        <v>16.008924010026515</v>
      </c>
      <c r="F466">
        <v>15.995100000000001</v>
      </c>
      <c r="G466" s="93">
        <f t="shared" ref="G466" si="531">+B466/D466-1</f>
        <v>-4.1046764389114365E-3</v>
      </c>
      <c r="H466" s="93">
        <f>(+B466/(D466*(1-VLOOKUP(A466,FX!A:K,9,0)))-1)</f>
        <v>-8.0532589164498125E-3</v>
      </c>
      <c r="I466" s="93">
        <f t="shared" si="199"/>
        <v>-7.1959537608392576E-3</v>
      </c>
      <c r="J466">
        <v>13866.26</v>
      </c>
      <c r="K466">
        <v>13470.52</v>
      </c>
      <c r="L466" s="93">
        <f t="shared" ref="L466" si="532">+K466/J466-1</f>
        <v>-2.8539779291604228E-2</v>
      </c>
      <c r="M466" s="92">
        <f t="shared" ref="M466" si="533">WEEKDAY(A466,2)</f>
        <v>4</v>
      </c>
      <c r="N466" s="50" t="s">
        <v>597</v>
      </c>
    </row>
    <row r="467" spans="1:14" ht="27" x14ac:dyDescent="0.15">
      <c r="A467" s="90">
        <v>43063</v>
      </c>
      <c r="B467">
        <v>15.96</v>
      </c>
      <c r="C467" s="93">
        <f t="shared" si="455"/>
        <v>5.0377833753147971E-3</v>
      </c>
      <c r="D467" s="26">
        <f t="shared" si="409"/>
        <v>15.997237347333289</v>
      </c>
      <c r="E467" s="26">
        <f>D467*(1-VLOOKUP(A467,FX!A:K,9,0))</f>
        <v>16.007458332581685</v>
      </c>
      <c r="F467">
        <v>15.979699999999999</v>
      </c>
      <c r="G467" s="93">
        <f t="shared" ref="G467" si="534">+B467/D467-1</f>
        <v>-2.3277361287320497E-3</v>
      </c>
      <c r="H467" s="93">
        <f>(+B467/(D467*(1-VLOOKUP(A467,FX!A:K,9,0)))-1)</f>
        <v>-2.9647637742143962E-3</v>
      </c>
      <c r="I467" s="93">
        <f t="shared" si="199"/>
        <v>-1.2328141329310816E-3</v>
      </c>
      <c r="J467">
        <v>13470.52</v>
      </c>
      <c r="K467">
        <v>13472.32</v>
      </c>
      <c r="L467" s="93">
        <f t="shared" ref="L467" si="535">+K467/J467-1</f>
        <v>1.3362513102688212E-4</v>
      </c>
      <c r="M467" s="92">
        <f t="shared" ref="M467" si="536">WEEKDAY(A467,2)</f>
        <v>5</v>
      </c>
      <c r="N467" s="50" t="s">
        <v>600</v>
      </c>
    </row>
    <row r="468" spans="1:14" x14ac:dyDescent="0.15">
      <c r="A468" s="90">
        <v>43066</v>
      </c>
      <c r="B468">
        <v>15.7</v>
      </c>
      <c r="C468" s="93">
        <f t="shared" si="455"/>
        <v>-1.6290726817042689E-2</v>
      </c>
      <c r="D468" s="26">
        <f t="shared" si="409"/>
        <v>15.798260225039192</v>
      </c>
      <c r="E468" s="26">
        <f>D468*(1-VLOOKUP(A468,FX!A:K,9,0))</f>
        <v>15.779204789786618</v>
      </c>
      <c r="F468">
        <v>15.776899999999999</v>
      </c>
      <c r="G468" s="93">
        <f t="shared" ref="G468" si="537">+B468/D468-1</f>
        <v>-6.2196864489835191E-3</v>
      </c>
      <c r="H468" s="93">
        <f>(+B468/(D468*(1-VLOOKUP(A468,FX!A:K,9,0)))-1)</f>
        <v>-5.0195678959618073E-3</v>
      </c>
      <c r="I468" s="93">
        <f t="shared" si="199"/>
        <v>-4.874214833078705E-3</v>
      </c>
      <c r="J468">
        <v>13472.32</v>
      </c>
      <c r="K468">
        <v>13319.35</v>
      </c>
      <c r="L468" s="93">
        <f t="shared" ref="L468" si="538">+K468/J468-1</f>
        <v>-1.1354391819671683E-2</v>
      </c>
      <c r="M468" s="92">
        <f t="shared" ref="M468" si="539">WEEKDAY(A468,2)</f>
        <v>1</v>
      </c>
      <c r="N468" s="50" t="s">
        <v>603</v>
      </c>
    </row>
    <row r="469" spans="1:14" x14ac:dyDescent="0.15">
      <c r="A469" s="90">
        <v>43067</v>
      </c>
      <c r="B469">
        <v>15.64</v>
      </c>
      <c r="C469" s="93">
        <f t="shared" si="455"/>
        <v>-3.8216560509553021E-3</v>
      </c>
      <c r="D469" s="26">
        <f t="shared" si="409"/>
        <v>15.685894115553687</v>
      </c>
      <c r="E469" s="26">
        <f>D469*(1-VLOOKUP(A469,FX!A:K,9,0))</f>
        <v>15.661059221393826</v>
      </c>
      <c r="F469">
        <v>15.6867</v>
      </c>
      <c r="G469" s="93">
        <f t="shared" ref="G469" si="540">+B469/D469-1</f>
        <v>-2.9258208180927836E-3</v>
      </c>
      <c r="H469" s="93">
        <f>(+B469/(D469*(1-VLOOKUP(A469,FX!A:K,9,0)))-1)</f>
        <v>-1.3446869139640549E-3</v>
      </c>
      <c r="I469" s="93">
        <f t="shared" si="199"/>
        <v>-2.9770442476747538E-3</v>
      </c>
      <c r="J469">
        <v>13319.35</v>
      </c>
      <c r="K469">
        <v>13242.52</v>
      </c>
      <c r="L469" s="93">
        <f t="shared" ref="L469" si="541">+K469/J469-1</f>
        <v>-5.7682995041049567E-3</v>
      </c>
      <c r="M469" s="92">
        <f t="shared" ref="M469" si="542">WEEKDAY(A469,2)</f>
        <v>2</v>
      </c>
    </row>
    <row r="470" spans="1:14" x14ac:dyDescent="0.15">
      <c r="A470" s="90">
        <v>43068</v>
      </c>
      <c r="B470">
        <v>15.64</v>
      </c>
      <c r="C470" s="93">
        <f t="shared" si="455"/>
        <v>0</v>
      </c>
      <c r="D470" s="26">
        <f t="shared" si="409"/>
        <v>15.71875448071817</v>
      </c>
      <c r="E470" s="26">
        <f>D470*(1-VLOOKUP(A470,FX!A:K,9,0))</f>
        <v>15.716184680432221</v>
      </c>
      <c r="F470">
        <v>15.73</v>
      </c>
      <c r="G470" s="93">
        <f t="shared" ref="G470" si="543">+B470/D470-1</f>
        <v>-5.010223985289386E-3</v>
      </c>
      <c r="H470" s="93">
        <f>(+B470/(D470*(1-VLOOKUP(A470,FX!A:K,9,0)))-1)</f>
        <v>-4.8475302359531902E-3</v>
      </c>
      <c r="I470" s="93">
        <f t="shared" si="199"/>
        <v>-5.7215511760966287E-3</v>
      </c>
      <c r="J470">
        <v>13242.52</v>
      </c>
      <c r="K470">
        <v>13269.58</v>
      </c>
      <c r="L470" s="93">
        <f t="shared" ref="L470" si="544">+K470/J470-1</f>
        <v>2.0434177180777002E-3</v>
      </c>
      <c r="M470" s="92">
        <f t="shared" ref="M470" si="545">WEEKDAY(A470,2)</f>
        <v>3</v>
      </c>
      <c r="N470" s="50" t="s">
        <v>605</v>
      </c>
    </row>
    <row r="471" spans="1:14" x14ac:dyDescent="0.15">
      <c r="A471" s="90">
        <v>43069</v>
      </c>
      <c r="B471">
        <v>15.38</v>
      </c>
      <c r="C471" s="93">
        <f t="shared" si="455"/>
        <v>-1.6624040920716121E-2</v>
      </c>
      <c r="D471" s="26">
        <f t="shared" si="409"/>
        <v>15.517407122154584</v>
      </c>
      <c r="E471" s="26">
        <f>D471*(1-VLOOKUP(A471,FX!A:K,9,0))</f>
        <v>15.494535188590243</v>
      </c>
      <c r="F471">
        <v>15.4872</v>
      </c>
      <c r="G471" s="93">
        <f t="shared" ref="G471" si="546">+B471/D471-1</f>
        <v>-8.8550310675553634E-3</v>
      </c>
      <c r="H471" s="93">
        <f>(+B471/(D471*(1-VLOOKUP(A471,FX!A:K,9,0)))-1)</f>
        <v>-7.3919731825567991E-3</v>
      </c>
      <c r="I471" s="93">
        <f t="shared" si="199"/>
        <v>-6.9218451366288569E-3</v>
      </c>
      <c r="J471">
        <v>13269.58</v>
      </c>
      <c r="K471">
        <v>13090.24</v>
      </c>
      <c r="L471" s="93">
        <f t="shared" ref="L471" si="547">+K471/J471-1</f>
        <v>-1.3515122558513504E-2</v>
      </c>
      <c r="M471" s="92">
        <f t="shared" ref="M471" si="548">WEEKDAY(A471,2)</f>
        <v>4</v>
      </c>
    </row>
    <row r="472" spans="1:14" x14ac:dyDescent="0.15">
      <c r="A472" s="90">
        <v>43070</v>
      </c>
      <c r="B472">
        <v>15.28</v>
      </c>
      <c r="C472" s="93">
        <f t="shared" si="455"/>
        <v>-6.5019505851756643E-3</v>
      </c>
      <c r="D472" s="26">
        <f t="shared" si="409"/>
        <v>15.366854002982375</v>
      </c>
      <c r="E472" s="26">
        <f>D472*(1-VLOOKUP(A472,FX!A:K,9,0))</f>
        <v>15.368119849968839</v>
      </c>
      <c r="F472">
        <v>15.3703</v>
      </c>
      <c r="G472" s="93">
        <f t="shared" ref="G472" si="549">+B472/D472-1</f>
        <v>-5.6520354111205817E-3</v>
      </c>
      <c r="H472" s="93">
        <f>(+B472/(D472*(1-VLOOKUP(A472,FX!A:K,9,0)))-1)</f>
        <v>-5.7339382324649302E-3</v>
      </c>
      <c r="I472" s="93">
        <f t="shared" si="199"/>
        <v>-5.8749666564739123E-3</v>
      </c>
      <c r="J472">
        <v>13090.24</v>
      </c>
      <c r="K472">
        <v>12988.52</v>
      </c>
      <c r="L472" s="93">
        <f t="shared" ref="L472" si="550">+K472/J472-1</f>
        <v>-7.7706749456082358E-3</v>
      </c>
      <c r="M472" s="92">
        <f t="shared" ref="M472" si="551">WEEKDAY(A472,2)</f>
        <v>5</v>
      </c>
    </row>
    <row r="473" spans="1:14" x14ac:dyDescent="0.15">
      <c r="A473" s="90">
        <v>43073</v>
      </c>
      <c r="B473">
        <v>15.44</v>
      </c>
      <c r="C473" s="93">
        <f t="shared" si="455"/>
        <v>1.0471204188481575E-2</v>
      </c>
      <c r="D473" s="26">
        <f t="shared" si="409"/>
        <v>15.507145575323438</v>
      </c>
      <c r="E473" s="26">
        <f>D473*(1-VLOOKUP(A473,FX!A:K,9,0))</f>
        <v>15.509771028532372</v>
      </c>
      <c r="F473">
        <v>15.507</v>
      </c>
      <c r="G473" s="93">
        <f t="shared" ref="G473" si="552">+B473/D473-1</f>
        <v>-4.3299764613216052E-3</v>
      </c>
      <c r="H473" s="93">
        <f>(+B473/(D473*(1-VLOOKUP(A473,FX!A:K,9,0)))-1)</f>
        <v>-4.4985208617212002E-3</v>
      </c>
      <c r="I473" s="93">
        <f t="shared" si="199"/>
        <v>-4.3206293931772333E-3</v>
      </c>
      <c r="J473">
        <v>12988.52</v>
      </c>
      <c r="K473">
        <v>13104.16</v>
      </c>
      <c r="L473" s="93">
        <f t="shared" ref="L473" si="553">+K473/J473-1</f>
        <v>8.9032468672334275E-3</v>
      </c>
      <c r="M473" s="92">
        <f t="shared" ref="M473" si="554">WEEKDAY(A473,2)</f>
        <v>1</v>
      </c>
    </row>
    <row r="474" spans="1:14" x14ac:dyDescent="0.15">
      <c r="A474" s="90">
        <v>43074</v>
      </c>
      <c r="B474">
        <v>15.66</v>
      </c>
      <c r="C474" s="93">
        <f t="shared" si="455"/>
        <v>1.4248704663212486E-2</v>
      </c>
      <c r="D474" s="26">
        <f t="shared" si="409"/>
        <v>15.739187982289595</v>
      </c>
      <c r="E474" s="26">
        <f>D474*(1-VLOOKUP(A474,FX!A:K,9,0))</f>
        <v>15.740175477968922</v>
      </c>
      <c r="F474">
        <v>15.7456</v>
      </c>
      <c r="G474" s="93">
        <f t="shared" ref="G474" si="555">+B474/D474-1</f>
        <v>-5.0312622467372226E-3</v>
      </c>
      <c r="H474" s="93">
        <f>(+B474/(D474*(1-VLOOKUP(A474,FX!A:K,9,0)))-1)</f>
        <v>-5.093683871640553E-3</v>
      </c>
      <c r="I474" s="93">
        <f t="shared" si="199"/>
        <v>-5.4364393862411653E-3</v>
      </c>
      <c r="J474">
        <v>13104.16</v>
      </c>
      <c r="K474">
        <v>13300.37</v>
      </c>
      <c r="L474" s="93">
        <f t="shared" ref="L474" si="556">+K474/J474-1</f>
        <v>1.497310777646188E-2</v>
      </c>
      <c r="M474" s="92">
        <f t="shared" ref="M474" si="557">WEEKDAY(A474,2)</f>
        <v>2</v>
      </c>
    </row>
    <row r="475" spans="1:14" x14ac:dyDescent="0.15">
      <c r="A475" s="90">
        <v>43075</v>
      </c>
      <c r="B475">
        <v>15.4</v>
      </c>
      <c r="C475" s="93">
        <f t="shared" si="455"/>
        <v>-1.6602809706257937E-2</v>
      </c>
      <c r="D475" s="26">
        <f t="shared" si="409"/>
        <v>15.550738822453811</v>
      </c>
      <c r="E475" s="26">
        <f>D475*(1-VLOOKUP(A475,FX!A:K,9,0))</f>
        <v>15.544098408400831</v>
      </c>
      <c r="F475">
        <v>15.541499999999999</v>
      </c>
      <c r="G475" s="93">
        <f t="shared" ref="G475" si="558">+B475/D475-1</f>
        <v>-9.693354391378306E-3</v>
      </c>
      <c r="H475" s="93">
        <f>(+B475/(D475*(1-VLOOKUP(A475,FX!A:K,9,0)))-1)</f>
        <v>-9.2702969715472427E-3</v>
      </c>
      <c r="I475" s="93">
        <f t="shared" si="199"/>
        <v>-9.1046552778044632E-3</v>
      </c>
      <c r="J475">
        <v>13300.37</v>
      </c>
      <c r="K475">
        <v>13135.77</v>
      </c>
      <c r="L475" s="93">
        <f t="shared" ref="L475" si="559">+K475/J475-1</f>
        <v>-1.2375595566138431E-2</v>
      </c>
      <c r="M475" s="92">
        <f t="shared" ref="M475" si="560">WEEKDAY(A475,2)</f>
        <v>3</v>
      </c>
    </row>
    <row r="476" spans="1:14" x14ac:dyDescent="0.15">
      <c r="A476" s="90">
        <v>43076</v>
      </c>
      <c r="B476">
        <v>15.22</v>
      </c>
      <c r="C476" s="93">
        <f t="shared" si="455"/>
        <v>-1.1688311688311637E-2</v>
      </c>
      <c r="D476" s="26">
        <f t="shared" si="409"/>
        <v>15.336899006301115</v>
      </c>
      <c r="E476" s="26">
        <f>D476*(1-VLOOKUP(A476,FX!A:K,9,0))</f>
        <v>15.334164280403916</v>
      </c>
      <c r="F476">
        <v>15.3324</v>
      </c>
      <c r="G476" s="93">
        <f t="shared" ref="G476" si="561">+B476/D476-1</f>
        <v>-7.6220757698858277E-3</v>
      </c>
      <c r="H476" s="93">
        <f>(+B476/(D476*(1-VLOOKUP(A476,FX!A:K,9,0)))-1)</f>
        <v>-7.44509308210628E-3</v>
      </c>
      <c r="I476" s="93">
        <f t="shared" si="199"/>
        <v>-7.3308810101483379E-3</v>
      </c>
      <c r="J476">
        <v>13135.77</v>
      </c>
      <c r="K476">
        <v>12962.84</v>
      </c>
      <c r="L476" s="93">
        <f t="shared" ref="L476" si="562">+K476/J476-1</f>
        <v>-1.3164816375438981E-2</v>
      </c>
      <c r="M476" s="92">
        <f t="shared" ref="M476" si="563">WEEKDAY(A476,2)</f>
        <v>4</v>
      </c>
    </row>
    <row r="477" spans="1:14" x14ac:dyDescent="0.15">
      <c r="A477" s="90">
        <v>43077</v>
      </c>
      <c r="B477">
        <v>15.42</v>
      </c>
      <c r="C477" s="93">
        <f t="shared" si="455"/>
        <v>1.3140604467805517E-2</v>
      </c>
      <c r="D477" s="26">
        <f t="shared" si="409"/>
        <v>15.45369576697699</v>
      </c>
      <c r="E477" s="26">
        <f>D477*(1-VLOOKUP(A477,FX!A:K,9,0))</f>
        <v>15.441966817271007</v>
      </c>
      <c r="F477">
        <v>15.4291</v>
      </c>
      <c r="G477" s="93">
        <f t="shared" ref="G477" si="564">+B477/D477-1</f>
        <v>-2.1804342136070298E-3</v>
      </c>
      <c r="H477" s="93">
        <f>(+B477/(D477*(1-VLOOKUP(A477,FX!A:K,9,0)))-1)</f>
        <v>-1.4225401162265561E-3</v>
      </c>
      <c r="I477" s="93">
        <f t="shared" si="199"/>
        <v>-5.8979460888841651E-4</v>
      </c>
      <c r="J477">
        <v>12962.84</v>
      </c>
      <c r="K477">
        <v>13065.39</v>
      </c>
      <c r="L477" s="93">
        <f t="shared" ref="L477" si="565">+K477/J477-1</f>
        <v>7.9110750421975684E-3</v>
      </c>
      <c r="M477" s="92">
        <f t="shared" ref="M477" si="566">WEEKDAY(A477,2)</f>
        <v>5</v>
      </c>
    </row>
    <row r="478" spans="1:14" x14ac:dyDescent="0.15">
      <c r="A478" s="90">
        <v>43080</v>
      </c>
      <c r="B478">
        <v>15.66</v>
      </c>
      <c r="C478" s="93">
        <f t="shared" si="455"/>
        <v>1.5564202334630295E-2</v>
      </c>
      <c r="D478" s="26">
        <f t="shared" si="409"/>
        <v>15.66751469707372</v>
      </c>
      <c r="E478" s="26">
        <f>D478*(1-VLOOKUP(A478,FX!A:K,9,0))</f>
        <v>15.678032948526807</v>
      </c>
      <c r="F478">
        <v>15.6775</v>
      </c>
      <c r="G478" s="93">
        <f t="shared" ref="G478" si="567">+B478/D478-1</f>
        <v>-4.7963555286301141E-4</v>
      </c>
      <c r="H478" s="93">
        <f>(+B478/(D478*(1-VLOOKUP(A478,FX!A:K,9,0)))-1)</f>
        <v>-1.1502047856393194E-3</v>
      </c>
      <c r="I478" s="93">
        <f t="shared" si="199"/>
        <v>-1.1162494020092728E-3</v>
      </c>
      <c r="J478">
        <v>13065.39</v>
      </c>
      <c r="K478">
        <v>13267.28</v>
      </c>
      <c r="L478" s="93">
        <f t="shared" ref="L478" si="568">+K478/J478-1</f>
        <v>1.5452275056466069E-2</v>
      </c>
      <c r="M478" s="92">
        <f t="shared" ref="M478" si="569">WEEKDAY(A478,2)</f>
        <v>1</v>
      </c>
    </row>
    <row r="479" spans="1:14" x14ac:dyDescent="0.15">
      <c r="A479" s="90">
        <v>43081</v>
      </c>
      <c r="B479">
        <v>15.36</v>
      </c>
      <c r="C479" s="93">
        <f t="shared" si="455"/>
        <v>-1.9157088122605415E-2</v>
      </c>
      <c r="D479" s="26">
        <f t="shared" si="409"/>
        <v>15.427104873794777</v>
      </c>
      <c r="E479" s="26">
        <f>D479*(1-VLOOKUP(A479,FX!A:K,9,0))</f>
        <v>15.427104873794777</v>
      </c>
      <c r="F479">
        <v>15.417299999999999</v>
      </c>
      <c r="G479" s="93">
        <f t="shared" ref="G479" si="570">+B479/D479-1</f>
        <v>-4.3498034364675142E-3</v>
      </c>
      <c r="H479" s="93">
        <f>(+B479/(D479*(1-VLOOKUP(A479,FX!A:K,9,0)))-1)</f>
        <v>-4.3498034364675142E-3</v>
      </c>
      <c r="I479" s="93">
        <f t="shared" si="199"/>
        <v>-3.7166040746433593E-3</v>
      </c>
      <c r="J479">
        <v>13267.28</v>
      </c>
      <c r="K479">
        <v>13055.38</v>
      </c>
      <c r="L479" s="93">
        <f t="shared" ref="L479" si="571">+K479/J479-1</f>
        <v>-1.5971623422434855E-2</v>
      </c>
      <c r="M479" s="92">
        <f t="shared" ref="M479" si="572">WEEKDAY(A479,2)</f>
        <v>2</v>
      </c>
    </row>
    <row r="480" spans="1:14" x14ac:dyDescent="0.15">
      <c r="A480" s="90">
        <v>43082</v>
      </c>
      <c r="B480">
        <v>15.58</v>
      </c>
      <c r="C480" s="93">
        <f t="shared" si="455"/>
        <v>1.4322916666666741E-2</v>
      </c>
      <c r="D480" s="26">
        <f t="shared" si="409"/>
        <v>15.559824686144715</v>
      </c>
      <c r="E480" s="26">
        <f>D480*(1-VLOOKUP(A480,FX!A:K,9,0))</f>
        <v>15.550565151665205</v>
      </c>
      <c r="F480">
        <v>15.5589</v>
      </c>
      <c r="G480" s="93">
        <f t="shared" ref="G480" si="573">+B480/D480-1</f>
        <v>1.2966286100415392E-3</v>
      </c>
      <c r="H480" s="93">
        <f>(+B480/(D480*(1-VLOOKUP(A480,FX!A:K,9,0)))-1)</f>
        <v>1.8928474976771525E-3</v>
      </c>
      <c r="I480" s="93">
        <f t="shared" si="199"/>
        <v>1.3561370019732344E-3</v>
      </c>
      <c r="J480">
        <v>13055.38</v>
      </c>
      <c r="K480">
        <v>13176.07</v>
      </c>
      <c r="L480" s="93">
        <f t="shared" ref="L480" si="574">+K480/J480-1</f>
        <v>9.2444647340790276E-3</v>
      </c>
      <c r="M480" s="92">
        <f t="shared" ref="M480" si="575">WEEKDAY(A480,2)</f>
        <v>3</v>
      </c>
    </row>
    <row r="481" spans="1:15" x14ac:dyDescent="0.15">
      <c r="A481" s="90">
        <v>43083</v>
      </c>
      <c r="B481">
        <v>15.5</v>
      </c>
      <c r="C481" s="93">
        <f t="shared" si="455"/>
        <v>-5.1347881899871384E-3</v>
      </c>
      <c r="D481" s="26">
        <f t="shared" si="409"/>
        <v>15.456650607654634</v>
      </c>
      <c r="E481" s="26">
        <f>D481*(1-VLOOKUP(A481,FX!A:K,9,0))</f>
        <v>15.490236277275311</v>
      </c>
      <c r="F481">
        <v>15.4956</v>
      </c>
      <c r="G481" s="93">
        <f t="shared" ref="G481" si="576">+B481/D481-1</f>
        <v>2.8045786532755468E-3</v>
      </c>
      <c r="H481" s="93">
        <f>(+B481/(D481*(1-VLOOKUP(A481,FX!A:K,9,0)))-1)</f>
        <v>6.3031464142437876E-4</v>
      </c>
      <c r="I481" s="93">
        <f t="shared" si="199"/>
        <v>2.839515733499276E-4</v>
      </c>
      <c r="J481">
        <v>13176.07</v>
      </c>
      <c r="K481">
        <v>13089.48</v>
      </c>
      <c r="L481" s="93">
        <f t="shared" ref="L481" si="577">+K481/J481-1</f>
        <v>-6.5717622933090247E-3</v>
      </c>
      <c r="M481" s="92">
        <f t="shared" ref="M481" si="578">WEEKDAY(A481,2)</f>
        <v>4</v>
      </c>
    </row>
    <row r="482" spans="1:15" x14ac:dyDescent="0.15">
      <c r="A482" s="90">
        <v>43084</v>
      </c>
      <c r="B482">
        <v>15.28</v>
      </c>
      <c r="C482" s="93">
        <f t="shared" si="455"/>
        <v>-1.4193548387096855E-2</v>
      </c>
      <c r="D482" s="26">
        <f t="shared" si="409"/>
        <v>15.281588857616956</v>
      </c>
      <c r="E482" s="26">
        <f>D482*(1-VLOOKUP(A482,FX!A:K,9,0))</f>
        <v>15.286954669366908</v>
      </c>
      <c r="F482">
        <v>15.2834</v>
      </c>
      <c r="G482" s="93">
        <f t="shared" ref="G482" si="579">+B482/D482-1</f>
        <v>-1.0397201703049586E-4</v>
      </c>
      <c r="H482" s="93">
        <f>(+B482/(D482*(1-VLOOKUP(A482,FX!A:K,9,0)))-1)</f>
        <v>-4.5494145284841192E-4</v>
      </c>
      <c r="I482" s="93">
        <f t="shared" si="199"/>
        <v>-2.224635879451986E-4</v>
      </c>
      <c r="J482">
        <v>13089.48</v>
      </c>
      <c r="K482">
        <v>12908.7</v>
      </c>
      <c r="L482" s="93">
        <f t="shared" ref="L482" si="580">+K482/J482-1</f>
        <v>-1.3811091044105606E-2</v>
      </c>
      <c r="M482" s="92">
        <f t="shared" ref="M482" si="581">WEEKDAY(A482,2)</f>
        <v>5</v>
      </c>
    </row>
    <row r="483" spans="1:15" x14ac:dyDescent="0.15">
      <c r="A483" s="90">
        <v>43087</v>
      </c>
      <c r="B483">
        <v>15.02</v>
      </c>
      <c r="C483" s="93">
        <f t="shared" si="455"/>
        <v>3.9167457590867372E-3</v>
      </c>
      <c r="D483" s="26">
        <f t="shared" si="409"/>
        <v>15.033846727245965</v>
      </c>
      <c r="E483" s="26">
        <f>D483*(1-VLOOKUP(A483,FX!A:K,9,0))</f>
        <v>15.023677547221196</v>
      </c>
      <c r="F483">
        <v>15.0288</v>
      </c>
      <c r="G483" s="93">
        <f t="shared" ref="G483" si="582">+B483/D483-1</f>
        <v>-9.2103687746603047E-4</v>
      </c>
      <c r="H483" s="93">
        <f>(+B483/(D483*(1-VLOOKUP(A483,FX!A:K,9,0)))-1)</f>
        <v>-2.4478342334210978E-4</v>
      </c>
      <c r="I483" s="93">
        <f t="shared" si="199"/>
        <v>-5.8554242521036137E-4</v>
      </c>
      <c r="J483">
        <v>12908.7</v>
      </c>
      <c r="K483">
        <v>12968.26</v>
      </c>
      <c r="L483" s="93">
        <f t="shared" ref="L483" si="583">+K483/J483-1</f>
        <v>4.613942534879456E-3</v>
      </c>
      <c r="M483" s="92">
        <f t="shared" ref="M483" si="584">WEEKDAY(A483,2)</f>
        <v>1</v>
      </c>
      <c r="N483" s="50" t="s">
        <v>634</v>
      </c>
      <c r="O483">
        <f>0.27*1.18</f>
        <v>0.31859999999999999</v>
      </c>
    </row>
    <row r="484" spans="1:15" x14ac:dyDescent="0.15">
      <c r="A484" s="90">
        <v>43088</v>
      </c>
      <c r="B484">
        <v>15.32</v>
      </c>
      <c r="C484" s="93">
        <f t="shared" si="455"/>
        <v>1.9973368841544659E-2</v>
      </c>
      <c r="D484" s="26">
        <f t="shared" si="409"/>
        <v>15.279421771000891</v>
      </c>
      <c r="E484" s="26">
        <f>D484*(1-VLOOKUP(A484,FX!A:K,9,0))</f>
        <v>15.275527618988104</v>
      </c>
      <c r="F484">
        <v>15.281700000000001</v>
      </c>
      <c r="G484" s="93">
        <f t="shared" ref="G484" si="585">+B484/D484-1</f>
        <v>2.6557437583223376E-3</v>
      </c>
      <c r="H484" s="93">
        <f>(+B484/(D484*(1-VLOOKUP(A484,FX!A:K,9,0)))-1)</f>
        <v>2.9113482768750032E-3</v>
      </c>
      <c r="I484" s="93">
        <f t="shared" si="199"/>
        <v>2.5062656641603454E-3</v>
      </c>
      <c r="J484">
        <v>12968.26</v>
      </c>
      <c r="K484">
        <v>13184.52</v>
      </c>
      <c r="L484" s="93">
        <f t="shared" ref="L484" si="586">+K484/J484-1</f>
        <v>1.6676099954812784E-2</v>
      </c>
      <c r="M484" s="92">
        <f t="shared" ref="M484" si="587">WEEKDAY(A484,2)</f>
        <v>2</v>
      </c>
    </row>
    <row r="485" spans="1:15" x14ac:dyDescent="0.15">
      <c r="A485" s="90">
        <v>43089</v>
      </c>
      <c r="B485">
        <v>15.4</v>
      </c>
      <c r="C485" s="93">
        <f t="shared" si="455"/>
        <v>5.2219321148825326E-3</v>
      </c>
      <c r="D485" s="26">
        <f t="shared" si="409"/>
        <v>15.321003853837681</v>
      </c>
      <c r="E485" s="26">
        <f>D485*(1-VLOOKUP(A485,FX!A:K,9,0))</f>
        <v>15.364196820554302</v>
      </c>
      <c r="F485">
        <v>15.379899999999999</v>
      </c>
      <c r="G485" s="93">
        <f t="shared" ref="G485" si="588">+B485/D485-1</f>
        <v>5.1560685524227878E-3</v>
      </c>
      <c r="H485" s="93">
        <f>(+B485/(D485*(1-VLOOKUP(A485,FX!A:K,9,0)))-1)</f>
        <v>2.3302994529335042E-3</v>
      </c>
      <c r="I485" s="93">
        <f t="shared" si="199"/>
        <v>1.3069005650232501E-3</v>
      </c>
      <c r="J485">
        <v>13184.52</v>
      </c>
      <c r="K485">
        <v>13218.43</v>
      </c>
      <c r="L485" s="93">
        <f t="shared" ref="L485" si="589">+K485/J485-1</f>
        <v>2.5719555964114349E-3</v>
      </c>
      <c r="M485" s="92">
        <f t="shared" ref="M485" si="590">WEEKDAY(A485,2)</f>
        <v>3</v>
      </c>
    </row>
    <row r="486" spans="1:15" x14ac:dyDescent="0.15">
      <c r="A486" s="90">
        <v>43090</v>
      </c>
      <c r="B486">
        <v>15.6</v>
      </c>
      <c r="C486" s="93">
        <f t="shared" si="455"/>
        <v>1.298701298701288E-2</v>
      </c>
      <c r="D486" s="26">
        <f t="shared" si="409"/>
        <v>15.534566636431103</v>
      </c>
      <c r="E486" s="26">
        <f>D486*(1-VLOOKUP(A486,FX!A:K,9,0))</f>
        <v>15.598226281941562</v>
      </c>
      <c r="F486">
        <v>15.595599999999999</v>
      </c>
      <c r="G486" s="93">
        <f t="shared" ref="G486" si="591">+B486/D486-1</f>
        <v>4.2121138684001469E-3</v>
      </c>
      <c r="H486" s="93">
        <f>(+B486/(D486*(1-VLOOKUP(A486,FX!A:K,9,0)))-1)</f>
        <v>1.1371280467264988E-4</v>
      </c>
      <c r="I486" s="93">
        <f t="shared" si="199"/>
        <v>2.8213085742145871E-4</v>
      </c>
      <c r="J486">
        <v>13218.43</v>
      </c>
      <c r="K486">
        <v>13351.36</v>
      </c>
      <c r="L486" s="93">
        <f t="shared" ref="L486" si="592">+K486/J486-1</f>
        <v>1.0056413658808161E-2</v>
      </c>
      <c r="M486" s="92">
        <f t="shared" ref="M486" si="593">WEEKDAY(A486,2)</f>
        <v>4</v>
      </c>
      <c r="N486" s="50" t="s">
        <v>630</v>
      </c>
    </row>
    <row r="487" spans="1:15" x14ac:dyDescent="0.15">
      <c r="A487" s="90">
        <v>43091</v>
      </c>
      <c r="B487">
        <v>15.52</v>
      </c>
      <c r="C487" s="93">
        <f t="shared" ref="C487" si="594">B487/(B486-O487)-1</f>
        <v>-5.12820512820511E-3</v>
      </c>
      <c r="D487" s="26">
        <f t="shared" ref="D487" si="595">+(F486-O487)*(1+L487)</f>
        <v>15.530070109412073</v>
      </c>
      <c r="E487" s="26">
        <f>D487*(1-VLOOKUP(A487,FX!A:K,9,0))</f>
        <v>15.535404064441835</v>
      </c>
      <c r="F487">
        <v>15.5129</v>
      </c>
      <c r="G487" s="93">
        <f t="shared" ref="G487" si="596">+B487/D487-1</f>
        <v>-6.4842652616037277E-4</v>
      </c>
      <c r="H487" s="93">
        <f>(+B487/(D487*(1-VLOOKUP(A487,FX!A:K,9,0)))-1)</f>
        <v>-9.9154578651050596E-4</v>
      </c>
      <c r="I487" s="93">
        <f t="shared" si="199"/>
        <v>4.5768360525744178E-4</v>
      </c>
      <c r="J487">
        <v>13351.36</v>
      </c>
      <c r="K487">
        <v>13295.26</v>
      </c>
      <c r="L487" s="93">
        <f t="shared" ref="L487" si="597">+K487/J487-1</f>
        <v>-4.2018191405220895E-3</v>
      </c>
      <c r="M487" s="92">
        <f t="shared" ref="M487" si="598">WEEKDAY(A487,2)</f>
        <v>5</v>
      </c>
    </row>
    <row r="488" spans="1:15" x14ac:dyDescent="0.15">
      <c r="A488" s="90">
        <v>43094</v>
      </c>
      <c r="B488">
        <v>15.52</v>
      </c>
      <c r="C488" s="93">
        <f t="shared" ref="C488" si="599">B488/(B487-O488)-1</f>
        <v>0</v>
      </c>
      <c r="D488" s="26">
        <f t="shared" ref="D488" si="600">+(F487-O488)*(1+L488)</f>
        <v>15.525408088446557</v>
      </c>
      <c r="E488" s="26">
        <f>D488*(1-VLOOKUP(A488,FX!A:K,9,0))</f>
        <v>15.525408088446557</v>
      </c>
      <c r="F488">
        <v>15.53</v>
      </c>
      <c r="G488" s="93">
        <f t="shared" ref="G488" si="601">+B488/D488-1</f>
        <v>-3.4833792553135012E-4</v>
      </c>
      <c r="H488" s="93">
        <f>(+B488/(D488*(1-VLOOKUP(A488,FX!A:K,9,0)))-1)</f>
        <v>-3.4833792553135012E-4</v>
      </c>
      <c r="I488" s="93">
        <f t="shared" si="199"/>
        <v>-6.4391500321958617E-4</v>
      </c>
      <c r="J488">
        <v>13295.26</v>
      </c>
      <c r="K488">
        <v>13305.98</v>
      </c>
      <c r="L488" s="93">
        <f t="shared" ref="L488" si="602">+K488/J488-1</f>
        <v>8.0630239649304158E-4</v>
      </c>
      <c r="M488" s="92">
        <f t="shared" ref="M488" si="603">WEEKDAY(A488,2)</f>
        <v>1</v>
      </c>
    </row>
    <row r="489" spans="1:15" x14ac:dyDescent="0.15">
      <c r="A489" s="90">
        <v>43095</v>
      </c>
      <c r="B489">
        <v>15.52</v>
      </c>
      <c r="C489" s="93">
        <f t="shared" ref="C489" si="604">B489/(B488-O489)-1</f>
        <v>0</v>
      </c>
      <c r="D489" s="26">
        <f t="shared" ref="D489" si="605">+(F488-O489)*(1+L489)</f>
        <v>15.579965451624007</v>
      </c>
      <c r="E489" s="26">
        <f>D489*(1-VLOOKUP(A489,FX!A:K,9,0))</f>
        <v>15.618140812840002</v>
      </c>
      <c r="F489">
        <v>15.62</v>
      </c>
      <c r="G489" s="93">
        <f t="shared" ref="G489" si="606">+B489/D489-1</f>
        <v>-3.8488821949060892E-3</v>
      </c>
      <c r="H489" s="93">
        <f>(+B489/(D489*(1-VLOOKUP(A489,FX!A:K,9,0)))-1)</f>
        <v>-6.2837705214771056E-3</v>
      </c>
      <c r="I489" s="93">
        <f t="shared" si="199"/>
        <v>-6.4020486555698142E-3</v>
      </c>
      <c r="J489">
        <v>13305.98</v>
      </c>
      <c r="K489">
        <v>13348.79</v>
      </c>
      <c r="L489" s="93">
        <f t="shared" ref="L489" si="607">+K489/J489-1</f>
        <v>3.2173503943340176E-3</v>
      </c>
      <c r="M489" s="92">
        <f t="shared" ref="M489" si="608">WEEKDAY(A489,2)</f>
        <v>2</v>
      </c>
    </row>
    <row r="490" spans="1:15" x14ac:dyDescent="0.15">
      <c r="A490" s="90">
        <v>43096</v>
      </c>
      <c r="B490">
        <v>15.22</v>
      </c>
      <c r="C490" s="93">
        <f t="shared" ref="C490" si="609">B490/(B489-O490)-1</f>
        <v>-1.9329896907216426E-2</v>
      </c>
      <c r="D490" s="26">
        <f t="shared" ref="D490" si="610">+(F489-O490)*(1+L490)</f>
        <v>15.316687100478768</v>
      </c>
      <c r="E490" s="26">
        <f>D490*(1-VLOOKUP(A490,FX!A:K,9,0))</f>
        <v>15.310665321442636</v>
      </c>
      <c r="F490">
        <v>15.294499999999999</v>
      </c>
      <c r="G490" s="93">
        <f t="shared" ref="G490" si="611">+B490/D490-1</f>
        <v>-6.3125335031323226E-3</v>
      </c>
      <c r="H490" s="93">
        <f>(+B490/(D490*(1-VLOOKUP(A490,FX!A:K,9,0)))-1)</f>
        <v>-5.9217100981012738E-3</v>
      </c>
      <c r="I490" s="93">
        <f t="shared" si="199"/>
        <v>-4.8710320703519994E-3</v>
      </c>
      <c r="J490">
        <v>13348.79</v>
      </c>
      <c r="K490">
        <v>13089.58</v>
      </c>
      <c r="L490" s="93">
        <f t="shared" ref="L490" si="612">+K490/J490-1</f>
        <v>-1.9418239405968651E-2</v>
      </c>
      <c r="M490" s="92">
        <f t="shared" ref="M490" si="613">WEEKDAY(A490,2)</f>
        <v>3</v>
      </c>
    </row>
    <row r="491" spans="1:15" x14ac:dyDescent="0.15">
      <c r="A491" s="90">
        <v>43097</v>
      </c>
      <c r="B491">
        <v>15.42</v>
      </c>
      <c r="C491" s="93">
        <f t="shared" ref="C491" si="614">B491/(B490-O491)-1</f>
        <v>1.3140604467805517E-2</v>
      </c>
      <c r="D491" s="26">
        <f t="shared" ref="D491" si="615">+(F490-O491)*(1+L491)</f>
        <v>15.417876476174179</v>
      </c>
      <c r="E491" s="26">
        <f>D491*(1-VLOOKUP(A491,FX!A:K,9,0))</f>
        <v>15.438648702479258</v>
      </c>
      <c r="F491">
        <v>15.452199999999999</v>
      </c>
      <c r="G491" s="93">
        <f t="shared" ref="G491" si="616">+B491/D491-1</f>
        <v>1.3773127765692728E-4</v>
      </c>
      <c r="H491" s="93">
        <f>(+B491/(D491*(1-VLOOKUP(A491,FX!A:K,9,0)))-1)</f>
        <v>-1.2079232346456914E-3</v>
      </c>
      <c r="I491" s="93">
        <f t="shared" si="199"/>
        <v>-2.0838456659892923E-3</v>
      </c>
      <c r="J491">
        <v>13089.58</v>
      </c>
      <c r="K491">
        <v>13195.17</v>
      </c>
      <c r="L491" s="93">
        <f t="shared" ref="L491" si="617">+K491/J491-1</f>
        <v>8.0667217741134944E-3</v>
      </c>
      <c r="M491" s="92">
        <f t="shared" ref="M491" si="618">WEEKDAY(A491,2)</f>
        <v>4</v>
      </c>
    </row>
    <row r="492" spans="1:15" x14ac:dyDescent="0.15">
      <c r="A492" s="90">
        <v>43098</v>
      </c>
      <c r="B492">
        <v>15.46</v>
      </c>
      <c r="C492" s="93">
        <f t="shared" ref="C492" si="619">B492/(B491-O492)-1</f>
        <v>2.5940337224383825E-3</v>
      </c>
      <c r="D492" s="26">
        <f t="shared" ref="D492" si="620">+(F491-O492)*(1+L492)</f>
        <v>15.452844077340419</v>
      </c>
      <c r="E492" s="26">
        <f>D492*(1-VLOOKUP(A492,FX!A:K,9,0))</f>
        <v>15.513182442992381</v>
      </c>
      <c r="F492">
        <v>15.513999999999999</v>
      </c>
      <c r="G492" s="93">
        <f t="shared" ref="G492" si="621">+B492/D492-1</f>
        <v>4.6308126994398791E-4</v>
      </c>
      <c r="H492" s="93">
        <f>(+B492/(D492*(1-VLOOKUP(A492,FX!A:K,9,0)))-1)</f>
        <v>-3.428209729874232E-3</v>
      </c>
      <c r="I492" s="93">
        <f t="shared" si="199"/>
        <v>-3.4807270852132977E-3</v>
      </c>
      <c r="J492">
        <v>13195.17</v>
      </c>
      <c r="K492">
        <v>13195.72</v>
      </c>
      <c r="L492" s="93">
        <f t="shared" ref="L492" si="622">+K492/J492-1</f>
        <v>4.1681918459435252E-5</v>
      </c>
      <c r="M492" s="92">
        <f t="shared" ref="M492" si="623">WEEKDAY(A492,2)</f>
        <v>5</v>
      </c>
    </row>
    <row r="493" spans="1:15" ht="27" x14ac:dyDescent="0.15">
      <c r="A493" s="90">
        <v>43102</v>
      </c>
      <c r="B493">
        <v>15.86</v>
      </c>
      <c r="C493" s="93">
        <f t="shared" ref="C493" si="624">B493/(B492-O493)-1</f>
        <v>2.5873221216041298E-2</v>
      </c>
      <c r="D493" s="26">
        <f t="shared" ref="D493" si="625">+(F492-O493)*(1+L493)</f>
        <v>15.78271438921105</v>
      </c>
      <c r="E493" s="26">
        <f>D493*(1-VLOOKUP(A493,FX!A:K,9,0))</f>
        <v>15.833814790188821</v>
      </c>
      <c r="F493">
        <v>15.8339</v>
      </c>
      <c r="G493" s="93">
        <f t="shared" ref="G493" si="626">+B493/D493-1</f>
        <v>4.8968516367362547E-3</v>
      </c>
      <c r="H493" s="93">
        <f>(+B493/(D493*(1-VLOOKUP(A493,FX!A:K,9,0)))-1)</f>
        <v>1.6537524379407476E-3</v>
      </c>
      <c r="I493" s="93">
        <f t="shared" si="199"/>
        <v>1.6483620586209558E-3</v>
      </c>
      <c r="J493">
        <v>13195.72</v>
      </c>
      <c r="K493">
        <v>13424.28</v>
      </c>
      <c r="L493" s="93">
        <f t="shared" ref="L493" si="627">+K493/J493-1</f>
        <v>1.7320767642841961E-2</v>
      </c>
      <c r="M493" s="92">
        <f t="shared" ref="M493" si="628">WEEKDAY(A493,2)</f>
        <v>2</v>
      </c>
      <c r="N493" s="50" t="s">
        <v>647</v>
      </c>
    </row>
    <row r="494" spans="1:15" x14ac:dyDescent="0.15">
      <c r="A494" s="90">
        <v>43103</v>
      </c>
      <c r="B494">
        <v>15.86</v>
      </c>
      <c r="C494" s="93">
        <f t="shared" ref="C494" si="629">B494/(B493-O494)-1</f>
        <v>0</v>
      </c>
      <c r="D494" s="26">
        <f t="shared" ref="D494" si="630">+(F493-O494)*(1+L494)</f>
        <v>15.831765110158607</v>
      </c>
      <c r="E494" s="26">
        <f>D494*(1-VLOOKUP(A494,FX!A:K,9,0))</f>
        <v>15.813751331534311</v>
      </c>
      <c r="F494">
        <v>15.800800000000001</v>
      </c>
      <c r="G494" s="93">
        <f t="shared" ref="G494" si="631">+B494/D494-1</f>
        <v>1.7834328418171452E-3</v>
      </c>
      <c r="H494" s="93">
        <f>(+B494/(D494*(1-VLOOKUP(A494,FX!A:K,9,0)))-1)</f>
        <v>2.9245855392618925E-3</v>
      </c>
      <c r="I494" s="93">
        <f t="shared" si="199"/>
        <v>3.7466457394561559E-3</v>
      </c>
      <c r="J494">
        <v>13424.28</v>
      </c>
      <c r="K494">
        <v>13422.47</v>
      </c>
      <c r="L494" s="93">
        <f t="shared" ref="L494" si="632">+K494/J494-1</f>
        <v>-1.3483032237115999E-4</v>
      </c>
      <c r="M494" s="92">
        <f t="shared" ref="M494" si="633">WEEKDAY(A494,2)</f>
        <v>3</v>
      </c>
    </row>
    <row r="495" spans="1:15" x14ac:dyDescent="0.15">
      <c r="A495" s="90">
        <v>43104</v>
      </c>
      <c r="B495">
        <v>15.94</v>
      </c>
      <c r="C495" s="93">
        <f t="shared" ref="C495" si="634">B495/(B494-O495)-1</f>
        <v>5.0441361916770955E-3</v>
      </c>
      <c r="D495" s="26">
        <f t="shared" ref="D495" si="635">+(F494-O495)*(1+L495)</f>
        <v>15.881178546124522</v>
      </c>
      <c r="E495" s="26">
        <f>D495*(1-VLOOKUP(A495,FX!A:K,9,0))</f>
        <v>15.88011624482394</v>
      </c>
      <c r="F495">
        <v>15.899100000000001</v>
      </c>
      <c r="G495" s="93">
        <f t="shared" ref="G495" si="636">+B495/D495-1</f>
        <v>3.7038468967929283E-3</v>
      </c>
      <c r="H495" s="93">
        <f>(+B495/(D495*(1-VLOOKUP(A495,FX!A:K,9,0)))-1)</f>
        <v>3.7709897240567614E-3</v>
      </c>
      <c r="I495" s="93">
        <f t="shared" si="199"/>
        <v>2.5724726556848321E-3</v>
      </c>
      <c r="J495">
        <v>13422.47</v>
      </c>
      <c r="K495">
        <v>13490.75</v>
      </c>
      <c r="L495" s="93">
        <f t="shared" ref="L495" si="637">+K495/J495-1</f>
        <v>5.086992185491912E-3</v>
      </c>
      <c r="M495" s="92">
        <f t="shared" ref="M495" si="638">WEEKDAY(A495,2)</f>
        <v>4</v>
      </c>
    </row>
    <row r="496" spans="1:15" x14ac:dyDescent="0.15">
      <c r="A496" s="90">
        <v>43105</v>
      </c>
      <c r="B496">
        <v>16.04</v>
      </c>
      <c r="C496" s="93">
        <f t="shared" ref="C496" si="639">B496/(B495-O496)-1</f>
        <v>6.273525721455453E-3</v>
      </c>
      <c r="D496" s="26">
        <f t="shared" ref="D496" si="640">+(F495-O496)*(1+L496)</f>
        <v>15.987724599818398</v>
      </c>
      <c r="E496" s="26">
        <f>D496*(1-VLOOKUP(A496,FX!A:K,9,0))</f>
        <v>16.037781614243553</v>
      </c>
      <c r="F496">
        <v>16.029800000000002</v>
      </c>
      <c r="G496" s="93">
        <f t="shared" ref="G496" si="641">+B496/D496-1</f>
        <v>3.2697210822729694E-3</v>
      </c>
      <c r="H496" s="93">
        <f>(+B496/(D496*(1-VLOOKUP(A496,FX!A:K,9,0)))-1)</f>
        <v>1.3832248186229634E-4</v>
      </c>
      <c r="I496" s="93">
        <f t="shared" si="199"/>
        <v>6.3631486356641176E-4</v>
      </c>
      <c r="J496">
        <v>13490.75</v>
      </c>
      <c r="K496">
        <v>13565.95</v>
      </c>
      <c r="L496" s="93">
        <f t="shared" ref="L496" si="642">+K496/J496-1</f>
        <v>5.5741897225878301E-3</v>
      </c>
      <c r="M496" s="92">
        <f t="shared" ref="M496" si="643">WEEKDAY(A496,2)</f>
        <v>5</v>
      </c>
    </row>
    <row r="497" spans="1:14" x14ac:dyDescent="0.15">
      <c r="A497" s="90">
        <v>43108</v>
      </c>
      <c r="B497">
        <v>16.079999999999998</v>
      </c>
      <c r="C497" s="93">
        <f t="shared" ref="C497" si="644">B497/(B496-O497)-1</f>
        <v>2.4937655860348684E-3</v>
      </c>
      <c r="D497" s="26">
        <f t="shared" ref="D497" si="645">+(F496-O497)*(1+L497)</f>
        <v>16.083882754690972</v>
      </c>
      <c r="E497" s="26">
        <f>D497*(1-VLOOKUP(A497,FX!A:K,9,0))</f>
        <v>16.070342660403554</v>
      </c>
      <c r="F497">
        <v>16.0792</v>
      </c>
      <c r="G497" s="93">
        <f t="shared" ref="G497" si="646">+B497/D497-1</f>
        <v>-2.4140655277038459E-4</v>
      </c>
      <c r="H497" s="93">
        <f>(+B497/(D497*(1-VLOOKUP(A497,FX!A:K,9,0)))-1)</f>
        <v>6.0094173475455648E-4</v>
      </c>
      <c r="I497" s="93">
        <f t="shared" si="199"/>
        <v>4.9753719090439574E-5</v>
      </c>
      <c r="J497">
        <v>13565.95</v>
      </c>
      <c r="K497">
        <v>13611.72</v>
      </c>
      <c r="L497" s="93">
        <f t="shared" ref="L497" si="647">+K497/J497-1</f>
        <v>3.3738883012246479E-3</v>
      </c>
      <c r="M497" s="92">
        <f t="shared" ref="M497" si="648">WEEKDAY(A497,2)</f>
        <v>1</v>
      </c>
    </row>
    <row r="498" spans="1:14" ht="54" x14ac:dyDescent="0.15">
      <c r="A498" s="90">
        <v>43109</v>
      </c>
      <c r="B498">
        <v>16.2</v>
      </c>
      <c r="C498" s="93">
        <f t="shared" ref="C498" si="649">B498/(B497-O498)-1</f>
        <v>7.4626865671643117E-3</v>
      </c>
      <c r="D498" s="26">
        <f t="shared" ref="D498" si="650">+(F497-O498)*(1+L498)</f>
        <v>16.253698110745741</v>
      </c>
      <c r="E498" s="26">
        <f>D498*(1-VLOOKUP(A498,FX!A:K,9,0))</f>
        <v>16.218440942964783</v>
      </c>
      <c r="F498">
        <v>16.207899999999999</v>
      </c>
      <c r="G498" s="93">
        <f t="shared" ref="G498" si="651">+B498/D498-1</f>
        <v>-3.303747269074786E-3</v>
      </c>
      <c r="H498" s="93">
        <f>(+B498/(D498*(1-VLOOKUP(A498,FX!A:K,9,0)))-1)</f>
        <v>-1.1370354912432212E-3</v>
      </c>
      <c r="I498" s="93">
        <f t="shared" si="199"/>
        <v>-4.874166301618299E-4</v>
      </c>
      <c r="J498">
        <v>13611.72</v>
      </c>
      <c r="K498">
        <v>13759.44</v>
      </c>
      <c r="L498" s="93">
        <f t="shared" ref="L498" si="652">+K498/J498-1</f>
        <v>1.0852412479833706E-2</v>
      </c>
      <c r="M498" s="92">
        <f t="shared" ref="M498" si="653">WEEKDAY(A498,2)</f>
        <v>2</v>
      </c>
      <c r="N498" s="50" t="s">
        <v>651</v>
      </c>
    </row>
    <row r="499" spans="1:14" x14ac:dyDescent="0.15">
      <c r="A499" s="90">
        <v>43110</v>
      </c>
      <c r="B499">
        <v>16.3</v>
      </c>
      <c r="C499" s="93">
        <f t="shared" ref="C499" si="654">B499/(B498-O499)-1</f>
        <v>6.1728395061728669E-3</v>
      </c>
      <c r="D499" s="26">
        <f t="shared" ref="D499" si="655">+(F498-O499)*(1+L499)</f>
        <v>16.4064195172914</v>
      </c>
      <c r="E499" s="26">
        <f>D499*(1-VLOOKUP(A499,FX!A:K,9,0))</f>
        <v>16.329533173512253</v>
      </c>
      <c r="F499">
        <v>16.341799999999999</v>
      </c>
      <c r="G499" s="93">
        <f t="shared" ref="G499" si="656">+B499/D499-1</f>
        <v>-6.4864559375212849E-3</v>
      </c>
      <c r="H499" s="93">
        <f>(+B499/(D499*(1-VLOOKUP(A499,FX!A:K,9,0)))-1)</f>
        <v>-1.8085742683787709E-3</v>
      </c>
      <c r="I499" s="93">
        <f t="shared" si="199"/>
        <v>-2.557857763526572E-3</v>
      </c>
      <c r="J499">
        <v>13759.44</v>
      </c>
      <c r="K499">
        <v>13927.97</v>
      </c>
      <c r="L499" s="93">
        <f t="shared" ref="L499" si="657">+K499/J499-1</f>
        <v>1.2248318245509981E-2</v>
      </c>
      <c r="M499" s="92">
        <f t="shared" ref="M499" si="658">WEEKDAY(A499,2)</f>
        <v>3</v>
      </c>
    </row>
    <row r="500" spans="1:14" x14ac:dyDescent="0.15">
      <c r="A500" s="90">
        <v>43111</v>
      </c>
      <c r="B500">
        <v>16.38</v>
      </c>
      <c r="C500" s="93">
        <f t="shared" ref="C500" si="659">B500/(B499-O500)-1</f>
        <v>4.9079754601226711E-3</v>
      </c>
      <c r="D500" s="26">
        <f t="shared" ref="D500" si="660">+(F499-O500)*(1+L500)</f>
        <v>16.314227259679623</v>
      </c>
      <c r="E500" s="26">
        <f>D500*(1-VLOOKUP(A500,FX!A:K,9,0))</f>
        <v>16.342144291854499</v>
      </c>
      <c r="F500">
        <v>16.340699999999998</v>
      </c>
      <c r="G500" s="93">
        <f t="shared" ref="G500" si="661">+B500/D500-1</f>
        <v>4.0316184930764276E-3</v>
      </c>
      <c r="H500" s="93">
        <f>(+B500/(D500*(1-VLOOKUP(A500,FX!A:K,9,0)))-1)</f>
        <v>2.316446818081852E-3</v>
      </c>
      <c r="I500" s="93">
        <f t="shared" si="199"/>
        <v>2.4050377278819202E-3</v>
      </c>
      <c r="J500">
        <v>13927.97</v>
      </c>
      <c r="K500">
        <v>13904.47</v>
      </c>
      <c r="L500" s="93">
        <f t="shared" ref="L500" si="662">+K500/J500-1</f>
        <v>-1.6872523418703933E-3</v>
      </c>
      <c r="M500" s="92">
        <f t="shared" ref="M500" si="663">WEEKDAY(A500,2)</f>
        <v>4</v>
      </c>
    </row>
    <row r="501" spans="1:14" x14ac:dyDescent="0.15">
      <c r="A501" s="90">
        <v>43112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502"/>
  <sheetViews>
    <sheetView zoomScale="115" zoomScaleNormal="11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498" sqref="C4:C498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32.875" customWidth="1" collapsed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9.75</v>
      </c>
      <c r="M57">
        <f t="shared" si="5"/>
        <v>4</v>
      </c>
      <c r="N57" s="50"/>
    </row>
    <row r="58" spans="1:14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7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7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7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7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1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1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1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1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1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1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1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1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1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1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1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1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1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1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1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1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1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1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1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1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1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1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1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1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2">
        <v>1821.8030000000001</v>
      </c>
      <c r="K399" s="92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15">
      <c r="A400" s="1">
        <v>42969</v>
      </c>
      <c r="B400">
        <v>7.9</v>
      </c>
      <c r="C400" s="93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3">
        <f t="shared" si="285"/>
        <v>3.8119440914867742E-3</v>
      </c>
      <c r="J400" s="92">
        <v>1829.2170000000001</v>
      </c>
      <c r="K400" s="92">
        <v>1814.92</v>
      </c>
      <c r="L400" s="93">
        <f t="shared" ref="L400" si="501">+K400/J400-1</f>
        <v>-7.8159124915195832E-3</v>
      </c>
      <c r="M400" s="92">
        <f t="shared" ref="M400" si="502">WEEKDAY(A400,2)</f>
        <v>2</v>
      </c>
      <c r="N400" s="50"/>
    </row>
    <row r="401" spans="1:14" x14ac:dyDescent="0.15">
      <c r="A401" s="1">
        <v>42970</v>
      </c>
      <c r="B401">
        <v>7.9</v>
      </c>
      <c r="C401" s="93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3">
        <f t="shared" si="285"/>
        <v>7.6530612244898322E-3</v>
      </c>
      <c r="J401" s="92">
        <v>1814.92</v>
      </c>
      <c r="K401" s="92">
        <v>1807.37</v>
      </c>
      <c r="L401" s="93">
        <f t="shared" ref="L401:L406" si="506">+K401/J401-1</f>
        <v>-4.1599629735746824E-3</v>
      </c>
      <c r="M401" s="92">
        <f t="shared" ref="M401" si="507">WEEKDAY(A401,2)</f>
        <v>3</v>
      </c>
      <c r="N401" s="50"/>
    </row>
    <row r="402" spans="1:14" x14ac:dyDescent="0.15">
      <c r="A402" s="1">
        <v>42971</v>
      </c>
      <c r="B402">
        <v>7.78</v>
      </c>
      <c r="C402" s="93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3">
        <f t="shared" ref="I402:I501" si="511">+B402/F402-1</f>
        <v>-7.7061392242483429E-4</v>
      </c>
      <c r="J402" s="92">
        <v>1807.37</v>
      </c>
      <c r="K402" s="92">
        <v>1795.739</v>
      </c>
      <c r="L402" s="93">
        <f t="shared" si="506"/>
        <v>-6.4353176162046388E-3</v>
      </c>
      <c r="M402" s="92">
        <f t="shared" ref="M402" si="512">WEEKDAY(A402,2)</f>
        <v>4</v>
      </c>
      <c r="N402" s="50"/>
    </row>
    <row r="403" spans="1:14" x14ac:dyDescent="0.15">
      <c r="A403" s="1">
        <v>42972</v>
      </c>
      <c r="B403">
        <v>7.87</v>
      </c>
      <c r="C403" s="93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3">
        <f t="shared" si="511"/>
        <v>1.0175527855507127E-3</v>
      </c>
      <c r="J403">
        <v>1795.739</v>
      </c>
      <c r="K403">
        <v>1812.8779999999999</v>
      </c>
      <c r="L403" s="93">
        <f t="shared" si="506"/>
        <v>9.5442600511543851E-3</v>
      </c>
      <c r="M403" s="92">
        <f t="shared" ref="M403" si="516">WEEKDAY(A403,2)</f>
        <v>5</v>
      </c>
      <c r="N403" s="50"/>
    </row>
    <row r="404" spans="1:14" x14ac:dyDescent="0.15">
      <c r="A404" s="90">
        <v>42975</v>
      </c>
      <c r="B404">
        <v>8.0500000000000007</v>
      </c>
      <c r="C404" s="93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3">
        <f t="shared" si="511"/>
        <v>3.6155092881187123E-3</v>
      </c>
      <c r="J404">
        <v>1812.8779999999999</v>
      </c>
      <c r="K404">
        <v>1842.828</v>
      </c>
      <c r="L404" s="93">
        <f t="shared" si="506"/>
        <v>1.6520692512127066E-2</v>
      </c>
      <c r="M404" s="92">
        <f t="shared" ref="M404" si="520">WEEKDAY(A404,2)</f>
        <v>1</v>
      </c>
      <c r="N404" s="50"/>
    </row>
    <row r="405" spans="1:14" x14ac:dyDescent="0.15">
      <c r="A405" s="90">
        <v>42976</v>
      </c>
      <c r="B405">
        <v>8.06</v>
      </c>
      <c r="C405" s="93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3">
        <f t="shared" si="511"/>
        <v>6.1165896891774985E-3</v>
      </c>
      <c r="J405">
        <v>1842.828</v>
      </c>
      <c r="K405">
        <v>1831.5909999999999</v>
      </c>
      <c r="L405" s="93">
        <f t="shared" si="506"/>
        <v>-6.0976933278634737E-3</v>
      </c>
      <c r="M405" s="92">
        <f t="shared" ref="M405" si="524">WEEKDAY(A405,2)</f>
        <v>2</v>
      </c>
      <c r="N405" s="50"/>
    </row>
    <row r="406" spans="1:14" ht="27" x14ac:dyDescent="0.15">
      <c r="A406" s="90">
        <v>42977</v>
      </c>
      <c r="B406">
        <v>8.25</v>
      </c>
      <c r="C406" s="93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3">
        <f t="shared" si="511"/>
        <v>2.420856610800759E-2</v>
      </c>
      <c r="J406">
        <v>1831.5909999999999</v>
      </c>
      <c r="K406">
        <v>1838.6310000000001</v>
      </c>
      <c r="L406" s="93">
        <f t="shared" si="506"/>
        <v>3.8436528679166582E-3</v>
      </c>
      <c r="M406" s="92">
        <f t="shared" ref="M406" si="528">WEEKDAY(A406,2)</f>
        <v>3</v>
      </c>
      <c r="N406" s="50" t="s">
        <v>428</v>
      </c>
    </row>
    <row r="407" spans="1:14" x14ac:dyDescent="0.15">
      <c r="A407" s="90">
        <v>42978</v>
      </c>
      <c r="B407">
        <v>8.25</v>
      </c>
      <c r="C407" s="93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3">
        <f t="shared" si="511"/>
        <v>1.977750309023496E-2</v>
      </c>
      <c r="J407">
        <v>1838.6310000000001</v>
      </c>
      <c r="K407">
        <v>1849.3789999999999</v>
      </c>
      <c r="L407" s="93">
        <f t="shared" ref="L407" si="532">+K407/J407-1</f>
        <v>5.8456536412145876E-3</v>
      </c>
      <c r="M407" s="92">
        <f t="shared" ref="M407" si="533">WEEKDAY(A407,2)</f>
        <v>4</v>
      </c>
      <c r="N407" s="50"/>
    </row>
    <row r="408" spans="1:14" x14ac:dyDescent="0.15">
      <c r="A408" s="90">
        <v>42979</v>
      </c>
      <c r="B408">
        <v>8.26</v>
      </c>
      <c r="C408" s="93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3">
        <f t="shared" si="511"/>
        <v>9.0398240899096649E-3</v>
      </c>
      <c r="J408">
        <v>1849.3789999999999</v>
      </c>
      <c r="K408">
        <v>1865.25</v>
      </c>
      <c r="L408" s="93">
        <f t="shared" ref="L408" si="537">+K408/J408-1</f>
        <v>8.5817996203050306E-3</v>
      </c>
      <c r="M408" s="92">
        <f t="shared" ref="M408" si="538">WEEKDAY(A408,2)</f>
        <v>5</v>
      </c>
      <c r="N408" s="50" t="s">
        <v>433</v>
      </c>
    </row>
    <row r="409" spans="1:14" x14ac:dyDescent="0.15">
      <c r="A409" s="90">
        <v>42982</v>
      </c>
      <c r="B409">
        <v>8.4</v>
      </c>
      <c r="C409" s="93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3">
        <f t="shared" si="511"/>
        <v>1.0708699314162073E-2</v>
      </c>
      <c r="J409">
        <v>1865.25</v>
      </c>
      <c r="K409">
        <v>1883.6179999999999</v>
      </c>
      <c r="L409" s="93">
        <f t="shared" ref="L409" si="542">+K409/J409-1</f>
        <v>9.847473529017492E-3</v>
      </c>
      <c r="M409" s="92">
        <f t="shared" ref="M409" si="543">WEEKDAY(A409,2)</f>
        <v>1</v>
      </c>
      <c r="N409" s="50"/>
    </row>
    <row r="410" spans="1:14" x14ac:dyDescent="0.15">
      <c r="A410" s="90">
        <v>42983</v>
      </c>
      <c r="B410">
        <v>8.39</v>
      </c>
      <c r="C410" s="93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3">
        <f t="shared" si="511"/>
        <v>9.26260074581986E-3</v>
      </c>
      <c r="J410">
        <v>1883.6179999999999</v>
      </c>
      <c r="K410">
        <v>1885.162</v>
      </c>
      <c r="L410" s="93">
        <f t="shared" ref="L410" si="547">+K410/J410-1</f>
        <v>8.1969911096635428E-4</v>
      </c>
      <c r="M410" s="92">
        <f t="shared" ref="M410" si="548">WEEKDAY(A410,2)</f>
        <v>2</v>
      </c>
      <c r="N410" s="50" t="s">
        <v>434</v>
      </c>
    </row>
    <row r="411" spans="1:14" x14ac:dyDescent="0.15">
      <c r="A411" s="90">
        <v>42984</v>
      </c>
      <c r="B411">
        <v>8.43</v>
      </c>
      <c r="C411" s="93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3">
        <f t="shared" si="511"/>
        <v>5.0071530758226679E-3</v>
      </c>
      <c r="J411">
        <v>1885.162</v>
      </c>
      <c r="K411">
        <v>1902.857</v>
      </c>
      <c r="L411" s="93">
        <f t="shared" ref="L411" si="552">+K411/J411-1</f>
        <v>9.3864612165956984E-3</v>
      </c>
      <c r="M411" s="92">
        <f t="shared" ref="M411" si="553">WEEKDAY(A411,2)</f>
        <v>3</v>
      </c>
      <c r="N411" s="50"/>
    </row>
    <row r="412" spans="1:14" x14ac:dyDescent="0.15">
      <c r="A412" s="90">
        <v>42985</v>
      </c>
      <c r="B412">
        <v>8.27</v>
      </c>
      <c r="C412" s="93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3">
        <f t="shared" si="511"/>
        <v>-1.0765550239234423E-2</v>
      </c>
      <c r="J412">
        <v>1902.857</v>
      </c>
      <c r="K412">
        <v>1890.3820000000001</v>
      </c>
      <c r="L412" s="93">
        <f t="shared" ref="L412" si="557">+K412/J412-1</f>
        <v>-6.5559314231179444E-3</v>
      </c>
      <c r="M412" s="92">
        <f t="shared" ref="M412" si="558">WEEKDAY(A412,2)</f>
        <v>4</v>
      </c>
      <c r="N412" s="50"/>
    </row>
    <row r="413" spans="1:14" x14ac:dyDescent="0.15">
      <c r="A413" s="90">
        <v>42986</v>
      </c>
      <c r="B413">
        <v>8.3699999999999992</v>
      </c>
      <c r="C413" s="93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3">
        <f t="shared" si="511"/>
        <v>-4.28265524625282E-3</v>
      </c>
      <c r="J413">
        <v>1890.3820000000001</v>
      </c>
      <c r="K413">
        <v>1885.2739999999999</v>
      </c>
      <c r="L413" s="93">
        <f t="shared" ref="L413" si="562">+K413/J413-1</f>
        <v>-2.702099364043975E-3</v>
      </c>
      <c r="M413" s="92">
        <f t="shared" ref="M413" si="563">WEEKDAY(A413,2)</f>
        <v>5</v>
      </c>
      <c r="N413" s="50"/>
    </row>
    <row r="414" spans="1:14" x14ac:dyDescent="0.15">
      <c r="A414" s="90">
        <v>42989</v>
      </c>
      <c r="B414">
        <v>8.4</v>
      </c>
      <c r="C414" s="93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3">
        <f t="shared" si="511"/>
        <v>2.7456129879430691E-3</v>
      </c>
      <c r="J414">
        <v>1885.2739999999999</v>
      </c>
      <c r="K414">
        <v>1896.375</v>
      </c>
      <c r="L414" s="93">
        <f t="shared" ref="L414" si="567">+K414/J414-1</f>
        <v>5.8882687609334017E-3</v>
      </c>
      <c r="M414" s="92">
        <f t="shared" ref="M414" si="568">WEEKDAY(A414,2)</f>
        <v>1</v>
      </c>
      <c r="N414" s="50"/>
    </row>
    <row r="415" spans="1:14" x14ac:dyDescent="0.15">
      <c r="A415" s="90">
        <v>42990</v>
      </c>
      <c r="B415">
        <v>8.34</v>
      </c>
      <c r="C415" s="93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3">
        <f t="shared" si="511"/>
        <v>3.4893514619178667E-3</v>
      </c>
      <c r="J415">
        <v>1896.375</v>
      </c>
      <c r="K415">
        <v>1884.4839999999999</v>
      </c>
      <c r="L415" s="93">
        <f t="shared" ref="L415" si="572">+K415/J415-1</f>
        <v>-6.2703842858085057E-3</v>
      </c>
      <c r="M415" s="92">
        <f t="shared" ref="M415" si="573">WEEKDAY(A415,2)</f>
        <v>2</v>
      </c>
      <c r="N415" s="50"/>
    </row>
    <row r="416" spans="1:14" x14ac:dyDescent="0.15">
      <c r="A416" s="90">
        <v>42991</v>
      </c>
      <c r="B416">
        <v>8.35</v>
      </c>
      <c r="C416" s="93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3">
        <f t="shared" si="511"/>
        <v>1.4391940513314161E-3</v>
      </c>
      <c r="J416">
        <v>1884.4839999999999</v>
      </c>
      <c r="K416">
        <v>1888.432</v>
      </c>
      <c r="L416" s="93">
        <f t="shared" ref="L416" si="577">+K416/J416-1</f>
        <v>2.0950031945083936E-3</v>
      </c>
      <c r="M416" s="92">
        <f t="shared" ref="M416" si="578">WEEKDAY(A416,2)</f>
        <v>3</v>
      </c>
      <c r="N416" s="50"/>
    </row>
    <row r="417" spans="1:14" x14ac:dyDescent="0.15">
      <c r="A417" s="90">
        <v>42992</v>
      </c>
      <c r="B417">
        <v>8.25</v>
      </c>
      <c r="C417" s="93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3">
        <f t="shared" si="511"/>
        <v>-1.6940948693126012E-3</v>
      </c>
      <c r="J417">
        <v>1888.432</v>
      </c>
      <c r="K417">
        <v>1879.252</v>
      </c>
      <c r="L417" s="93">
        <f t="shared" ref="L417" si="582">+K417/J417-1</f>
        <v>-4.8611758326484455E-3</v>
      </c>
      <c r="M417" s="92">
        <f t="shared" ref="M417" si="583">WEEKDAY(A417,2)</f>
        <v>4</v>
      </c>
      <c r="N417" s="50"/>
    </row>
    <row r="418" spans="1:14" x14ac:dyDescent="0.15">
      <c r="A418" s="90">
        <v>42993</v>
      </c>
      <c r="B418">
        <v>8.25</v>
      </c>
      <c r="C418" s="93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3">
        <f t="shared" si="511"/>
        <v>-7.2674418604656843E-4</v>
      </c>
      <c r="J418">
        <v>1879.252</v>
      </c>
      <c r="K418">
        <v>1875.635</v>
      </c>
      <c r="L418" s="93">
        <f t="shared" ref="L418" si="587">+K418/J418-1</f>
        <v>-1.9247019558845668E-3</v>
      </c>
      <c r="M418" s="92">
        <f t="shared" ref="M418" si="588">WEEKDAY(A418,2)</f>
        <v>5</v>
      </c>
      <c r="N418" s="50"/>
    </row>
    <row r="419" spans="1:14" x14ac:dyDescent="0.15">
      <c r="A419" s="90">
        <v>42996</v>
      </c>
      <c r="B419">
        <v>8.27</v>
      </c>
      <c r="C419" s="93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3">
        <f t="shared" si="511"/>
        <v>-7.5603024120965978E-3</v>
      </c>
      <c r="J419">
        <v>1875.635</v>
      </c>
      <c r="K419">
        <v>1894.8019999999999</v>
      </c>
      <c r="L419" s="93">
        <f t="shared" ref="L419" si="592">+K419/J419-1</f>
        <v>1.0218939185929088E-2</v>
      </c>
      <c r="M419" s="92">
        <f t="shared" ref="M419" si="593">WEEKDAY(A419,2)</f>
        <v>1</v>
      </c>
      <c r="N419" s="50" t="s">
        <v>442</v>
      </c>
    </row>
    <row r="420" spans="1:14" x14ac:dyDescent="0.15">
      <c r="A420" s="90">
        <v>42997</v>
      </c>
      <c r="B420">
        <v>8.16</v>
      </c>
      <c r="C420" s="93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3">
        <f t="shared" si="511"/>
        <v>-6.6950699939135605E-3</v>
      </c>
      <c r="J420">
        <v>1894.8019999999999</v>
      </c>
      <c r="K420">
        <v>1880.296</v>
      </c>
      <c r="L420" s="93">
        <f t="shared" ref="L420" si="597">+K420/J420-1</f>
        <v>-7.6556811740751129E-3</v>
      </c>
      <c r="M420" s="92">
        <f t="shared" ref="M420" si="598">WEEKDAY(A420,2)</f>
        <v>2</v>
      </c>
      <c r="N420" s="50"/>
    </row>
    <row r="421" spans="1:14" x14ac:dyDescent="0.15">
      <c r="A421" s="90">
        <v>42998</v>
      </c>
      <c r="B421">
        <v>8.2200000000000006</v>
      </c>
      <c r="C421" s="93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3">
        <f t="shared" si="511"/>
        <v>-9.1610414657664618E-3</v>
      </c>
      <c r="J421">
        <v>1880.296</v>
      </c>
      <c r="K421">
        <v>1892.6690000000001</v>
      </c>
      <c r="L421" s="93">
        <f t="shared" ref="L421" si="602">+K421/J421-1</f>
        <v>6.5803469241012547E-3</v>
      </c>
      <c r="M421" s="92">
        <f t="shared" ref="M421" si="603">WEEKDAY(A421,2)</f>
        <v>3</v>
      </c>
      <c r="N421" s="50"/>
    </row>
    <row r="422" spans="1:14" x14ac:dyDescent="0.15">
      <c r="A422" s="90">
        <v>42999</v>
      </c>
      <c r="B422">
        <v>8.1</v>
      </c>
      <c r="C422" s="93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3">
        <f t="shared" si="511"/>
        <v>-1.0021999511122037E-2</v>
      </c>
      <c r="J422">
        <v>1892.6690000000001</v>
      </c>
      <c r="K422">
        <v>1872.77</v>
      </c>
      <c r="L422" s="93">
        <f t="shared" ref="L422" si="607">+K422/J422-1</f>
        <v>-1.0513724269801017E-2</v>
      </c>
      <c r="M422" s="92">
        <f t="shared" ref="M422" si="608">WEEKDAY(A422,2)</f>
        <v>4</v>
      </c>
      <c r="N422" s="50"/>
    </row>
    <row r="423" spans="1:14" x14ac:dyDescent="0.15">
      <c r="A423" s="90">
        <v>43000</v>
      </c>
      <c r="B423">
        <v>8.06</v>
      </c>
      <c r="C423" s="93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3">
        <f t="shared" si="511"/>
        <v>-1.285976729944871E-2</v>
      </c>
      <c r="J423">
        <v>1872.77</v>
      </c>
      <c r="K423">
        <v>1866.425</v>
      </c>
      <c r="L423" s="93">
        <f t="shared" ref="L423" si="612">+K423/J423-1</f>
        <v>-3.3880294964143687E-3</v>
      </c>
      <c r="M423" s="92">
        <f t="shared" ref="M423" si="613">WEEKDAY(A423,2)</f>
        <v>5</v>
      </c>
      <c r="N423" s="50" t="s">
        <v>449</v>
      </c>
    </row>
    <row r="424" spans="1:14" x14ac:dyDescent="0.15">
      <c r="A424" s="90">
        <v>43003</v>
      </c>
      <c r="B424">
        <v>7.93</v>
      </c>
      <c r="C424" s="93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3">
        <f t="shared" si="511"/>
        <v>-1.3681592039800905E-2</v>
      </c>
      <c r="J424">
        <v>1866.425</v>
      </c>
      <c r="K424">
        <v>1843.6210000000001</v>
      </c>
      <c r="L424" s="93">
        <f t="shared" ref="L424" si="617">+K424/J424-1</f>
        <v>-1.2218010367413545E-2</v>
      </c>
      <c r="M424" s="92">
        <f t="shared" ref="M424" si="618">WEEKDAY(A424,2)</f>
        <v>1</v>
      </c>
      <c r="N424" s="50"/>
    </row>
    <row r="425" spans="1:14" x14ac:dyDescent="0.15">
      <c r="A425" s="90">
        <v>43004</v>
      </c>
      <c r="B425">
        <v>7.92</v>
      </c>
      <c r="C425" s="93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3">
        <f t="shared" si="511"/>
        <v>-1.1235955056179803E-2</v>
      </c>
      <c r="J425">
        <v>1843.6210000000001</v>
      </c>
      <c r="K425">
        <v>1839.4549999999999</v>
      </c>
      <c r="L425" s="93">
        <f t="shared" ref="L425" si="622">+K425/J425-1</f>
        <v>-2.259683524976186E-3</v>
      </c>
      <c r="M425" s="92">
        <f t="shared" ref="M425" si="623">WEEKDAY(A425,2)</f>
        <v>2</v>
      </c>
      <c r="N425" s="50"/>
    </row>
    <row r="426" spans="1:14" x14ac:dyDescent="0.15">
      <c r="A426" s="90">
        <v>43005</v>
      </c>
      <c r="B426">
        <v>8</v>
      </c>
      <c r="C426" s="93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3">
        <f t="shared" si="511"/>
        <v>-6.3346168177865758E-3</v>
      </c>
      <c r="J426">
        <v>1839.4549999999999</v>
      </c>
      <c r="K426">
        <v>1854.943</v>
      </c>
      <c r="L426" s="93">
        <f t="shared" ref="L426" si="627">+K426/J426-1</f>
        <v>8.4198852377470601E-3</v>
      </c>
      <c r="M426" s="92">
        <f t="shared" ref="M426" si="628">WEEKDAY(A426,2)</f>
        <v>3</v>
      </c>
      <c r="N426" s="50"/>
    </row>
    <row r="427" spans="1:14" x14ac:dyDescent="0.15">
      <c r="A427" s="90">
        <v>43006</v>
      </c>
      <c r="B427">
        <v>7.98</v>
      </c>
      <c r="C427" s="93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3">
        <f t="shared" si="511"/>
        <v>-3.2475643267548815E-3</v>
      </c>
      <c r="J427">
        <v>1854.943</v>
      </c>
      <c r="K427">
        <v>1854.7339999999999</v>
      </c>
      <c r="L427" s="93">
        <f t="shared" ref="L427" si="632">+K427/J427-1</f>
        <v>-1.1267192576813745E-4</v>
      </c>
      <c r="M427" s="92">
        <f t="shared" ref="M427" si="633">WEEKDAY(A427,2)</f>
        <v>4</v>
      </c>
      <c r="N427" s="50"/>
    </row>
    <row r="428" spans="1:14" x14ac:dyDescent="0.15">
      <c r="A428" s="90">
        <v>43007</v>
      </c>
      <c r="B428">
        <v>8</v>
      </c>
      <c r="C428" s="93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3">
        <f t="shared" si="511"/>
        <v>-8.9197224975221534E-3</v>
      </c>
      <c r="J428">
        <v>1854.7339999999999</v>
      </c>
      <c r="K428">
        <v>1866.982</v>
      </c>
      <c r="L428" s="93">
        <f t="shared" ref="L428" si="637">+K428/J428-1</f>
        <v>6.6036423551840695E-3</v>
      </c>
      <c r="M428" s="92">
        <f t="shared" ref="M428" si="638">WEEKDAY(A428,2)</f>
        <v>5</v>
      </c>
      <c r="N428" s="50"/>
    </row>
    <row r="429" spans="1:14" x14ac:dyDescent="0.15">
      <c r="A429" s="90">
        <v>43010</v>
      </c>
      <c r="B429">
        <v>8</v>
      </c>
      <c r="C429" s="93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2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3">
        <f t="shared" si="511"/>
        <v>-8.9197224975221534E-3</v>
      </c>
      <c r="J429">
        <v>1866.982</v>
      </c>
      <c r="K429">
        <v>1866.982</v>
      </c>
      <c r="L429" s="93">
        <f t="shared" ref="L429" si="642">+K429/J429-1</f>
        <v>0</v>
      </c>
      <c r="M429" s="92">
        <f t="shared" ref="M429" si="643">WEEKDAY(A429,2)</f>
        <v>1</v>
      </c>
      <c r="N429" s="50"/>
    </row>
    <row r="430" spans="1:14" x14ac:dyDescent="0.15">
      <c r="A430" s="90">
        <v>43011</v>
      </c>
      <c r="B430">
        <v>8.06</v>
      </c>
      <c r="C430" s="93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2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3">
        <f t="shared" si="511"/>
        <v>-1.4866204162535812E-3</v>
      </c>
      <c r="J430">
        <v>1866.982</v>
      </c>
      <c r="K430">
        <v>1866.982</v>
      </c>
      <c r="L430" s="93">
        <f t="shared" ref="L430" si="647">+K430/J430-1</f>
        <v>0</v>
      </c>
      <c r="M430" s="92">
        <f t="shared" ref="M430" si="648">WEEKDAY(A430,2)</f>
        <v>2</v>
      </c>
      <c r="N430" s="50"/>
    </row>
    <row r="431" spans="1:14" x14ac:dyDescent="0.15">
      <c r="A431" s="90">
        <v>43012</v>
      </c>
      <c r="B431">
        <v>8.3000000000000007</v>
      </c>
      <c r="C431" s="93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2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3">
        <f t="shared" si="511"/>
        <v>2.8245787908820708E-2</v>
      </c>
      <c r="J431">
        <v>1866.982</v>
      </c>
      <c r="K431">
        <v>1866.982</v>
      </c>
      <c r="L431" s="93">
        <f t="shared" ref="L431" si="652">+K431/J431-1</f>
        <v>0</v>
      </c>
      <c r="M431" s="92">
        <f t="shared" ref="M431" si="653">WEEKDAY(A431,2)</f>
        <v>3</v>
      </c>
      <c r="N431" s="50"/>
    </row>
    <row r="432" spans="1:14" x14ac:dyDescent="0.15">
      <c r="A432" s="90">
        <v>43013</v>
      </c>
      <c r="B432">
        <v>8.3000000000000007</v>
      </c>
      <c r="C432" s="93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2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3">
        <f t="shared" si="511"/>
        <v>2.8245787908820708E-2</v>
      </c>
      <c r="J432">
        <v>1866.982</v>
      </c>
      <c r="K432">
        <v>1866.982</v>
      </c>
      <c r="L432" s="93">
        <f t="shared" ref="L432" si="657">+K432/J432-1</f>
        <v>0</v>
      </c>
      <c r="M432" s="92">
        <f t="shared" ref="M432" si="658">WEEKDAY(A432,2)</f>
        <v>4</v>
      </c>
      <c r="N432" s="50"/>
    </row>
    <row r="433" spans="1:14" x14ac:dyDescent="0.15">
      <c r="A433" s="90">
        <v>43014</v>
      </c>
      <c r="B433">
        <v>8.35</v>
      </c>
      <c r="C433" s="93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2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3">
        <f t="shared" si="511"/>
        <v>3.4440039643211184E-2</v>
      </c>
      <c r="J433">
        <v>1866.982</v>
      </c>
      <c r="K433">
        <v>1866.982</v>
      </c>
      <c r="L433" s="93">
        <f t="shared" ref="L433" si="662">+K433/J433-1</f>
        <v>0</v>
      </c>
      <c r="M433" s="92">
        <f t="shared" ref="M433" si="663">WEEKDAY(A433,2)</f>
        <v>5</v>
      </c>
      <c r="N433" s="50" t="s">
        <v>475</v>
      </c>
    </row>
    <row r="434" spans="1:14" x14ac:dyDescent="0.15">
      <c r="A434" s="90">
        <v>43017</v>
      </c>
      <c r="B434">
        <v>8.2799999999999994</v>
      </c>
      <c r="C434" s="93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3">
        <f t="shared" si="511"/>
        <v>9.6329715888305856E-3</v>
      </c>
      <c r="J434">
        <v>1866.982</v>
      </c>
      <c r="K434">
        <v>1889.838</v>
      </c>
      <c r="L434" s="93">
        <f t="shared" ref="L434" si="667">+K434/J434-1</f>
        <v>1.2242217653946286E-2</v>
      </c>
      <c r="M434" s="92">
        <f t="shared" ref="M434" si="668">WEEKDAY(A434,2)</f>
        <v>1</v>
      </c>
      <c r="N434" s="50"/>
    </row>
    <row r="435" spans="1:14" x14ac:dyDescent="0.15">
      <c r="A435" s="90">
        <v>43018</v>
      </c>
      <c r="B435">
        <v>8.41</v>
      </c>
      <c r="C435" s="93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3">
        <f t="shared" si="511"/>
        <v>4.0592168099331527E-3</v>
      </c>
      <c r="J435">
        <v>1889.838</v>
      </c>
      <c r="K435">
        <v>1917.4580000000001</v>
      </c>
      <c r="L435" s="93">
        <f t="shared" ref="L435" si="672">+K435/J435-1</f>
        <v>1.4615009328841966E-2</v>
      </c>
      <c r="M435" s="92">
        <f t="shared" ref="M435" si="673">WEEKDAY(A435,2)</f>
        <v>2</v>
      </c>
      <c r="N435" s="50"/>
    </row>
    <row r="436" spans="1:14" x14ac:dyDescent="0.15">
      <c r="A436" s="90">
        <v>43019</v>
      </c>
      <c r="B436">
        <v>8.36</v>
      </c>
      <c r="C436" s="93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3">
        <f t="shared" si="511"/>
        <v>5.7747834456207681E-3</v>
      </c>
      <c r="J436">
        <v>1917.4580000000001</v>
      </c>
      <c r="K436">
        <v>1901.5509999999999</v>
      </c>
      <c r="L436" s="93">
        <f t="shared" ref="L436" si="677">+K436/J436-1</f>
        <v>-8.295879231774661E-3</v>
      </c>
      <c r="M436" s="92">
        <f t="shared" ref="M436" si="678">WEEKDAY(A436,2)</f>
        <v>3</v>
      </c>
      <c r="N436" s="50"/>
    </row>
    <row r="437" spans="1:14" x14ac:dyDescent="0.15">
      <c r="A437" s="90">
        <v>43020</v>
      </c>
      <c r="B437">
        <v>8.33</v>
      </c>
      <c r="C437" s="93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3">
        <f t="shared" si="511"/>
        <v>2.8894774861547567E-3</v>
      </c>
      <c r="J437">
        <v>1901.5509999999999</v>
      </c>
      <c r="K437">
        <v>1899.9860000000001</v>
      </c>
      <c r="L437" s="93">
        <f t="shared" ref="L437" si="682">+K437/J437-1</f>
        <v>-8.23012372531573E-4</v>
      </c>
      <c r="M437" s="92">
        <f t="shared" ref="M437" si="683">WEEKDAY(A437,2)</f>
        <v>4</v>
      </c>
      <c r="N437" s="50"/>
    </row>
    <row r="438" spans="1:14" x14ac:dyDescent="0.15">
      <c r="A438" s="90">
        <v>43021</v>
      </c>
      <c r="B438">
        <v>8.44</v>
      </c>
      <c r="C438" s="93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3">
        <f t="shared" si="511"/>
        <v>1.4238253440910231E-3</v>
      </c>
      <c r="J438">
        <v>1899.9860000000001</v>
      </c>
      <c r="K438">
        <v>1926.07</v>
      </c>
      <c r="L438" s="93">
        <f t="shared" ref="L438" si="687">+K438/J438-1</f>
        <v>1.3728522210163518E-2</v>
      </c>
      <c r="M438" s="92">
        <f t="shared" ref="M438" si="688">WEEKDAY(A438,2)</f>
        <v>5</v>
      </c>
      <c r="N438" s="50"/>
    </row>
    <row r="439" spans="1:14" x14ac:dyDescent="0.15">
      <c r="A439" s="90">
        <v>43024</v>
      </c>
      <c r="B439">
        <v>8.27</v>
      </c>
      <c r="C439" s="93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3">
        <f t="shared" si="511"/>
        <v>4.2501517911355258E-3</v>
      </c>
      <c r="J439">
        <v>1926.07</v>
      </c>
      <c r="K439">
        <v>1882.69</v>
      </c>
      <c r="L439" s="93">
        <f t="shared" ref="L439" si="692">+K439/J439-1</f>
        <v>-2.2522545909546277E-2</v>
      </c>
      <c r="M439" s="92">
        <f t="shared" ref="M439" si="693">WEEKDAY(A439,2)</f>
        <v>1</v>
      </c>
      <c r="N439" s="50"/>
    </row>
    <row r="440" spans="1:14" x14ac:dyDescent="0.15">
      <c r="A440" s="90">
        <v>43025</v>
      </c>
      <c r="B440">
        <v>8.2200000000000006</v>
      </c>
      <c r="C440" s="93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3">
        <f t="shared" si="511"/>
        <v>6.3663075416260373E-3</v>
      </c>
      <c r="J440">
        <v>1882.69</v>
      </c>
      <c r="K440">
        <v>1876.99</v>
      </c>
      <c r="L440" s="93">
        <f t="shared" ref="L440" si="697">+K440/J440-1</f>
        <v>-3.0275828734417365E-3</v>
      </c>
      <c r="M440" s="92">
        <f t="shared" ref="M440" si="698">WEEKDAY(A440,2)</f>
        <v>2</v>
      </c>
      <c r="N440" s="50"/>
    </row>
    <row r="441" spans="1:14" x14ac:dyDescent="0.15">
      <c r="A441" s="90">
        <v>43026</v>
      </c>
      <c r="B441">
        <v>8.19</v>
      </c>
      <c r="C441" s="93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3">
        <f t="shared" si="511"/>
        <v>8.4964905799778112E-3</v>
      </c>
      <c r="J441">
        <v>1876.99</v>
      </c>
      <c r="K441">
        <v>1868.16</v>
      </c>
      <c r="L441" s="93">
        <f t="shared" ref="L441" si="702">+K441/J441-1</f>
        <v>-4.704340459991796E-3</v>
      </c>
      <c r="M441" s="92">
        <f t="shared" ref="M441" si="703">WEEKDAY(A441,2)</f>
        <v>3</v>
      </c>
      <c r="N441" s="50" t="s">
        <v>504</v>
      </c>
    </row>
    <row r="442" spans="1:14" ht="27" x14ac:dyDescent="0.15">
      <c r="A442" s="90">
        <v>43027</v>
      </c>
      <c r="B442">
        <v>8.1</v>
      </c>
      <c r="C442" s="93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3">
        <f t="shared" si="511"/>
        <v>2.2271714922048602E-3</v>
      </c>
      <c r="J442">
        <v>1868.16</v>
      </c>
      <c r="K442">
        <v>1862.61</v>
      </c>
      <c r="L442" s="93">
        <f t="shared" ref="L442" si="707">+K442/J442-1</f>
        <v>-2.9708376156218907E-3</v>
      </c>
      <c r="M442" s="92">
        <f t="shared" ref="M442" si="708">WEEKDAY(A442,2)</f>
        <v>4</v>
      </c>
      <c r="N442" s="50" t="s">
        <v>512</v>
      </c>
    </row>
    <row r="443" spans="1:14" x14ac:dyDescent="0.15">
      <c r="A443" s="90">
        <v>43028</v>
      </c>
      <c r="B443">
        <v>8.17</v>
      </c>
      <c r="C443" s="93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3">
        <f t="shared" si="511"/>
        <v>6.1236987140245169E-4</v>
      </c>
      <c r="J443">
        <v>1862.61</v>
      </c>
      <c r="K443">
        <v>1880.21</v>
      </c>
      <c r="L443" s="93">
        <f t="shared" ref="L443" si="712">+K443/J443-1</f>
        <v>9.4491063615036452E-3</v>
      </c>
      <c r="M443" s="92">
        <f t="shared" ref="M443" si="713">WEEKDAY(A443,2)</f>
        <v>5</v>
      </c>
      <c r="N443" s="50"/>
    </row>
    <row r="444" spans="1:14" x14ac:dyDescent="0.15">
      <c r="A444" s="90">
        <v>43031</v>
      </c>
      <c r="B444">
        <v>8.2100000000000009</v>
      </c>
      <c r="C444" s="93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3">
        <f t="shared" si="511"/>
        <v>-1.7023346303500775E-3</v>
      </c>
      <c r="J444">
        <v>1880.21</v>
      </c>
      <c r="K444">
        <v>1898.76</v>
      </c>
      <c r="L444" s="93">
        <f t="shared" ref="L444" si="717">+K444/J444-1</f>
        <v>9.8659192324261902E-3</v>
      </c>
      <c r="M444" s="92">
        <f t="shared" ref="M444" si="718">WEEKDAY(A444,2)</f>
        <v>1</v>
      </c>
      <c r="N444" s="50"/>
    </row>
    <row r="445" spans="1:14" x14ac:dyDescent="0.15">
      <c r="A445" s="90">
        <v>43032</v>
      </c>
      <c r="B445">
        <v>8.1999999999999993</v>
      </c>
      <c r="C445" s="93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3">
        <f t="shared" si="511"/>
        <v>-4.9751243781095411E-3</v>
      </c>
      <c r="J445">
        <v>1898.76</v>
      </c>
      <c r="K445">
        <v>1901.69</v>
      </c>
      <c r="L445" s="93">
        <f t="shared" ref="L445" si="722">+K445/J445-1</f>
        <v>1.5431123470055486E-3</v>
      </c>
      <c r="M445" s="92">
        <f t="shared" ref="M445" si="723">WEEKDAY(A445,2)</f>
        <v>2</v>
      </c>
      <c r="N445" s="50"/>
    </row>
    <row r="446" spans="1:14" x14ac:dyDescent="0.15">
      <c r="A446" s="90">
        <v>43033</v>
      </c>
      <c r="B446">
        <v>8.25</v>
      </c>
      <c r="C446" s="93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3">
        <f t="shared" si="511"/>
        <v>-3.6231884057970065E-3</v>
      </c>
      <c r="J446">
        <v>1901.69</v>
      </c>
      <c r="K446">
        <v>1913.26</v>
      </c>
      <c r="L446" s="93">
        <f t="shared" ref="L446" si="727">+K446/J446-1</f>
        <v>6.084062071105123E-3</v>
      </c>
      <c r="M446" s="92">
        <f t="shared" ref="M446" si="728">WEEKDAY(A446,2)</f>
        <v>3</v>
      </c>
      <c r="N446" s="50"/>
    </row>
    <row r="447" spans="1:14" x14ac:dyDescent="0.15">
      <c r="A447" s="90">
        <v>43034</v>
      </c>
      <c r="B447">
        <v>8.3000000000000007</v>
      </c>
      <c r="C447" s="93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3">
        <f t="shared" si="511"/>
        <v>3.2636286715823637E-3</v>
      </c>
      <c r="J447">
        <v>1913.26</v>
      </c>
      <c r="K447">
        <v>1910.72</v>
      </c>
      <c r="L447" s="93">
        <f t="shared" ref="L447" si="732">+K447/J447-1</f>
        <v>-1.3275770151468524E-3</v>
      </c>
      <c r="M447" s="92">
        <f t="shared" ref="M447" si="733">WEEKDAY(A447,2)</f>
        <v>4</v>
      </c>
      <c r="N447" s="50"/>
    </row>
    <row r="448" spans="1:14" x14ac:dyDescent="0.15">
      <c r="A448" s="90">
        <v>43035</v>
      </c>
      <c r="B448">
        <v>8.16</v>
      </c>
      <c r="C448" s="93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3">
        <f t="shared" si="511"/>
        <v>-3.4196384953590897E-3</v>
      </c>
      <c r="J448">
        <v>1910.72</v>
      </c>
      <c r="K448">
        <v>1896.22</v>
      </c>
      <c r="L448" s="93">
        <f t="shared" ref="L448" si="737">+K448/J448-1</f>
        <v>-7.5887623513649638E-3</v>
      </c>
      <c r="M448" s="92">
        <f t="shared" ref="M448" si="738">WEEKDAY(A448,2)</f>
        <v>5</v>
      </c>
      <c r="N448" s="50"/>
    </row>
    <row r="449" spans="1:14" x14ac:dyDescent="0.15">
      <c r="A449" s="90">
        <v>43038</v>
      </c>
      <c r="B449">
        <v>7.97</v>
      </c>
      <c r="C449" s="93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3">
        <f t="shared" si="511"/>
        <v>-6.6060077277826368E-3</v>
      </c>
      <c r="J449">
        <v>1896.22</v>
      </c>
      <c r="K449">
        <v>1855.99</v>
      </c>
      <c r="L449" s="93">
        <f t="shared" ref="L449" si="742">+K449/J449-1</f>
        <v>-2.1215892670681691E-2</v>
      </c>
      <c r="M449" s="92">
        <f t="shared" ref="M449" si="743">WEEKDAY(A449,2)</f>
        <v>1</v>
      </c>
      <c r="N449" s="50"/>
    </row>
    <row r="450" spans="1:14" x14ac:dyDescent="0.15">
      <c r="A450" s="90">
        <v>43039</v>
      </c>
      <c r="B450">
        <v>8.06</v>
      </c>
      <c r="C450" s="93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3">
        <f t="shared" si="511"/>
        <v>-5.5521283158543877E-3</v>
      </c>
      <c r="J450">
        <v>1855.99</v>
      </c>
      <c r="K450">
        <v>1869.79</v>
      </c>
      <c r="L450" s="93">
        <f t="shared" ref="L450" si="747">+K450/J450-1</f>
        <v>7.4353848889272545E-3</v>
      </c>
      <c r="M450" s="92">
        <f t="shared" ref="M450" si="748">WEEKDAY(A450,2)</f>
        <v>2</v>
      </c>
      <c r="N450" s="50"/>
    </row>
    <row r="451" spans="1:14" x14ac:dyDescent="0.15">
      <c r="A451" s="90">
        <v>43040</v>
      </c>
      <c r="B451">
        <v>8.07</v>
      </c>
      <c r="C451" s="93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3">
        <f t="shared" si="511"/>
        <v>-4.4411547002219942E-3</v>
      </c>
      <c r="J451">
        <v>1869.79</v>
      </c>
      <c r="K451">
        <v>1872.75</v>
      </c>
      <c r="L451" s="93">
        <f t="shared" ref="L451" si="752">+K451/J451-1</f>
        <v>1.5830654779414033E-3</v>
      </c>
      <c r="M451" s="92">
        <f t="shared" ref="M451" si="753">WEEKDAY(A451,2)</f>
        <v>3</v>
      </c>
      <c r="N451" s="50"/>
    </row>
    <row r="452" spans="1:14" x14ac:dyDescent="0.15">
      <c r="A452" s="90">
        <v>43041</v>
      </c>
      <c r="B452">
        <v>7.96</v>
      </c>
      <c r="C452" s="93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3">
        <f t="shared" si="511"/>
        <v>-4.875609451181373E-3</v>
      </c>
      <c r="J452">
        <v>1872.75</v>
      </c>
      <c r="K452">
        <v>1847.57</v>
      </c>
      <c r="L452" s="93">
        <f t="shared" ref="L452" si="757">+K452/J452-1</f>
        <v>-1.3445467894807162E-2</v>
      </c>
      <c r="M452" s="92">
        <f t="shared" ref="M452" si="758">WEEKDAY(A452,2)</f>
        <v>4</v>
      </c>
      <c r="N452" s="50"/>
    </row>
    <row r="453" spans="1:14" x14ac:dyDescent="0.15">
      <c r="A453" s="90">
        <v>43042</v>
      </c>
      <c r="B453">
        <v>7.9</v>
      </c>
      <c r="C453" s="93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3">
        <f t="shared" si="511"/>
        <v>-8.8529151384841853E-4</v>
      </c>
      <c r="J453">
        <v>1847.57</v>
      </c>
      <c r="K453">
        <v>1832.97</v>
      </c>
      <c r="L453" s="93">
        <f t="shared" ref="L453" si="762">+K453/J453-1</f>
        <v>-7.9022716324685938E-3</v>
      </c>
      <c r="M453" s="92">
        <f t="shared" ref="M453" si="763">WEEKDAY(A453,2)</f>
        <v>5</v>
      </c>
      <c r="N453" s="50"/>
    </row>
    <row r="454" spans="1:14" x14ac:dyDescent="0.15">
      <c r="A454" s="90">
        <v>43045</v>
      </c>
      <c r="B454">
        <v>7.9</v>
      </c>
      <c r="C454" s="93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3">
        <f t="shared" si="511"/>
        <v>-7.4129915818569314E-3</v>
      </c>
      <c r="J454">
        <v>1832.97</v>
      </c>
      <c r="K454">
        <v>1850.3</v>
      </c>
      <c r="L454" s="93">
        <f t="shared" ref="L454" si="767">+K454/J454-1</f>
        <v>9.4546010027440897E-3</v>
      </c>
      <c r="M454" s="92">
        <f t="shared" ref="M454" si="768">WEEKDAY(A454,2)</f>
        <v>1</v>
      </c>
      <c r="N454" s="50"/>
    </row>
    <row r="455" spans="1:14" x14ac:dyDescent="0.15">
      <c r="A455" s="90">
        <v>43046</v>
      </c>
      <c r="B455">
        <v>7.98</v>
      </c>
      <c r="C455" s="93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3">
        <f t="shared" si="511"/>
        <v>-3.9940089865202477E-3</v>
      </c>
      <c r="J455">
        <v>1850.3</v>
      </c>
      <c r="K455">
        <v>1859.07</v>
      </c>
      <c r="L455" s="93">
        <f t="shared" ref="L455" si="772">+K455/J455-1</f>
        <v>4.739771928876424E-3</v>
      </c>
      <c r="M455" s="92">
        <f t="shared" ref="M455" si="773">WEEKDAY(A455,2)</f>
        <v>2</v>
      </c>
      <c r="N455" s="50"/>
    </row>
    <row r="456" spans="1:14" x14ac:dyDescent="0.15">
      <c r="A456" s="90">
        <v>43047</v>
      </c>
      <c r="B456">
        <v>8</v>
      </c>
      <c r="C456" s="93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3">
        <f t="shared" si="511"/>
        <v>-3.1152647975077885E-3</v>
      </c>
      <c r="J456">
        <v>1859.07</v>
      </c>
      <c r="K456">
        <v>1866.14</v>
      </c>
      <c r="L456" s="93">
        <f t="shared" ref="L456" si="777">+K456/J456-1</f>
        <v>3.802976757195875E-3</v>
      </c>
      <c r="M456" s="92">
        <f t="shared" ref="M456" si="778">WEEKDAY(A456,2)</f>
        <v>3</v>
      </c>
      <c r="N456" s="50"/>
    </row>
    <row r="457" spans="1:14" x14ac:dyDescent="0.15">
      <c r="A457" s="90">
        <v>43048</v>
      </c>
      <c r="B457">
        <v>8.08</v>
      </c>
      <c r="C457" s="93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3">
        <f t="shared" si="511"/>
        <v>-3.0845157310303017E-3</v>
      </c>
      <c r="J457">
        <v>1866.14</v>
      </c>
      <c r="K457">
        <v>1884.11</v>
      </c>
      <c r="L457" s="93">
        <f t="shared" ref="L457" si="782">+K457/J457-1</f>
        <v>9.6295026096646641E-3</v>
      </c>
      <c r="M457" s="92">
        <f t="shared" ref="M457" si="783">WEEKDAY(A457,2)</f>
        <v>4</v>
      </c>
      <c r="N457" s="50"/>
    </row>
    <row r="458" spans="1:14" x14ac:dyDescent="0.15">
      <c r="A458" s="90">
        <v>43049</v>
      </c>
      <c r="B458">
        <v>8.1300000000000008</v>
      </c>
      <c r="C458" s="93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3">
        <f t="shared" si="511"/>
        <v>-5.261225988009155E-3</v>
      </c>
      <c r="J458">
        <v>1884.11</v>
      </c>
      <c r="K458">
        <v>1900.63</v>
      </c>
      <c r="L458" s="93">
        <f t="shared" ref="L458" si="787">+K458/J458-1</f>
        <v>8.7680655588051604E-3</v>
      </c>
      <c r="M458" s="92">
        <f t="shared" ref="M458" si="788">WEEKDAY(A458,2)</f>
        <v>5</v>
      </c>
      <c r="N458" s="50"/>
    </row>
    <row r="459" spans="1:14" x14ac:dyDescent="0.15">
      <c r="A459" s="90">
        <v>43052</v>
      </c>
      <c r="B459">
        <v>8.16</v>
      </c>
      <c r="C459" s="93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3">
        <f t="shared" si="511"/>
        <v>-2.6888291371303108E-3</v>
      </c>
      <c r="J459">
        <v>1900.63</v>
      </c>
      <c r="K459">
        <v>1906.44</v>
      </c>
      <c r="L459" s="93">
        <f t="shared" ref="L459" si="792">+K459/J459-1</f>
        <v>3.0568811394116047E-3</v>
      </c>
      <c r="M459" s="92">
        <f t="shared" ref="M459" si="793">WEEKDAY(A459,2)</f>
        <v>1</v>
      </c>
      <c r="N459" s="50"/>
    </row>
    <row r="460" spans="1:14" x14ac:dyDescent="0.15">
      <c r="A460" s="90">
        <v>43053</v>
      </c>
      <c r="B460">
        <v>8.1199999999999992</v>
      </c>
      <c r="C460" s="93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3">
        <f t="shared" si="511"/>
        <v>-3.3141033509268558E-3</v>
      </c>
      <c r="J460">
        <v>1906.44</v>
      </c>
      <c r="K460">
        <v>1896.72</v>
      </c>
      <c r="L460" s="93">
        <f t="shared" ref="L460" si="797">+K460/J460-1</f>
        <v>-5.0985082142632754E-3</v>
      </c>
      <c r="M460" s="92">
        <f t="shared" ref="M460" si="798">WEEKDAY(A460,2)</f>
        <v>2</v>
      </c>
      <c r="N460" s="50"/>
    </row>
    <row r="461" spans="1:14" x14ac:dyDescent="0.15">
      <c r="A461" s="90">
        <v>43054</v>
      </c>
      <c r="B461">
        <v>8</v>
      </c>
      <c r="C461" s="93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3">
        <f t="shared" si="511"/>
        <v>-4.8513496703569414E-3</v>
      </c>
      <c r="J461">
        <v>1896.72</v>
      </c>
      <c r="K461">
        <v>1868.08</v>
      </c>
      <c r="L461" s="93">
        <f t="shared" ref="L461" si="802">+K461/J461-1</f>
        <v>-1.509975114935258E-2</v>
      </c>
      <c r="M461" s="92">
        <f t="shared" ref="M461" si="803">WEEKDAY(A461,2)</f>
        <v>3</v>
      </c>
      <c r="N461" s="50"/>
    </row>
    <row r="462" spans="1:14" x14ac:dyDescent="0.15">
      <c r="A462" s="90">
        <v>43055</v>
      </c>
      <c r="B462">
        <v>8.0299999999999994</v>
      </c>
      <c r="C462" s="93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3">
        <f t="shared" si="511"/>
        <v>-7.4165636588381378E-3</v>
      </c>
      <c r="J462">
        <v>1868.08</v>
      </c>
      <c r="K462">
        <v>1878.26</v>
      </c>
      <c r="L462" s="93">
        <f t="shared" ref="L462" si="807">+K462/J462-1</f>
        <v>5.4494454198963371E-3</v>
      </c>
      <c r="M462" s="92">
        <f t="shared" ref="M462" si="808">WEEKDAY(A462,2)</f>
        <v>4</v>
      </c>
      <c r="N462" s="50"/>
    </row>
    <row r="463" spans="1:14" x14ac:dyDescent="0.15">
      <c r="A463" s="90">
        <v>43056</v>
      </c>
      <c r="B463">
        <v>7.83</v>
      </c>
      <c r="C463" s="93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3">
        <f t="shared" si="511"/>
        <v>-9.1116173120728838E-3</v>
      </c>
      <c r="J463">
        <v>1878.26</v>
      </c>
      <c r="K463">
        <v>1833.9</v>
      </c>
      <c r="L463" s="93">
        <f t="shared" ref="L463" si="812">+K463/J463-1</f>
        <v>-2.3617603526668196E-2</v>
      </c>
      <c r="M463" s="92">
        <f t="shared" ref="M463" si="813">WEEKDAY(A463,2)</f>
        <v>5</v>
      </c>
      <c r="N463" s="50"/>
    </row>
    <row r="464" spans="1:14" x14ac:dyDescent="0.15">
      <c r="A464" s="90">
        <v>43059</v>
      </c>
      <c r="B464">
        <v>7.97</v>
      </c>
      <c r="C464" s="93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3">
        <f t="shared" si="511"/>
        <v>-3.9990002499376009E-3</v>
      </c>
      <c r="J464">
        <v>1833.9</v>
      </c>
      <c r="K464">
        <v>1859.75</v>
      </c>
      <c r="L464" s="93">
        <f t="shared" ref="L464" si="817">+K464/J464-1</f>
        <v>1.40956431648398E-2</v>
      </c>
      <c r="M464" s="92">
        <f t="shared" ref="M464" si="818">WEEKDAY(A464,2)</f>
        <v>1</v>
      </c>
      <c r="N464" s="50"/>
    </row>
    <row r="465" spans="1:14" x14ac:dyDescent="0.15">
      <c r="A465" s="90">
        <v>43060</v>
      </c>
      <c r="B465">
        <v>7.92</v>
      </c>
      <c r="C465" s="93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3">
        <f t="shared" si="511"/>
        <v>-6.398193451260803E-3</v>
      </c>
      <c r="J465">
        <v>1859.75</v>
      </c>
      <c r="K465">
        <v>1856.96</v>
      </c>
      <c r="L465" s="93">
        <f t="shared" ref="L465" si="822">+K465/J465-1</f>
        <v>-1.5002016400053053E-3</v>
      </c>
      <c r="M465" s="92">
        <f t="shared" ref="M465" si="823">WEEKDAY(A465,2)</f>
        <v>2</v>
      </c>
      <c r="N465" s="50"/>
    </row>
    <row r="466" spans="1:14" x14ac:dyDescent="0.15">
      <c r="A466" s="90">
        <v>43061</v>
      </c>
      <c r="B466">
        <v>7.96</v>
      </c>
      <c r="C466" s="93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3">
        <f t="shared" si="511"/>
        <v>-1.5052684395384652E-3</v>
      </c>
      <c r="J466">
        <v>1856.96</v>
      </c>
      <c r="K466">
        <v>1853.38</v>
      </c>
      <c r="L466" s="93">
        <f t="shared" ref="L466" si="827">+K466/J466-1</f>
        <v>-1.9278821299327786E-3</v>
      </c>
      <c r="M466" s="92">
        <f t="shared" ref="M466" si="828">WEEKDAY(A466,2)</f>
        <v>3</v>
      </c>
      <c r="N466" s="50"/>
    </row>
    <row r="467" spans="1:14" x14ac:dyDescent="0.15">
      <c r="A467" s="90">
        <v>43062</v>
      </c>
      <c r="B467">
        <v>7.67</v>
      </c>
      <c r="C467" s="93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3">
        <f t="shared" si="511"/>
        <v>-6.2192277792174622E-3</v>
      </c>
      <c r="J467">
        <v>1853.38</v>
      </c>
      <c r="K467">
        <v>1794.78</v>
      </c>
      <c r="L467" s="93">
        <f t="shared" ref="L467" si="832">+K467/J467-1</f>
        <v>-3.1617908901574454E-2</v>
      </c>
      <c r="M467" s="92">
        <f t="shared" ref="M467" si="833">WEEKDAY(A467,2)</f>
        <v>4</v>
      </c>
      <c r="N467" s="50"/>
    </row>
    <row r="468" spans="1:14" x14ac:dyDescent="0.15">
      <c r="A468" s="90">
        <v>43063</v>
      </c>
      <c r="B468">
        <v>7.6</v>
      </c>
      <c r="C468" s="93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3">
        <f t="shared" si="511"/>
        <v>-6.7956089911135331E-3</v>
      </c>
      <c r="J468">
        <v>1794.78</v>
      </c>
      <c r="K468">
        <v>1782.66</v>
      </c>
      <c r="L468" s="93">
        <f t="shared" ref="L468" si="837">+K468/J468-1</f>
        <v>-6.7529167920301614E-3</v>
      </c>
      <c r="M468" s="92">
        <f t="shared" ref="M468" si="838">WEEKDAY(A468,2)</f>
        <v>5</v>
      </c>
      <c r="N468" s="50"/>
    </row>
    <row r="469" spans="1:14" x14ac:dyDescent="0.15">
      <c r="A469" s="90">
        <v>43066</v>
      </c>
      <c r="B469">
        <v>7.52</v>
      </c>
      <c r="C469" s="93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3">
        <f t="shared" si="511"/>
        <v>-2.9169981437284775E-3</v>
      </c>
      <c r="J469">
        <v>1782.66</v>
      </c>
      <c r="K469">
        <v>1760.9</v>
      </c>
      <c r="L469" s="93">
        <f t="shared" ref="L469" si="842">+K469/J469-1</f>
        <v>-1.2206477959902595E-2</v>
      </c>
      <c r="M469" s="92">
        <f t="shared" ref="M469" si="843">WEEKDAY(A469,2)</f>
        <v>1</v>
      </c>
      <c r="N469" s="50"/>
    </row>
    <row r="470" spans="1:14" x14ac:dyDescent="0.15">
      <c r="A470" s="90">
        <v>43067</v>
      </c>
      <c r="B470">
        <v>7.7</v>
      </c>
      <c r="C470" s="93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3">
        <f t="shared" si="511"/>
        <v>2.4736362452806304E-3</v>
      </c>
      <c r="J470">
        <v>1760.9</v>
      </c>
      <c r="K470">
        <v>1793.87</v>
      </c>
      <c r="L470" s="93">
        <f t="shared" ref="L470" si="847">+K470/J470-1</f>
        <v>1.8723380089726627E-2</v>
      </c>
      <c r="M470" s="92">
        <f t="shared" ref="M470" si="848">WEEKDAY(A470,2)</f>
        <v>2</v>
      </c>
      <c r="N470" s="50"/>
    </row>
    <row r="471" spans="1:14" x14ac:dyDescent="0.15">
      <c r="A471" s="90">
        <v>43068</v>
      </c>
      <c r="B471">
        <v>7.63</v>
      </c>
      <c r="C471" s="93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3">
        <f t="shared" si="511"/>
        <v>-3.6563071297989191E-3</v>
      </c>
      <c r="J471">
        <v>1793.87</v>
      </c>
      <c r="K471">
        <v>1787.38</v>
      </c>
      <c r="L471" s="93">
        <f t="shared" ref="L471" si="852">+K471/J471-1</f>
        <v>-3.6178764347470915E-3</v>
      </c>
      <c r="M471" s="92">
        <f t="shared" ref="M471" si="853">WEEKDAY(A471,2)</f>
        <v>3</v>
      </c>
      <c r="N471" s="50"/>
    </row>
    <row r="472" spans="1:14" x14ac:dyDescent="0.15">
      <c r="A472" s="90">
        <v>43069</v>
      </c>
      <c r="B472">
        <v>7.56</v>
      </c>
      <c r="C472" s="93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3">
        <f t="shared" si="511"/>
        <v>-1.1890606420927874E-3</v>
      </c>
      <c r="J472">
        <v>1787.38</v>
      </c>
      <c r="K472">
        <v>1770.3</v>
      </c>
      <c r="L472" s="93">
        <f t="shared" ref="L472" si="857">+K472/J472-1</f>
        <v>-9.5558862692880497E-3</v>
      </c>
      <c r="M472" s="92">
        <f t="shared" ref="M472" si="858">WEEKDAY(A472,2)</f>
        <v>4</v>
      </c>
      <c r="N472" s="50"/>
    </row>
    <row r="473" spans="1:14" ht="40.5" x14ac:dyDescent="0.15">
      <c r="A473" s="90">
        <v>43070</v>
      </c>
      <c r="B473">
        <v>7.7</v>
      </c>
      <c r="C473" s="93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3">
        <f t="shared" si="511"/>
        <v>-2.7198549410697437E-3</v>
      </c>
      <c r="J473">
        <v>1770.3</v>
      </c>
      <c r="K473">
        <v>1804.62</v>
      </c>
      <c r="L473" s="93">
        <f t="shared" ref="L473" si="862">+K473/J473-1</f>
        <v>1.9386544653448468E-2</v>
      </c>
      <c r="M473" s="92">
        <f t="shared" ref="M473" si="863">WEEKDAY(A473,2)</f>
        <v>5</v>
      </c>
      <c r="N473" s="50" t="s">
        <v>614</v>
      </c>
    </row>
    <row r="474" spans="1:14" x14ac:dyDescent="0.15">
      <c r="A474" s="90">
        <v>43073</v>
      </c>
      <c r="B474">
        <v>7.65</v>
      </c>
      <c r="C474" s="93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3">
        <f t="shared" si="511"/>
        <v>-5.3309062540630725E-3</v>
      </c>
      <c r="J474">
        <v>1804.62</v>
      </c>
      <c r="K474">
        <v>1797.77</v>
      </c>
      <c r="L474" s="93">
        <f t="shared" ref="L474" si="867">+K474/J474-1</f>
        <v>-3.7958129689352749E-3</v>
      </c>
      <c r="M474" s="92">
        <f t="shared" ref="M474" si="868">WEEKDAY(A474,2)</f>
        <v>1</v>
      </c>
    </row>
    <row r="475" spans="1:14" x14ac:dyDescent="0.15">
      <c r="A475" s="90">
        <v>43074</v>
      </c>
      <c r="B475">
        <v>7.47</v>
      </c>
      <c r="C475" s="93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3">
        <f t="shared" si="511"/>
        <v>-7.0450618104479501E-3</v>
      </c>
      <c r="J475">
        <v>1797.77</v>
      </c>
      <c r="K475">
        <v>1758.59</v>
      </c>
      <c r="L475" s="93">
        <f t="shared" ref="L475" si="872">+K475/J475-1</f>
        <v>-2.1793666598063144E-2</v>
      </c>
      <c r="M475" s="92">
        <f t="shared" ref="M475" si="873">WEEKDAY(A475,2)</f>
        <v>2</v>
      </c>
    </row>
    <row r="476" spans="1:14" x14ac:dyDescent="0.15">
      <c r="A476" s="90">
        <v>43075</v>
      </c>
      <c r="B476">
        <v>7.53</v>
      </c>
      <c r="C476" s="93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3">
        <f t="shared" si="511"/>
        <v>-1.3235486830035392E-2</v>
      </c>
      <c r="J476">
        <v>1758.59</v>
      </c>
      <c r="K476">
        <v>1784.31</v>
      </c>
      <c r="L476" s="93">
        <f t="shared" ref="L476" si="877">+K476/J476-1</f>
        <v>1.462535326596881E-2</v>
      </c>
      <c r="M476" s="92">
        <f t="shared" ref="M476" si="878">WEEKDAY(A476,2)</f>
        <v>3</v>
      </c>
    </row>
    <row r="477" spans="1:14" x14ac:dyDescent="0.15">
      <c r="A477" s="90">
        <v>43076</v>
      </c>
      <c r="B477">
        <v>7.48</v>
      </c>
      <c r="C477" s="93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93">
        <f t="shared" si="511"/>
        <v>-1.5271195365982093E-2</v>
      </c>
      <c r="J477">
        <v>1784.31</v>
      </c>
      <c r="K477">
        <v>1776.99</v>
      </c>
      <c r="L477" s="93">
        <f t="shared" ref="L477" si="882">+K477/J477-1</f>
        <v>-4.1024261479226665E-3</v>
      </c>
      <c r="M477" s="92">
        <f t="shared" ref="M477" si="883">WEEKDAY(A477,2)</f>
        <v>4</v>
      </c>
    </row>
    <row r="478" spans="1:14" x14ac:dyDescent="0.15">
      <c r="A478" s="90">
        <v>43077</v>
      </c>
      <c r="B478">
        <v>7.62</v>
      </c>
      <c r="C478" s="93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93">
        <f t="shared" si="511"/>
        <v>-3.9215686274509665E-3</v>
      </c>
      <c r="J478">
        <v>1776.99</v>
      </c>
      <c r="K478">
        <v>1792.16</v>
      </c>
      <c r="L478" s="93">
        <f t="shared" ref="L478" si="887">+K478/J478-1</f>
        <v>8.5369079173209794E-3</v>
      </c>
      <c r="M478" s="92">
        <f t="shared" ref="M478" si="888">WEEKDAY(A478,2)</f>
        <v>5</v>
      </c>
    </row>
    <row r="479" spans="1:14" x14ac:dyDescent="0.15">
      <c r="A479" s="90">
        <v>43080</v>
      </c>
      <c r="B479">
        <v>7.74</v>
      </c>
      <c r="C479" s="93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D479*(1-VLOOKUP(A479,FX!A:K,9,0))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(+B479/(D479*(1-VLOOKUP(A479,FX!A:K,9,0)))-1)</f>
        <v>-2.7255412679730862E-3</v>
      </c>
      <c r="I479" s="93">
        <f t="shared" si="511"/>
        <v>-3.0911901081916993E-3</v>
      </c>
      <c r="J479">
        <v>1792.16</v>
      </c>
      <c r="K479">
        <v>1816.98</v>
      </c>
      <c r="L479" s="93">
        <f t="shared" ref="L479" si="892">+K479/J479-1</f>
        <v>1.3849209891973802E-2</v>
      </c>
      <c r="M479" s="92">
        <f t="shared" ref="M479" si="893">WEEKDAY(A479,2)</f>
        <v>1</v>
      </c>
    </row>
    <row r="480" spans="1:14" x14ac:dyDescent="0.15">
      <c r="A480" s="90">
        <v>43081</v>
      </c>
      <c r="B480">
        <v>7.65</v>
      </c>
      <c r="C480" s="93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D480*(1-VLOOKUP(A480,FX!A:K,9,0))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(+B480/(D480*(1-VLOOKUP(A480,FX!A:K,9,0)))-1)</f>
        <v>-4.6639472967631157E-3</v>
      </c>
      <c r="I480" s="93">
        <f t="shared" si="511"/>
        <v>-3.906249999999889E-3</v>
      </c>
      <c r="J480">
        <v>1816.98</v>
      </c>
      <c r="K480">
        <v>1798.69</v>
      </c>
      <c r="L480" s="93">
        <f t="shared" ref="L480" si="897">+K480/J480-1</f>
        <v>-1.006615372761388E-2</v>
      </c>
      <c r="M480" s="92">
        <f t="shared" ref="M480" si="898">WEEKDAY(A480,2)</f>
        <v>2</v>
      </c>
    </row>
    <row r="481" spans="1:13" x14ac:dyDescent="0.15">
      <c r="A481" s="90">
        <v>43082</v>
      </c>
      <c r="B481">
        <v>7.66</v>
      </c>
      <c r="C481" s="93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D481*(1-VLOOKUP(A481,FX!A:K,9,0))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(+B481/(D481*(1-VLOOKUP(A481,FX!A:K,9,0)))-1)</f>
        <v>-6.0992826697030544E-3</v>
      </c>
      <c r="I481" s="93">
        <f t="shared" si="511"/>
        <v>-6.7427385892115943E-3</v>
      </c>
      <c r="J481">
        <v>1798.69</v>
      </c>
      <c r="K481">
        <v>1806.09</v>
      </c>
      <c r="L481" s="93">
        <f t="shared" ref="L481" si="902">+K481/J481-1</f>
        <v>4.1141052654987131E-3</v>
      </c>
      <c r="M481" s="92">
        <f t="shared" ref="M481" si="903">WEEKDAY(A481,2)</f>
        <v>3</v>
      </c>
    </row>
    <row r="482" spans="1:13" x14ac:dyDescent="0.15">
      <c r="A482" s="90">
        <v>43083</v>
      </c>
      <c r="B482">
        <v>7.62</v>
      </c>
      <c r="C482" s="93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D482*(1-VLOOKUP(A482,FX!A:K,9,0))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(+B482/(D482*(1-VLOOKUP(A482,FX!A:K,9,0)))-1)</f>
        <v>-7.6155569320027761E-3</v>
      </c>
      <c r="I482" s="93">
        <f t="shared" si="511"/>
        <v>-7.8125E-3</v>
      </c>
      <c r="J482">
        <v>1806.09</v>
      </c>
      <c r="K482">
        <v>1794.34</v>
      </c>
      <c r="L482" s="93">
        <f t="shared" ref="L482" si="907">+K482/J482-1</f>
        <v>-6.5057666007785064E-3</v>
      </c>
      <c r="M482" s="92">
        <f t="shared" ref="M482" si="908">WEEKDAY(A482,2)</f>
        <v>4</v>
      </c>
    </row>
    <row r="483" spans="1:13" x14ac:dyDescent="0.15">
      <c r="A483" s="90">
        <v>43084</v>
      </c>
      <c r="B483">
        <v>7.56</v>
      </c>
      <c r="C483" s="93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D483*(1-VLOOKUP(A483,FX!A:K,9,0))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(+B483/(D483*(1-VLOOKUP(A483,FX!A:K,9,0)))-1)</f>
        <v>-1.0250478136865415E-2</v>
      </c>
      <c r="I483" s="93">
        <f t="shared" si="511"/>
        <v>-1.0082493125572856E-2</v>
      </c>
      <c r="J483">
        <v>1794.34</v>
      </c>
      <c r="K483">
        <v>1783.97</v>
      </c>
      <c r="L483" s="93">
        <f t="shared" ref="L483" si="912">+K483/J483-1</f>
        <v>-5.7792837477846914E-3</v>
      </c>
      <c r="M483" s="92">
        <f t="shared" ref="M483" si="913">WEEKDAY(A483,2)</f>
        <v>5</v>
      </c>
    </row>
    <row r="484" spans="1:13" x14ac:dyDescent="0.15">
      <c r="A484" s="90">
        <v>43087</v>
      </c>
      <c r="B484">
        <v>7.57</v>
      </c>
      <c r="C484" s="93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D484*(1-VLOOKUP(A484,FX!A:K,9,0))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(+B484/(D484*(1-VLOOKUP(A484,FX!A:K,9,0)))-1)</f>
        <v>-6.2471776550513392E-3</v>
      </c>
      <c r="I484" s="93">
        <f t="shared" si="511"/>
        <v>-6.6920351659887078E-3</v>
      </c>
      <c r="J484">
        <v>1783.97</v>
      </c>
      <c r="K484">
        <v>1780.64</v>
      </c>
      <c r="L484" s="93">
        <f t="shared" ref="L484" si="917">+K484/J484-1</f>
        <v>-1.8666233176566349E-3</v>
      </c>
      <c r="M484" s="92">
        <f t="shared" ref="M484" si="918">WEEKDAY(A484,2)</f>
        <v>1</v>
      </c>
    </row>
    <row r="485" spans="1:13" x14ac:dyDescent="0.15">
      <c r="A485" s="90">
        <v>43088</v>
      </c>
      <c r="B485">
        <v>7.62</v>
      </c>
      <c r="C485" s="93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D485*(1-VLOOKUP(A485,FX!A:K,9,0))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(+B485/(D485*(1-VLOOKUP(A485,FX!A:K,9,0)))-1)</f>
        <v>-9.808048147749826E-3</v>
      </c>
      <c r="I485" s="93">
        <f t="shared" si="511"/>
        <v>-1.0389610389610393E-2</v>
      </c>
      <c r="J485">
        <v>1780.64</v>
      </c>
      <c r="K485">
        <v>1798.5</v>
      </c>
      <c r="L485" s="93">
        <f t="shared" ref="L485" si="922">+K485/J485-1</f>
        <v>1.0030101536526059E-2</v>
      </c>
      <c r="M485" s="92">
        <f t="shared" ref="M485" si="923">WEEKDAY(A485,2)</f>
        <v>2</v>
      </c>
    </row>
    <row r="486" spans="1:13" x14ac:dyDescent="0.15">
      <c r="A486" s="90">
        <v>43089</v>
      </c>
      <c r="B486">
        <v>7.59</v>
      </c>
      <c r="C486" s="93">
        <f t="shared" ref="C486" si="924">B486/B485-1</f>
        <v>-3.937007874015741E-3</v>
      </c>
      <c r="D486" s="38">
        <f t="shared" ref="D486" si="925">+F485*(1+L486)</f>
        <v>7.6311131498470948</v>
      </c>
      <c r="E486" s="38">
        <f>D486*(1-VLOOKUP(A486,FX!A:K,9,0))</f>
        <v>7.6526267803791796</v>
      </c>
      <c r="F486">
        <v>7.6589999999999998</v>
      </c>
      <c r="G486" s="42">
        <f t="shared" ref="G486" si="926">+B486/D486-1</f>
        <v>-5.3875691579698959E-3</v>
      </c>
      <c r="H486" s="42">
        <f>(+B486/(D486*(1-VLOOKUP(A486,FX!A:K,9,0)))-1)</f>
        <v>-8.1836972031290589E-3</v>
      </c>
      <c r="I486" s="93">
        <f t="shared" si="511"/>
        <v>-9.009009009009028E-3</v>
      </c>
      <c r="J486">
        <v>1798.5</v>
      </c>
      <c r="K486">
        <v>1782.41</v>
      </c>
      <c r="L486" s="93">
        <f t="shared" ref="L486" si="927">+K486/J486-1</f>
        <v>-8.946344175701948E-3</v>
      </c>
      <c r="M486" s="92">
        <f t="shared" ref="M486" si="928">WEEKDAY(A486,2)</f>
        <v>3</v>
      </c>
    </row>
    <row r="487" spans="1:13" x14ac:dyDescent="0.15">
      <c r="A487" s="90">
        <v>43090</v>
      </c>
      <c r="B487">
        <v>7.64</v>
      </c>
      <c r="C487" s="93">
        <f t="shared" ref="C487" si="929">B487/B486-1</f>
        <v>6.5876152832673451E-3</v>
      </c>
      <c r="D487" s="38">
        <f t="shared" ref="D487" si="930">+F486*(1+L487)</f>
        <v>7.6904969451472995</v>
      </c>
      <c r="E487" s="38">
        <f>D487*(1-VLOOKUP(A487,FX!A:K,9,0))</f>
        <v>7.7220121023309707</v>
      </c>
      <c r="F487">
        <v>7.7210000000000001</v>
      </c>
      <c r="G487" s="42">
        <f t="shared" ref="G487" si="931">+B487/D487-1</f>
        <v>-6.5661485216716997E-3</v>
      </c>
      <c r="H487" s="42">
        <f>(+B487/(D487*(1-VLOOKUP(A487,FX!A:K,9,0)))-1)</f>
        <v>-1.0620561227327574E-2</v>
      </c>
      <c r="I487" s="93">
        <f t="shared" si="511"/>
        <v>-1.0490869058412122E-2</v>
      </c>
      <c r="J487">
        <v>1782.41</v>
      </c>
      <c r="K487">
        <v>1789.74</v>
      </c>
      <c r="L487" s="93">
        <f t="shared" ref="L487" si="932">+K487/J487-1</f>
        <v>4.1124096027287393E-3</v>
      </c>
      <c r="M487" s="92">
        <f t="shared" ref="M487" si="933">WEEKDAY(A487,2)</f>
        <v>4</v>
      </c>
    </row>
    <row r="488" spans="1:13" x14ac:dyDescent="0.15">
      <c r="A488" s="90">
        <v>43091</v>
      </c>
      <c r="B488">
        <v>7.61</v>
      </c>
      <c r="C488" s="93">
        <f t="shared" ref="C488" si="934">B488/B487-1</f>
        <v>-3.9267015706805353E-3</v>
      </c>
      <c r="D488" s="38">
        <f t="shared" ref="D488" si="935">+F487*(1+L488)</f>
        <v>7.6761340418161295</v>
      </c>
      <c r="E488" s="38">
        <f>D488*(1-VLOOKUP(A488,FX!A:K,9,0))</f>
        <v>7.6787704854054377</v>
      </c>
      <c r="F488">
        <v>7.6669999999999998</v>
      </c>
      <c r="G488" s="42">
        <f t="shared" ref="G488" si="936">+B488/D488-1</f>
        <v>-8.6155402518847124E-3</v>
      </c>
      <c r="H488" s="42">
        <f>(+B488/(D488*(1-VLOOKUP(A488,FX!A:K,9,0)))-1)</f>
        <v>-8.9559240683316776E-3</v>
      </c>
      <c r="I488" s="93">
        <f t="shared" si="511"/>
        <v>-7.434459371331581E-3</v>
      </c>
      <c r="J488">
        <v>1789.74</v>
      </c>
      <c r="K488">
        <v>1779.34</v>
      </c>
      <c r="L488" s="93">
        <f t="shared" ref="L488" si="937">+K488/J488-1</f>
        <v>-5.8108999072491452E-3</v>
      </c>
      <c r="M488" s="92">
        <f t="shared" ref="M488" si="938">WEEKDAY(A488,2)</f>
        <v>5</v>
      </c>
    </row>
    <row r="489" spans="1:13" x14ac:dyDescent="0.15">
      <c r="A489" s="90">
        <v>43094</v>
      </c>
      <c r="B489">
        <v>7.61</v>
      </c>
      <c r="C489" s="93">
        <f t="shared" ref="C489" si="939">B489/B488-1</f>
        <v>0</v>
      </c>
      <c r="D489" s="38">
        <f t="shared" ref="D489" si="940">+F488*(1+L489)</f>
        <v>7.5656115582182153</v>
      </c>
      <c r="E489" s="38">
        <f>D489*(1-VLOOKUP(A489,FX!A:K,9,0))</f>
        <v>7.5656115582182153</v>
      </c>
      <c r="F489">
        <v>7.57</v>
      </c>
      <c r="G489" s="42">
        <f t="shared" ref="G489" si="941">+B489/D489-1</f>
        <v>5.8671320144063621E-3</v>
      </c>
      <c r="H489" s="42">
        <f>(+B489/(D489*(1-VLOOKUP(A489,FX!A:K,9,0)))-1)</f>
        <v>5.8671320144063621E-3</v>
      </c>
      <c r="I489" s="93">
        <f t="shared" si="511"/>
        <v>5.2840158520475189E-3</v>
      </c>
      <c r="J489">
        <v>1779.34</v>
      </c>
      <c r="K489">
        <v>1755.81</v>
      </c>
      <c r="L489" s="93">
        <f t="shared" ref="L489" si="942">+K489/J489-1</f>
        <v>-1.3224004406128143E-2</v>
      </c>
      <c r="M489" s="92">
        <f t="shared" ref="M489" si="943">WEEKDAY(A489,2)</f>
        <v>1</v>
      </c>
    </row>
    <row r="490" spans="1:13" x14ac:dyDescent="0.15">
      <c r="A490" s="90">
        <v>43095</v>
      </c>
      <c r="B490">
        <v>7.61</v>
      </c>
      <c r="C490" s="93">
        <f t="shared" ref="C490" si="944">B490/B489-1</f>
        <v>0</v>
      </c>
      <c r="D490" s="38">
        <f t="shared" ref="D490" si="945">+F489*(1+L490)</f>
        <v>7.582977315313161</v>
      </c>
      <c r="E490" s="38">
        <f>D490*(1-VLOOKUP(A490,FX!A:K,9,0))</f>
        <v>7.6015577735948963</v>
      </c>
      <c r="F490">
        <v>7.6</v>
      </c>
      <c r="G490" s="42">
        <f t="shared" ref="G490" si="946">+B490/D490-1</f>
        <v>3.5635982494988117E-3</v>
      </c>
      <c r="H490" s="42">
        <f>(+B490/(D490*(1-VLOOKUP(A490,FX!A:K,9,0)))-1)</f>
        <v>1.1105916256308745E-3</v>
      </c>
      <c r="I490" s="93">
        <f t="shared" si="511"/>
        <v>1.3157894736843812E-3</v>
      </c>
      <c r="J490">
        <v>1755.81</v>
      </c>
      <c r="K490">
        <v>1758.82</v>
      </c>
      <c r="L490" s="93">
        <f t="shared" ref="L490" si="947">+K490/J490-1</f>
        <v>1.7143084957940147E-3</v>
      </c>
      <c r="M490" s="92">
        <f t="shared" ref="M490" si="948">WEEKDAY(A490,2)</f>
        <v>2</v>
      </c>
    </row>
    <row r="491" spans="1:13" x14ac:dyDescent="0.15">
      <c r="A491" s="90">
        <v>43096</v>
      </c>
      <c r="B491">
        <v>7.47</v>
      </c>
      <c r="C491" s="93">
        <f t="shared" ref="C491" si="949">B491/B490-1</f>
        <v>-1.8396846254927768E-2</v>
      </c>
      <c r="D491" s="38">
        <f t="shared" ref="D491" si="950">+F490*(1+L491)</f>
        <v>7.541319748467723</v>
      </c>
      <c r="E491" s="38">
        <f>D491*(1-VLOOKUP(A491,FX!A:K,9,0))</f>
        <v>7.5383548670368894</v>
      </c>
      <c r="F491">
        <v>7.5270000000000001</v>
      </c>
      <c r="G491" s="42">
        <f t="shared" ref="G491" si="951">+B491/D491-1</f>
        <v>-9.4571972607598864E-3</v>
      </c>
      <c r="H491" s="42">
        <f>(+B491/(D491*(1-VLOOKUP(A491,FX!A:K,9,0)))-1)</f>
        <v>-9.0676106713662996E-3</v>
      </c>
      <c r="I491" s="93">
        <f t="shared" si="511"/>
        <v>-7.5727381426863305E-3</v>
      </c>
      <c r="J491">
        <v>1758.82</v>
      </c>
      <c r="K491">
        <v>1745.24</v>
      </c>
      <c r="L491" s="93">
        <f t="shared" ref="L491" si="952">+K491/J491-1</f>
        <v>-7.7210857279311762E-3</v>
      </c>
      <c r="M491" s="92">
        <f t="shared" ref="M491" si="953">WEEKDAY(A491,2)</f>
        <v>3</v>
      </c>
    </row>
    <row r="492" spans="1:13" x14ac:dyDescent="0.15">
      <c r="A492" s="90">
        <v>43097</v>
      </c>
      <c r="B492">
        <v>7.47</v>
      </c>
      <c r="C492" s="93">
        <f t="shared" ref="C492" si="954">B492/B491-1</f>
        <v>0</v>
      </c>
      <c r="D492" s="38">
        <f t="shared" ref="D492" si="955">+F491*(1+L492)</f>
        <v>7.5260511677477027</v>
      </c>
      <c r="E492" s="38">
        <f>D492*(1-VLOOKUP(A492,FX!A:K,9,0))</f>
        <v>7.536190880455977</v>
      </c>
      <c r="F492">
        <v>7.5430000000000001</v>
      </c>
      <c r="G492" s="42">
        <f t="shared" ref="G492" si="956">+B492/D492-1</f>
        <v>-7.4476198073042399E-3</v>
      </c>
      <c r="H492" s="42">
        <f>(+B492/(D492*(1-VLOOKUP(A492,FX!A:K,9,0)))-1)</f>
        <v>-8.783068463357746E-3</v>
      </c>
      <c r="I492" s="93">
        <f t="shared" si="511"/>
        <v>-9.6778470104733616E-3</v>
      </c>
      <c r="J492">
        <v>1745.24</v>
      </c>
      <c r="K492">
        <v>1745.02</v>
      </c>
      <c r="L492" s="93">
        <f t="shared" ref="L492" si="957">+K492/J492-1</f>
        <v>-1.2605716119273858E-4</v>
      </c>
      <c r="M492" s="92">
        <f t="shared" ref="M492" si="958">WEEKDAY(A492,2)</f>
        <v>4</v>
      </c>
    </row>
    <row r="493" spans="1:13" x14ac:dyDescent="0.15">
      <c r="A493" s="90">
        <v>43098</v>
      </c>
      <c r="B493">
        <v>7.52</v>
      </c>
      <c r="C493" s="93">
        <f t="shared" ref="C493" si="959">B493/B492-1</f>
        <v>6.6934404283802706E-3</v>
      </c>
      <c r="D493" s="38">
        <f t="shared" ref="D493" si="960">+F492*(1+L493)</f>
        <v>7.5759813354574748</v>
      </c>
      <c r="E493" s="38">
        <f>D493*(1-VLOOKUP(A493,FX!A:K,9,0))</f>
        <v>7.6055630959219824</v>
      </c>
      <c r="F493">
        <v>7.6070000000000002</v>
      </c>
      <c r="G493" s="42">
        <f t="shared" ref="G493" si="961">+B493/D493-1</f>
        <v>-7.3893180274176018E-3</v>
      </c>
      <c r="H493" s="42">
        <f>(+B493/(D493*(1-VLOOKUP(A493,FX!A:K,9,0)))-1)</f>
        <v>-1.1250067199871205E-2</v>
      </c>
      <c r="I493" s="93">
        <f t="shared" si="511"/>
        <v>-1.1436834494544579E-2</v>
      </c>
      <c r="J493">
        <v>1745.02</v>
      </c>
      <c r="K493">
        <v>1752.65</v>
      </c>
      <c r="L493" s="93">
        <f t="shared" ref="L493" si="962">+K493/J493-1</f>
        <v>4.3724427227196383E-3</v>
      </c>
      <c r="M493" s="92">
        <f t="shared" ref="M493" si="963">WEEKDAY(A493,2)</f>
        <v>5</v>
      </c>
    </row>
    <row r="494" spans="1:13" x14ac:dyDescent="0.15">
      <c r="A494" s="90">
        <v>43102</v>
      </c>
      <c r="B494">
        <v>7.58</v>
      </c>
      <c r="C494" s="93">
        <f t="shared" ref="C494" si="964">B494/B493-1</f>
        <v>7.9787234042554278E-3</v>
      </c>
      <c r="D494" s="38">
        <f t="shared" ref="D494" si="965">+F493*(1+L494)</f>
        <v>7.6808716457935127</v>
      </c>
      <c r="E494" s="38">
        <f>D494*(1-VLOOKUP(A494,FX!A:K,9,0))</f>
        <v>7.7057403477974695</v>
      </c>
      <c r="F494">
        <v>7.6989999999999998</v>
      </c>
      <c r="G494" s="42">
        <f t="shared" ref="G494" si="966">+B494/D494-1</f>
        <v>-1.3132838360702892E-2</v>
      </c>
      <c r="H494" s="42">
        <f>(+B494/(D494*(1-VLOOKUP(A494,FX!A:K,9,0)))-1)</f>
        <v>-1.6317750420102084E-2</v>
      </c>
      <c r="I494" s="93">
        <f t="shared" si="511"/>
        <v>-1.5456552799064771E-2</v>
      </c>
      <c r="J494">
        <v>1752.65</v>
      </c>
      <c r="K494">
        <v>1769.67</v>
      </c>
      <c r="L494" s="93">
        <f t="shared" ref="L494" si="967">+K494/J494-1</f>
        <v>9.7110090434484597E-3</v>
      </c>
      <c r="M494" s="92">
        <f t="shared" ref="M494" si="968">WEEKDAY(A494,2)</f>
        <v>2</v>
      </c>
    </row>
    <row r="495" spans="1:13" x14ac:dyDescent="0.15">
      <c r="A495" s="90">
        <v>43103</v>
      </c>
      <c r="B495">
        <v>7.7</v>
      </c>
      <c r="C495" s="93">
        <f t="shared" ref="C495" si="969">B495/B494-1</f>
        <v>1.5831134564643801E-2</v>
      </c>
      <c r="D495" s="38">
        <f t="shared" ref="D495" si="970">+F494*(1+L495)</f>
        <v>7.8108520910678259</v>
      </c>
      <c r="E495" s="38">
        <f>D495*(1-VLOOKUP(A495,FX!A:K,9,0))</f>
        <v>7.8019647080466283</v>
      </c>
      <c r="F495">
        <v>7.7939999999999996</v>
      </c>
      <c r="G495" s="42">
        <f t="shared" ref="G495" si="971">+B495/D495-1</f>
        <v>-1.4192061221411589E-2</v>
      </c>
      <c r="H495" s="42">
        <f>(+B495/(D495*(1-VLOOKUP(A495,FX!A:K,9,0)))-1)</f>
        <v>-1.3069106547158094E-2</v>
      </c>
      <c r="I495" s="93">
        <f t="shared" si="511"/>
        <v>-1.2060559404670212E-2</v>
      </c>
      <c r="J495">
        <v>1769.67</v>
      </c>
      <c r="K495">
        <v>1795.38</v>
      </c>
      <c r="L495" s="93">
        <f t="shared" ref="L495" si="972">+K495/J495-1</f>
        <v>1.4528132363661017E-2</v>
      </c>
      <c r="M495" s="92">
        <f t="shared" ref="M495" si="973">WEEKDAY(A495,2)</f>
        <v>3</v>
      </c>
    </row>
    <row r="496" spans="1:13" x14ac:dyDescent="0.15">
      <c r="A496" s="90">
        <v>43104</v>
      </c>
      <c r="B496">
        <v>7.76</v>
      </c>
      <c r="C496" s="93">
        <f t="shared" ref="C496" si="974">B496/B495-1</f>
        <v>7.7922077922076838E-3</v>
      </c>
      <c r="D496" s="38">
        <f t="shared" ref="D496" si="975">+F495*(1+L496)</f>
        <v>7.7906573204558356</v>
      </c>
      <c r="E496" s="38">
        <f>D496*(1-VLOOKUP(A496,FX!A:K,9,0))</f>
        <v>7.7901361988413491</v>
      </c>
      <c r="F496">
        <v>7.8</v>
      </c>
      <c r="G496" s="42">
        <f t="shared" ref="G496" si="976">+B496/D496-1</f>
        <v>-3.9351391281631232E-3</v>
      </c>
      <c r="H496" s="42">
        <f>(+B496/(D496*(1-VLOOKUP(A496,FX!A:K,9,0)))-1)</f>
        <v>-3.8685073113139401E-3</v>
      </c>
      <c r="I496" s="93">
        <f t="shared" si="511"/>
        <v>-5.12820512820511E-3</v>
      </c>
      <c r="J496">
        <v>1795.38</v>
      </c>
      <c r="K496">
        <v>1794.61</v>
      </c>
      <c r="L496" s="93">
        <f t="shared" ref="L496" si="977">+K496/J496-1</f>
        <v>-4.2887856609752362E-4</v>
      </c>
      <c r="M496" s="92">
        <f t="shared" ref="M496" si="978">WEEKDAY(A496,2)</f>
        <v>4</v>
      </c>
    </row>
    <row r="497" spans="1:13" x14ac:dyDescent="0.15">
      <c r="A497" s="90">
        <v>43105</v>
      </c>
      <c r="B497">
        <v>7.79</v>
      </c>
      <c r="C497" s="93">
        <f t="shared" ref="C497" si="979">B497/B496-1</f>
        <v>3.8659793814432852E-3</v>
      </c>
      <c r="D497" s="38">
        <f t="shared" ref="D497" si="980">+F496*(1+L497)</f>
        <v>7.8295986314575314</v>
      </c>
      <c r="E497" s="38">
        <f>D497*(1-VLOOKUP(A497,FX!A:K,9,0))</f>
        <v>7.8541128347884106</v>
      </c>
      <c r="F497">
        <v>7.85</v>
      </c>
      <c r="G497" s="42">
        <f t="shared" ref="G497" si="981">+B497/D497-1</f>
        <v>-5.0575557345217126E-3</v>
      </c>
      <c r="H497" s="42">
        <f>(+B497/(D497*(1-VLOOKUP(A497,FX!A:K,9,0)))-1)</f>
        <v>-8.1629632954131059E-3</v>
      </c>
      <c r="I497" s="93">
        <f t="shared" si="511"/>
        <v>-7.6433121019108263E-3</v>
      </c>
      <c r="J497">
        <v>1794.61</v>
      </c>
      <c r="K497">
        <v>1801.42</v>
      </c>
      <c r="L497" s="93">
        <f t="shared" ref="L497" si="982">+K497/J497-1</f>
        <v>3.7946963407091694E-3</v>
      </c>
      <c r="M497" s="92">
        <f t="shared" ref="M497" si="983">WEEKDAY(A497,2)</f>
        <v>5</v>
      </c>
    </row>
    <row r="498" spans="1:13" x14ac:dyDescent="0.15">
      <c r="A498" s="90">
        <v>43108</v>
      </c>
      <c r="B498">
        <v>7.83</v>
      </c>
      <c r="C498" s="93">
        <f t="shared" ref="C498" si="984">B498/B497-1</f>
        <v>5.1347881899872494E-3</v>
      </c>
      <c r="D498" s="38">
        <f t="shared" ref="D498" si="985">+F497*(1+L498)</f>
        <v>7.8706553718732994</v>
      </c>
      <c r="E498" s="38">
        <f>D498*(1-VLOOKUP(A498,FX!A:K,9,0))</f>
        <v>7.86402952054969</v>
      </c>
      <c r="F498">
        <v>7.8680000000000003</v>
      </c>
      <c r="G498" s="42">
        <f t="shared" ref="G498" si="986">+B498/D498-1</f>
        <v>-5.1654366698085097E-3</v>
      </c>
      <c r="H498" s="42">
        <f>(+B498/(D498*(1-VLOOKUP(A498,FX!A:K,9,0)))-1)</f>
        <v>-4.3272371321555481E-3</v>
      </c>
      <c r="I498" s="93">
        <f t="shared" si="511"/>
        <v>-4.8296898830707535E-3</v>
      </c>
      <c r="J498">
        <v>1801.42</v>
      </c>
      <c r="K498">
        <v>1806.16</v>
      </c>
      <c r="L498" s="93">
        <f t="shared" ref="L498" si="987">+K498/J498-1</f>
        <v>2.6312575634777069E-3</v>
      </c>
      <c r="M498" s="92">
        <f t="shared" ref="M498" si="988">WEEKDAY(A498,2)</f>
        <v>1</v>
      </c>
    </row>
    <row r="499" spans="1:13" x14ac:dyDescent="0.15">
      <c r="A499" s="90">
        <v>43109</v>
      </c>
      <c r="B499">
        <v>7.79</v>
      </c>
      <c r="C499" s="93">
        <f t="shared" ref="C499" si="989">B499/B498-1</f>
        <v>-5.1085568326947328E-3</v>
      </c>
      <c r="D499" s="38">
        <f t="shared" ref="D499" si="990">+F498*(1+L499)</f>
        <v>7.8568045577357486</v>
      </c>
      <c r="E499" s="38">
        <f>D499*(1-VLOOKUP(A499,FX!A:K,9,0))</f>
        <v>7.8397617484853939</v>
      </c>
      <c r="F499">
        <v>7.835</v>
      </c>
      <c r="G499" s="42">
        <f t="shared" ref="G499" si="991">+B499/D499-1</f>
        <v>-8.5027643547495035E-3</v>
      </c>
      <c r="H499" s="42">
        <f>(+B499/(D499*(1-VLOOKUP(A499,FX!A:K,9,0)))-1)</f>
        <v>-6.3473546877884646E-3</v>
      </c>
      <c r="I499" s="93">
        <f t="shared" si="511"/>
        <v>-5.7434588385449903E-3</v>
      </c>
      <c r="J499">
        <v>1806.16</v>
      </c>
      <c r="K499">
        <v>1803.59</v>
      </c>
      <c r="L499" s="93">
        <f t="shared" ref="L499" si="992">+K499/J499-1</f>
        <v>-1.422908269477885E-3</v>
      </c>
      <c r="M499" s="92">
        <f t="shared" ref="M499" si="993">WEEKDAY(A499,2)</f>
        <v>2</v>
      </c>
    </row>
    <row r="500" spans="1:13" x14ac:dyDescent="0.15">
      <c r="A500" s="90">
        <v>43110</v>
      </c>
      <c r="B500">
        <v>7.72</v>
      </c>
      <c r="C500" s="93">
        <f t="shared" ref="C500" si="994">B500/B499-1</f>
        <v>-8.9858793324775199E-3</v>
      </c>
      <c r="D500" s="38">
        <f t="shared" ref="D500" si="995">+F499*(1+L500)</f>
        <v>7.7806551378084814</v>
      </c>
      <c r="E500" s="38">
        <f>D500*(1-VLOOKUP(A500,FX!A:K,9,0))</f>
        <v>7.744192207848533</v>
      </c>
      <c r="F500">
        <v>7.75</v>
      </c>
      <c r="G500" s="42">
        <f t="shared" ref="G500" si="996">+B500/D500-1</f>
        <v>-7.7956337524510699E-3</v>
      </c>
      <c r="H500" s="42">
        <f>(+B500/(D500*(1-VLOOKUP(A500,FX!A:K,9,0)))-1)</f>
        <v>-3.1239162457790126E-3</v>
      </c>
      <c r="I500" s="93">
        <f t="shared" si="511"/>
        <v>-3.870967741935516E-3</v>
      </c>
      <c r="J500">
        <v>1803.59</v>
      </c>
      <c r="K500">
        <v>1791.08</v>
      </c>
      <c r="L500" s="93">
        <f t="shared" ref="L500" si="997">+K500/J500-1</f>
        <v>-6.9361662018530001E-3</v>
      </c>
      <c r="M500" s="92">
        <f t="shared" ref="M500" si="998">WEEKDAY(A500,2)</f>
        <v>3</v>
      </c>
    </row>
    <row r="501" spans="1:13" x14ac:dyDescent="0.15">
      <c r="A501" s="90">
        <v>43111</v>
      </c>
      <c r="B501">
        <v>7.77</v>
      </c>
      <c r="C501" s="93">
        <f t="shared" ref="C501" si="999">B501/B500-1</f>
        <v>6.4766839378238572E-3</v>
      </c>
      <c r="D501" s="38">
        <f t="shared" ref="D501" si="1000">+F500*(1+L501)</f>
        <v>7.8069000267994744</v>
      </c>
      <c r="E501" s="38">
        <f>D501*(1-VLOOKUP(A501,FX!A:K,9,0))</f>
        <v>7.8202592546540997</v>
      </c>
      <c r="F501">
        <v>7.819</v>
      </c>
      <c r="G501" s="42">
        <f t="shared" ref="G501" si="1001">+B501/D501-1</f>
        <v>-4.7265914348595395E-3</v>
      </c>
      <c r="H501" s="42">
        <f>(+B501/(D501*(1-VLOOKUP(A501,FX!A:K,9,0)))-1)</f>
        <v>-6.4268015953804492E-3</v>
      </c>
      <c r="I501" s="93">
        <f t="shared" si="511"/>
        <v>-6.2667860340197556E-3</v>
      </c>
      <c r="J501">
        <v>1791.08</v>
      </c>
      <c r="K501">
        <v>1804.23</v>
      </c>
      <c r="L501" s="93">
        <f t="shared" ref="L501" si="1002">+K501/J501-1</f>
        <v>7.3419389418676317E-3</v>
      </c>
      <c r="M501" s="92">
        <f t="shared" ref="M501" si="1003">WEEKDAY(A501,2)</f>
        <v>4</v>
      </c>
    </row>
    <row r="502" spans="1:13" x14ac:dyDescent="0.15">
      <c r="A502" s="90">
        <v>43112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02"/>
  <sheetViews>
    <sheetView zoomScale="115" zoomScaleNormal="115" workbookViewId="0">
      <pane xSplit="1" ySplit="2" topLeftCell="B475" activePane="bottomRight" state="frozen"/>
      <selection pane="topRight" activeCell="B1" sqref="B1"/>
      <selection pane="bottomLeft" activeCell="A3" sqref="A3"/>
      <selection pane="bottomRight" activeCell="D496" sqref="D496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64" bestFit="1" customWidth="1" collapsed="1"/>
  </cols>
  <sheetData>
    <row r="1" spans="1:15" x14ac:dyDescent="0.15">
      <c r="H1" t="s">
        <v>140</v>
      </c>
      <c r="J1" t="s">
        <v>218</v>
      </c>
    </row>
    <row r="2" spans="1:1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39</v>
      </c>
      <c r="M57">
        <f t="shared" si="5"/>
        <v>4</v>
      </c>
      <c r="N57" s="50"/>
    </row>
    <row r="58" spans="1:14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1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1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2">
        <v>3724.6747999999998</v>
      </c>
      <c r="K399" s="92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15">
      <c r="A400" s="1">
        <v>42969</v>
      </c>
      <c r="B400">
        <v>45</v>
      </c>
      <c r="C400" s="93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3">
        <f t="shared" ref="G400" si="526">+B400/D400-1</f>
        <v>-1.859652033039505E-3</v>
      </c>
      <c r="H400" s="42">
        <f t="shared" ref="H400" si="527">(+B400/(E400)-1)</f>
        <v>-4.7844775048171417E-3</v>
      </c>
      <c r="I400" s="93">
        <f t="shared" si="344"/>
        <v>-5.0631232174047636E-3</v>
      </c>
      <c r="J400" s="92">
        <v>3740.9940999999999</v>
      </c>
      <c r="K400" s="92">
        <v>3752.3</v>
      </c>
      <c r="L400" s="93">
        <f t="shared" ref="L400" si="528">+K400/J400-1</f>
        <v>3.0221646166188609E-3</v>
      </c>
      <c r="M400" s="92">
        <f t="shared" ref="M400" si="529">WEEKDAY(A400,2)</f>
        <v>2</v>
      </c>
      <c r="N400" s="50" t="s">
        <v>416</v>
      </c>
    </row>
    <row r="401" spans="1:14" x14ac:dyDescent="0.15">
      <c r="A401" s="1">
        <v>42970</v>
      </c>
      <c r="B401" s="92">
        <v>45</v>
      </c>
      <c r="C401" s="93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3">
        <f t="shared" ref="G401" si="532">+B401/D401-1</f>
        <v>-6.0670423894708669E-3</v>
      </c>
      <c r="H401" s="42">
        <f t="shared" ref="H401" si="533">(+B401/(E401)-1)</f>
        <v>-5.8365378502877041E-3</v>
      </c>
      <c r="I401" s="93">
        <f t="shared" si="344"/>
        <v>-7.2799470549305134E-3</v>
      </c>
      <c r="J401" s="92">
        <v>3752.3</v>
      </c>
      <c r="K401" s="92">
        <v>3756.09</v>
      </c>
      <c r="L401" s="93">
        <f t="shared" ref="L401" si="534">+K401/J401-1</f>
        <v>1.0100471710683401E-3</v>
      </c>
      <c r="M401" s="92">
        <f t="shared" ref="M401" si="535">WEEKDAY(A401,2)</f>
        <v>3</v>
      </c>
      <c r="N401" s="50" t="s">
        <v>418</v>
      </c>
    </row>
    <row r="402" spans="1:14" x14ac:dyDescent="0.15">
      <c r="A402" s="1">
        <v>42971</v>
      </c>
      <c r="B402">
        <v>44.95</v>
      </c>
      <c r="C402" s="93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3">
        <f t="shared" ref="G402" si="538">+B402/D402-1</f>
        <v>-2.6891405051537864E-3</v>
      </c>
      <c r="H402" s="42">
        <f t="shared" ref="H402" si="539">(+B402/(E402)-1)</f>
        <v>-3.8796345704306123E-3</v>
      </c>
      <c r="I402" s="93">
        <f t="shared" si="344"/>
        <v>-2.0203814302522938E-3</v>
      </c>
      <c r="J402" s="92">
        <v>3756.09</v>
      </c>
      <c r="K402" s="92">
        <v>3734.6457999999998</v>
      </c>
      <c r="L402" s="93">
        <f t="shared" ref="L402" si="540">+K402/J402-1</f>
        <v>-5.7091816223786562E-3</v>
      </c>
      <c r="M402" s="92">
        <f t="shared" ref="M402" si="541">WEEKDAY(A402,2)</f>
        <v>4</v>
      </c>
      <c r="N402" s="50"/>
    </row>
    <row r="403" spans="1:14" x14ac:dyDescent="0.15">
      <c r="A403" s="1">
        <v>42972</v>
      </c>
      <c r="B403">
        <v>45.8</v>
      </c>
      <c r="C403" s="93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3">
        <f t="shared" ref="G403" si="544">+B403/D403-1</f>
        <v>4.8082306006547171E-4</v>
      </c>
      <c r="H403" s="42">
        <f t="shared" ref="H403" si="545">(+B403/(E403)-1)</f>
        <v>9.7394182444032751E-4</v>
      </c>
      <c r="I403" s="93">
        <f t="shared" si="344"/>
        <v>1.5307238136890167E-3</v>
      </c>
      <c r="J403">
        <v>3734.6457999999998</v>
      </c>
      <c r="K403">
        <v>3795.7543999999998</v>
      </c>
      <c r="L403" s="93">
        <f t="shared" ref="L403" si="546">+K403/J403-1</f>
        <v>1.6362622661565407E-2</v>
      </c>
      <c r="M403" s="92">
        <f t="shared" ref="M403" si="547">WEEKDAY(A403,2)</f>
        <v>5</v>
      </c>
      <c r="N403" s="50"/>
    </row>
    <row r="404" spans="1:14" x14ac:dyDescent="0.15">
      <c r="A404" s="90">
        <v>42975</v>
      </c>
      <c r="B404">
        <v>46.45</v>
      </c>
      <c r="C404" s="93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3">
        <f t="shared" ref="G404" si="550">+B404/D404-1</f>
        <v>3.332305086476639E-3</v>
      </c>
      <c r="H404" s="42">
        <f t="shared" ref="H404" si="551">(+B404/(E404)-1)</f>
        <v>-6.55966105801431E-4</v>
      </c>
      <c r="I404" s="93">
        <f t="shared" si="344"/>
        <v>-5.1641778198552313E-4</v>
      </c>
      <c r="J404">
        <v>3795.7543999999998</v>
      </c>
      <c r="K404">
        <v>3842.7118999999998</v>
      </c>
      <c r="L404" s="93">
        <f t="shared" ref="L404" si="552">+K404/J404-1</f>
        <v>1.2371058570069815E-2</v>
      </c>
      <c r="M404" s="92">
        <f t="shared" ref="M404" si="553">WEEKDAY(A404,2)</f>
        <v>1</v>
      </c>
      <c r="N404" s="50"/>
    </row>
    <row r="405" spans="1:14" x14ac:dyDescent="0.15">
      <c r="A405" s="90">
        <v>42976</v>
      </c>
      <c r="B405">
        <v>46.35</v>
      </c>
      <c r="C405" s="93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3">
        <f t="shared" ref="G405" si="556">+B405/D405-1</f>
        <v>-5.4209002246852211E-4</v>
      </c>
      <c r="H405" s="42">
        <f t="shared" ref="H405" si="557">(+B405/(E405)-1)</f>
        <v>-3.9911453001537645E-3</v>
      </c>
      <c r="I405" s="93">
        <f t="shared" si="344"/>
        <v>-5.1299663010581087E-3</v>
      </c>
      <c r="J405">
        <v>3842.7118999999998</v>
      </c>
      <c r="K405">
        <v>3834.5376000000001</v>
      </c>
      <c r="L405" s="93">
        <f t="shared" ref="L405" si="558">+K405/J405-1</f>
        <v>-2.1272216634298236E-3</v>
      </c>
      <c r="M405" s="92">
        <f t="shared" ref="M405" si="559">WEEKDAY(A405,2)</f>
        <v>2</v>
      </c>
      <c r="N405" s="50"/>
    </row>
    <row r="406" spans="1:14" x14ac:dyDescent="0.15">
      <c r="A406" s="90">
        <v>42977</v>
      </c>
      <c r="B406">
        <v>46.5</v>
      </c>
      <c r="C406" s="93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3">
        <f t="shared" ref="G406" si="562">+B406/D406-1</f>
        <v>-1.8486037345536444E-3</v>
      </c>
      <c r="H406" s="42">
        <f t="shared" ref="H406" si="563">(+B406/(E406)-1)</f>
        <v>-5.1071781073828149E-3</v>
      </c>
      <c r="I406" s="93">
        <f t="shared" si="344"/>
        <v>-5.7304139582621261E-3</v>
      </c>
      <c r="J406">
        <v>3834.5376000000001</v>
      </c>
      <c r="K406">
        <v>3834.3004999999998</v>
      </c>
      <c r="L406" s="93">
        <f t="shared" ref="L406" si="564">+K406/J406-1</f>
        <v>-6.1832748751822209E-5</v>
      </c>
      <c r="M406" s="92">
        <f t="shared" ref="M406" si="565">WEEKDAY(A406,2)</f>
        <v>3</v>
      </c>
      <c r="N406" s="50" t="s">
        <v>430</v>
      </c>
    </row>
    <row r="407" spans="1:14" x14ac:dyDescent="0.15">
      <c r="A407" s="90">
        <v>42978</v>
      </c>
      <c r="B407">
        <v>46.3</v>
      </c>
      <c r="C407" s="93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3">
        <f t="shared" ref="G407" si="568">+B407/D407-1</f>
        <v>-6.8448208212099626E-3</v>
      </c>
      <c r="H407" s="42">
        <f t="shared" ref="H407" si="569">(+B407/(E407)-1)</f>
        <v>-4.2933091674152157E-3</v>
      </c>
      <c r="I407" s="93">
        <f t="shared" si="344"/>
        <v>-4.5151580305310413E-3</v>
      </c>
      <c r="J407">
        <v>3834.3004999999998</v>
      </c>
      <c r="K407">
        <v>3822.0927999999999</v>
      </c>
      <c r="L407" s="93">
        <f t="shared" ref="L407" si="570">+K407/J407-1</f>
        <v>-3.1838141011639731E-3</v>
      </c>
      <c r="M407" s="92">
        <f t="shared" ref="M407" si="571">WEEKDAY(A407,2)</f>
        <v>4</v>
      </c>
    </row>
    <row r="408" spans="1:14" x14ac:dyDescent="0.15">
      <c r="A408" s="90">
        <v>42979</v>
      </c>
      <c r="B408">
        <v>46.65</v>
      </c>
      <c r="C408" s="93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3">
        <f t="shared" ref="G408" si="574">+B408/D408-1</f>
        <v>7.9868722356080113E-4</v>
      </c>
      <c r="H408" s="42">
        <f t="shared" ref="H408" si="575">(+B408/(E408)-1)</f>
        <v>-2.4874669902986701E-3</v>
      </c>
      <c r="I408" s="93">
        <f t="shared" si="344"/>
        <v>-2.0536516493390167E-3</v>
      </c>
      <c r="J408">
        <v>3822.0927999999999</v>
      </c>
      <c r="K408">
        <v>3830.5383000000002</v>
      </c>
      <c r="L408" s="93">
        <f t="shared" ref="L408" si="576">+K408/J408-1</f>
        <v>2.2096533082609504E-3</v>
      </c>
      <c r="M408" s="92">
        <f t="shared" ref="M408" si="577">WEEKDAY(A408,2)</f>
        <v>5</v>
      </c>
    </row>
    <row r="409" spans="1:14" x14ac:dyDescent="0.15">
      <c r="A409" s="90">
        <v>42982</v>
      </c>
      <c r="B409">
        <v>47.1</v>
      </c>
      <c r="C409" s="93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3">
        <f t="shared" ref="G409" si="580">+B409/D409-1</f>
        <v>3.6223206694043775E-3</v>
      </c>
      <c r="H409" s="42">
        <f t="shared" ref="H409" si="581">(+B409/(E409)-1)</f>
        <v>-1.6003413764436036E-3</v>
      </c>
      <c r="I409" s="93">
        <f t="shared" si="344"/>
        <v>-1.6533129848657069E-3</v>
      </c>
      <c r="J409">
        <v>3830.5383000000002</v>
      </c>
      <c r="K409">
        <v>3845.6163000000001</v>
      </c>
      <c r="L409" s="93">
        <f t="shared" ref="L409" si="582">+K409/J409-1</f>
        <v>3.9362613865523421E-3</v>
      </c>
      <c r="M409" s="92">
        <f t="shared" ref="M409" si="583">WEEKDAY(A409,2)</f>
        <v>1</v>
      </c>
    </row>
    <row r="410" spans="1:14" x14ac:dyDescent="0.15">
      <c r="A410" s="90">
        <v>42983</v>
      </c>
      <c r="B410">
        <v>47.3</v>
      </c>
      <c r="C410" s="93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3">
        <f t="shared" ref="G410" si="586">+B410/D410-1</f>
        <v>-3.8514558186497627E-4</v>
      </c>
      <c r="H410" s="42">
        <f t="shared" ref="H410" si="587">(+B410/(E410)-1)</f>
        <v>-1.402646107252381E-3</v>
      </c>
      <c r="I410" s="93">
        <f t="shared" si="344"/>
        <v>-1.1192532680084355E-3</v>
      </c>
      <c r="J410">
        <v>3845.6163000000001</v>
      </c>
      <c r="K410">
        <v>3857.0464000000002</v>
      </c>
      <c r="L410" s="93">
        <f t="shared" ref="L410" si="588">+K410/J410-1</f>
        <v>2.9722414064035085E-3</v>
      </c>
      <c r="M410" s="92">
        <f t="shared" ref="M410" si="589">WEEKDAY(A410,2)</f>
        <v>2</v>
      </c>
    </row>
    <row r="411" spans="1:14" x14ac:dyDescent="0.15">
      <c r="A411" s="90">
        <v>42984</v>
      </c>
      <c r="B411">
        <v>47.2</v>
      </c>
      <c r="C411" s="93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3">
        <f t="shared" ref="G411" si="592">+B411/D411-1</f>
        <v>-1.2640291924699287E-3</v>
      </c>
      <c r="H411" s="42">
        <f t="shared" ref="H411" si="593">(+B411/(E411)-1)</f>
        <v>-1.4761870091313245E-3</v>
      </c>
      <c r="I411" s="93">
        <f t="shared" si="344"/>
        <v>-1.607581013622128E-3</v>
      </c>
      <c r="J411">
        <v>3857.0464000000002</v>
      </c>
      <c r="K411">
        <v>3849.4499000000001</v>
      </c>
      <c r="L411" s="93">
        <f t="shared" ref="L411" si="594">+K411/J411-1</f>
        <v>-1.9695122153573497E-3</v>
      </c>
      <c r="M411" s="92">
        <f t="shared" ref="M411" si="595">WEEKDAY(A411,2)</f>
        <v>3</v>
      </c>
    </row>
    <row r="412" spans="1:14" x14ac:dyDescent="0.15">
      <c r="A412" s="90">
        <v>42985</v>
      </c>
      <c r="B412">
        <v>47</v>
      </c>
      <c r="C412" s="93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3">
        <f t="shared" ref="G412" si="598">+B412/D412-1</f>
        <v>-7.5582418158326448E-4</v>
      </c>
      <c r="H412" s="42">
        <f t="shared" ref="H412" si="599">(+B412/(E412)-1)</f>
        <v>-1.8833046750125204E-3</v>
      </c>
      <c r="I412" s="93">
        <f t="shared" si="344"/>
        <v>-2.1866972379679384E-3</v>
      </c>
      <c r="J412">
        <v>3849.4499000000001</v>
      </c>
      <c r="K412">
        <v>3829.8712999999998</v>
      </c>
      <c r="L412" s="93">
        <f t="shared" ref="L412" si="600">+K412/J412-1</f>
        <v>-5.0860773639371804E-3</v>
      </c>
      <c r="M412" s="92">
        <f t="shared" ref="M412" si="601">WEEKDAY(A412,2)</f>
        <v>4</v>
      </c>
    </row>
    <row r="413" spans="1:14" x14ac:dyDescent="0.15">
      <c r="A413" s="90">
        <v>42986</v>
      </c>
      <c r="B413">
        <v>47.4</v>
      </c>
      <c r="C413" s="93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3">
        <f t="shared" ref="G413" si="604">+B413/D413-1</f>
        <v>7.3263153854674634E-3</v>
      </c>
      <c r="H413" s="42">
        <f t="shared" ref="H413" si="605">(+B413/(E413)-1)</f>
        <v>-5.1735616438070009E-3</v>
      </c>
      <c r="I413" s="93">
        <f t="shared" si="344"/>
        <v>-1.7479940189120136E-3</v>
      </c>
      <c r="J413">
        <v>3829.8712999999998</v>
      </c>
      <c r="K413">
        <v>3825.9895000000001</v>
      </c>
      <c r="L413" s="93">
        <f t="shared" ref="L413" si="606">+K413/J413-1</f>
        <v>-1.0135588629308634E-3</v>
      </c>
      <c r="M413" s="92">
        <f t="shared" ref="M413" si="607">WEEKDAY(A413,2)</f>
        <v>5</v>
      </c>
    </row>
    <row r="414" spans="1:14" x14ac:dyDescent="0.15">
      <c r="A414" s="90">
        <v>42989</v>
      </c>
      <c r="B414">
        <v>47.15</v>
      </c>
      <c r="C414" s="93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3">
        <f t="shared" ref="G414" si="610">+B414/D414-1</f>
        <v>-6.9236954703485454E-3</v>
      </c>
      <c r="H414" s="42">
        <f t="shared" ref="H414" si="611">(+B414/(E414)-1)</f>
        <v>3.3720873541502883E-3</v>
      </c>
      <c r="I414" s="93">
        <f t="shared" si="344"/>
        <v>1.4017500637157898E-3</v>
      </c>
      <c r="J414">
        <v>3825.9895000000001</v>
      </c>
      <c r="K414">
        <v>3825.6453000000001</v>
      </c>
      <c r="L414" s="93">
        <f t="shared" ref="L414" si="612">+K414/J414-1</f>
        <v>-8.9963655153790789E-5</v>
      </c>
      <c r="M414" s="92">
        <f t="shared" ref="M414" si="613">WEEKDAY(A414,2)</f>
        <v>1</v>
      </c>
    </row>
    <row r="415" spans="1:14" x14ac:dyDescent="0.15">
      <c r="A415" s="90">
        <v>42990</v>
      </c>
      <c r="B415">
        <v>47.15</v>
      </c>
      <c r="C415" s="93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3">
        <f t="shared" ref="G415" si="616">+B415/D415-1</f>
        <v>-1.8046691987156915E-3</v>
      </c>
      <c r="H415" s="42">
        <f t="shared" ref="H415" si="617">(+B415/(E415)-1)</f>
        <v>1.2670927597964177E-3</v>
      </c>
      <c r="I415" s="93">
        <f t="shared" si="344"/>
        <v>1.4868309260833712E-3</v>
      </c>
      <c r="J415">
        <v>3825.6453000000001</v>
      </c>
      <c r="K415">
        <v>3837.9340999999999</v>
      </c>
      <c r="L415" s="93">
        <f t="shared" ref="L415" si="618">+K415/J415-1</f>
        <v>3.2122162501577733E-3</v>
      </c>
      <c r="M415" s="92">
        <f t="shared" ref="M415" si="619">WEEKDAY(A415,2)</f>
        <v>2</v>
      </c>
    </row>
    <row r="416" spans="1:14" x14ac:dyDescent="0.15">
      <c r="A416" s="90">
        <v>42991</v>
      </c>
      <c r="B416">
        <v>47.15</v>
      </c>
      <c r="C416" s="93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3">
        <f t="shared" ref="G416" si="622">+B416/D416-1</f>
        <v>2.6918166609624095E-4</v>
      </c>
      <c r="H416" s="42">
        <f t="shared" ref="H416" si="623">(+B416/(E416)-1)</f>
        <v>-1.3960444988611043E-3</v>
      </c>
      <c r="I416" s="93">
        <f t="shared" si="344"/>
        <v>-7.6293815962369393E-4</v>
      </c>
      <c r="J416">
        <v>3837.9340999999999</v>
      </c>
      <c r="K416">
        <v>3842.6061</v>
      </c>
      <c r="L416" s="93">
        <f t="shared" ref="L416" si="624">+K416/J416-1</f>
        <v>1.2173215793360725E-3</v>
      </c>
      <c r="M416" s="92">
        <f t="shared" ref="M416" si="625">WEEKDAY(A416,2)</f>
        <v>3</v>
      </c>
    </row>
    <row r="417" spans="1:14" x14ac:dyDescent="0.15">
      <c r="A417" s="90">
        <v>42992</v>
      </c>
      <c r="B417">
        <v>46.7</v>
      </c>
      <c r="C417" s="93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3">
        <f t="shared" ref="G417" si="628">+B417/D417-1</f>
        <v>-7.0305926153207965E-3</v>
      </c>
      <c r="H417" s="42">
        <f t="shared" ref="H417" si="629">(+B417/(E417)-1)</f>
        <v>-3.4625919461046539E-3</v>
      </c>
      <c r="I417" s="93">
        <f t="shared" si="344"/>
        <v>-3.6270535523788006E-3</v>
      </c>
      <c r="J417">
        <v>3842.6061</v>
      </c>
      <c r="K417">
        <v>3829.9553999999998</v>
      </c>
      <c r="L417" s="93">
        <f t="shared" ref="L417" si="630">+K417/J417-1</f>
        <v>-3.292218788701784E-3</v>
      </c>
      <c r="M417" s="92">
        <f t="shared" ref="M417" si="631">WEEKDAY(A417,2)</f>
        <v>4</v>
      </c>
    </row>
    <row r="418" spans="1:14" x14ac:dyDescent="0.15">
      <c r="A418" s="90">
        <v>42993</v>
      </c>
      <c r="B418">
        <v>46.75</v>
      </c>
      <c r="C418" s="93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3">
        <f t="shared" ref="G418" si="634">+B418/D418-1</f>
        <v>-2.9094150684296771E-3</v>
      </c>
      <c r="H418" s="42">
        <f t="shared" ref="H418" si="635">(+B418/(E418)-1)</f>
        <v>-3.9141431160820694E-3</v>
      </c>
      <c r="I418" s="93">
        <f t="shared" si="344"/>
        <v>-3.4957581958477979E-3</v>
      </c>
      <c r="J418">
        <v>3829.9553999999998</v>
      </c>
      <c r="K418">
        <v>3831.2964999999999</v>
      </c>
      <c r="L418" s="93">
        <f t="shared" ref="L418" si="636">+K418/J418-1</f>
        <v>3.5016073555316218E-4</v>
      </c>
      <c r="M418" s="92">
        <f t="shared" ref="M418" si="637">WEEKDAY(A418,2)</f>
        <v>5</v>
      </c>
    </row>
    <row r="419" spans="1:14" x14ac:dyDescent="0.15">
      <c r="A419" s="90">
        <v>42996</v>
      </c>
      <c r="B419">
        <v>47.05</v>
      </c>
      <c r="C419" s="93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3">
        <f t="shared" ref="G419" si="640">+B419/D419-1</f>
        <v>-1.9246551774598775E-4</v>
      </c>
      <c r="H419" s="42">
        <f t="shared" ref="H419" si="641">(+B419/(E419)-1)</f>
        <v>5.1201389626576166E-4</v>
      </c>
      <c r="I419" s="93">
        <f t="shared" si="344"/>
        <v>-1.0625863351398923E-4</v>
      </c>
      <c r="J419">
        <v>3831.2964999999999</v>
      </c>
      <c r="K419">
        <v>3843.1428000000001</v>
      </c>
      <c r="L419" s="93">
        <f t="shared" ref="L419" si="642">+K419/J419-1</f>
        <v>3.0919820483745752E-3</v>
      </c>
      <c r="M419" s="92">
        <f t="shared" ref="M419" si="643">WEEKDAY(A419,2)</f>
        <v>1</v>
      </c>
    </row>
    <row r="420" spans="1:14" x14ac:dyDescent="0.15">
      <c r="A420" s="90">
        <v>42997</v>
      </c>
      <c r="B420">
        <v>46.6</v>
      </c>
      <c r="C420" s="93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3">
        <f t="shared" ref="G420" si="646">+B420/D420-1</f>
        <v>-6.8199150625324334E-3</v>
      </c>
      <c r="H420" s="42">
        <f t="shared" ref="H420" si="647">(+B420/(E420)-1)</f>
        <v>-3.3046051550555955E-4</v>
      </c>
      <c r="I420" s="93">
        <f t="shared" si="344"/>
        <v>1.1386340687908891E-3</v>
      </c>
      <c r="J420">
        <v>3843.1428000000001</v>
      </c>
      <c r="K420">
        <v>3832.1161000000002</v>
      </c>
      <c r="L420" s="93">
        <f t="shared" ref="L420" si="648">+K420/J420-1</f>
        <v>-2.8691882071100183E-3</v>
      </c>
      <c r="M420" s="92">
        <f t="shared" ref="M420" si="649">WEEKDAY(A420,2)</f>
        <v>2</v>
      </c>
    </row>
    <row r="421" spans="1:14" x14ac:dyDescent="0.15">
      <c r="A421" s="90">
        <v>42998</v>
      </c>
      <c r="B421">
        <v>46.9</v>
      </c>
      <c r="C421" s="93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3">
        <f t="shared" ref="G421" si="652">+B421/D421-1</f>
        <v>4.8777773004735625E-3</v>
      </c>
      <c r="H421" s="42">
        <f t="shared" ref="H421" si="653">(+B421/(E421)-1)</f>
        <v>7.3854368655368319E-4</v>
      </c>
      <c r="I421" s="93">
        <f t="shared" si="344"/>
        <v>6.6141799483654395E-4</v>
      </c>
      <c r="J421">
        <v>3832.1161000000002</v>
      </c>
      <c r="K421">
        <v>3842.4353000000001</v>
      </c>
      <c r="L421" s="93">
        <f t="shared" ref="L421" si="654">+K421/J421-1</f>
        <v>2.6928202932055001E-3</v>
      </c>
      <c r="M421" s="92">
        <f t="shared" ref="M421" si="655">WEEKDAY(A421,2)</f>
        <v>3</v>
      </c>
    </row>
    <row r="422" spans="1:14" x14ac:dyDescent="0.15">
      <c r="A422" s="90">
        <v>42999</v>
      </c>
      <c r="B422">
        <v>46.7</v>
      </c>
      <c r="C422" s="93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3">
        <f t="shared" ref="G422" si="658">+B422/D422-1</f>
        <v>-2.4069235371050324E-3</v>
      </c>
      <c r="H422" s="42">
        <f t="shared" ref="H422" si="659">(+B422/(E422)-1)</f>
        <v>1.6776920749825841E-3</v>
      </c>
      <c r="I422" s="93">
        <f t="shared" si="344"/>
        <v>1.4797023439343526E-3</v>
      </c>
      <c r="J422">
        <v>3842.4353000000001</v>
      </c>
      <c r="K422">
        <v>3837.8175999999999</v>
      </c>
      <c r="L422" s="93">
        <f t="shared" ref="L422" si="660">+K422/J422-1</f>
        <v>-1.2017638917694029E-3</v>
      </c>
      <c r="M422" s="92">
        <f t="shared" ref="M422" si="661">WEEKDAY(A422,2)</f>
        <v>4</v>
      </c>
    </row>
    <row r="423" spans="1:14" x14ac:dyDescent="0.15">
      <c r="A423" s="90">
        <v>43000</v>
      </c>
      <c r="B423">
        <v>46.55</v>
      </c>
      <c r="C423" s="93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3">
        <f t="shared" ref="G423" si="664">+B423/D423-1</f>
        <v>-1.7143595878216233E-3</v>
      </c>
      <c r="H423" s="42">
        <f t="shared" ref="H423" si="665">(+B423/(E423)-1)</f>
        <v>-3.9320687616708483E-3</v>
      </c>
      <c r="I423" s="93">
        <f t="shared" si="344"/>
        <v>-3.7239962331991894E-3</v>
      </c>
      <c r="J423">
        <v>3837.8175999999999</v>
      </c>
      <c r="K423">
        <v>3837.7303999999999</v>
      </c>
      <c r="L423" s="93">
        <f t="shared" ref="L423" si="666">+K423/J423-1</f>
        <v>-2.2721246575096998E-5</v>
      </c>
      <c r="M423" s="92">
        <f t="shared" ref="M423" si="667">WEEKDAY(A423,2)</f>
        <v>5</v>
      </c>
      <c r="N423" t="s">
        <v>450</v>
      </c>
    </row>
    <row r="424" spans="1:14" x14ac:dyDescent="0.15">
      <c r="A424" s="90">
        <v>43003</v>
      </c>
      <c r="B424">
        <v>46.05</v>
      </c>
      <c r="C424" s="93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3">
        <f t="shared" ref="G424" si="670">+B424/D424-1</f>
        <v>-9.2778451829730324E-3</v>
      </c>
      <c r="H424" s="42">
        <f t="shared" ref="H424" si="671">(+B424/(E424)-1)</f>
        <v>-6.0543551546569097E-3</v>
      </c>
      <c r="I424" s="93">
        <f t="shared" si="344"/>
        <v>-6.6867989646247628E-3</v>
      </c>
      <c r="J424">
        <v>3837.7303999999999</v>
      </c>
      <c r="K424">
        <v>3817.7914999999998</v>
      </c>
      <c r="L424" s="93">
        <f t="shared" ref="L424" si="672">+K424/J424-1</f>
        <v>-5.1954926276217561E-3</v>
      </c>
      <c r="M424" s="92">
        <f t="shared" ref="M424" si="673">WEEKDAY(A424,2)</f>
        <v>1</v>
      </c>
    </row>
    <row r="425" spans="1:14" x14ac:dyDescent="0.15">
      <c r="A425" s="90">
        <v>43004</v>
      </c>
      <c r="B425">
        <v>46.05</v>
      </c>
      <c r="C425" s="93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3">
        <f t="shared" ref="G425" si="676">+B425/D425-1</f>
        <v>-7.4641545199424231E-3</v>
      </c>
      <c r="H425" s="42">
        <f t="shared" ref="H425" si="677">(+B425/(E425)-1)</f>
        <v>-5.088452460245807E-3</v>
      </c>
      <c r="I425" s="93">
        <f t="shared" si="344"/>
        <v>-4.7547006699806271E-3</v>
      </c>
      <c r="J425">
        <v>3817.7914999999998</v>
      </c>
      <c r="K425">
        <v>3820.7815999999998</v>
      </c>
      <c r="L425" s="93">
        <f t="shared" ref="L425" si="678">+K425/J425-1</f>
        <v>7.8320149227639746E-4</v>
      </c>
      <c r="M425" s="92">
        <f t="shared" ref="M425" si="679">WEEKDAY(A425,2)</f>
        <v>2</v>
      </c>
    </row>
    <row r="426" spans="1:14" x14ac:dyDescent="0.15">
      <c r="A426" s="90">
        <v>43005</v>
      </c>
      <c r="B426">
        <v>46</v>
      </c>
      <c r="C426" s="93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3">
        <f t="shared" ref="G426" si="682">+B426/D426-1</f>
        <v>-5.9441699240240231E-3</v>
      </c>
      <c r="H426" s="42">
        <f t="shared" ref="H426" si="683">(+B426/(E426)-1)</f>
        <v>-3.3799213800436156E-3</v>
      </c>
      <c r="I426" s="93">
        <f t="shared" si="344"/>
        <v>-2.6667822995034562E-3</v>
      </c>
      <c r="J426">
        <v>3820.7815999999998</v>
      </c>
      <c r="K426">
        <v>3821.2</v>
      </c>
      <c r="L426" s="93">
        <f t="shared" ref="L426" si="684">+K426/J426-1</f>
        <v>1.095063900014015E-4</v>
      </c>
      <c r="M426" s="92">
        <f t="shared" ref="M426" si="685">WEEKDAY(A426,2)</f>
        <v>3</v>
      </c>
    </row>
    <row r="427" spans="1:14" x14ac:dyDescent="0.15">
      <c r="A427" s="90">
        <v>43006</v>
      </c>
      <c r="B427">
        <v>45.75</v>
      </c>
      <c r="C427" s="93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3">
        <f t="shared" ref="G427" si="688">+B427/D427-1</f>
        <v>-8.4344256760868763E-3</v>
      </c>
      <c r="H427" s="42">
        <f t="shared" ref="H427" si="689">(+B427/(E427)-1)</f>
        <v>-2.4652636433390995E-3</v>
      </c>
      <c r="I427" s="93">
        <f t="shared" si="344"/>
        <v>-3.0942212150266712E-3</v>
      </c>
      <c r="J427">
        <v>3821.2</v>
      </c>
      <c r="K427">
        <v>3822.5385999999999</v>
      </c>
      <c r="L427" s="93">
        <f t="shared" ref="L427" si="690">+K427/J427-1</f>
        <v>3.5030880351727411E-4</v>
      </c>
      <c r="M427" s="92">
        <f t="shared" ref="M427" si="691">WEEKDAY(A427,2)</f>
        <v>4</v>
      </c>
    </row>
    <row r="428" spans="1:14" x14ac:dyDescent="0.15">
      <c r="A428" s="90">
        <v>43007</v>
      </c>
      <c r="B428">
        <v>46.05</v>
      </c>
      <c r="C428" s="93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3">
        <f t="shared" ref="G428" si="694">+B428/D428-1</f>
        <v>-2.0909998374130101E-4</v>
      </c>
      <c r="H428" s="42">
        <f t="shared" ref="H428" si="695">(+B428/(E428)-1)</f>
        <v>-3.757944607829522E-6</v>
      </c>
      <c r="I428" s="93">
        <f t="shared" si="344"/>
        <v>-2.1715055047777376E-5</v>
      </c>
      <c r="J428">
        <v>3822.5385999999999</v>
      </c>
      <c r="K428">
        <v>3836.5012999999999</v>
      </c>
      <c r="L428" s="93">
        <f t="shared" ref="L428" si="696">+K428/J428-1</f>
        <v>3.652729628420337E-3</v>
      </c>
      <c r="M428" s="92">
        <f t="shared" ref="M428" si="697">WEEKDAY(A428,2)</f>
        <v>5</v>
      </c>
    </row>
    <row r="429" spans="1:14" x14ac:dyDescent="0.15">
      <c r="A429" s="90">
        <v>43010</v>
      </c>
      <c r="B429">
        <v>46.05</v>
      </c>
      <c r="C429" s="93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3">
        <f t="shared" ref="G429" si="700">+B429/D429-1</f>
        <v>-2.1715055047777376E-5</v>
      </c>
      <c r="H429" s="42">
        <f t="shared" ref="H429" si="701">(+B429/(E429)-1)</f>
        <v>-6.8390621836167398E-4</v>
      </c>
      <c r="I429" s="93">
        <f t="shared" si="344"/>
        <v>-6.5104166666674068E-4</v>
      </c>
      <c r="J429">
        <v>3836.5012999999999</v>
      </c>
      <c r="K429">
        <v>3836.5012999999999</v>
      </c>
      <c r="L429" s="93">
        <f t="shared" ref="L429" si="702">+K429/J429-1</f>
        <v>0</v>
      </c>
      <c r="M429" s="92">
        <f t="shared" ref="M429" si="703">WEEKDAY(A429,2)</f>
        <v>1</v>
      </c>
    </row>
    <row r="430" spans="1:14" x14ac:dyDescent="0.15">
      <c r="A430" s="90">
        <v>43011</v>
      </c>
      <c r="B430">
        <v>47.05</v>
      </c>
      <c r="C430" s="93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3">
        <f t="shared" ref="G430" si="706">+B430/D430-1</f>
        <v>2.1050347222222099E-2</v>
      </c>
      <c r="H430" s="42">
        <f t="shared" ref="H430" si="707">(+B430/(E430)-1)</f>
        <v>2.2917895905367525E-2</v>
      </c>
      <c r="I430" s="93">
        <f t="shared" si="344"/>
        <v>2.1693339992616689E-2</v>
      </c>
      <c r="J430">
        <v>3836.5012999999999</v>
      </c>
      <c r="K430">
        <v>3836.5012999999999</v>
      </c>
      <c r="L430" s="93">
        <f t="shared" ref="L430" si="708">+K430/J430-1</f>
        <v>0</v>
      </c>
      <c r="M430" s="92">
        <f t="shared" ref="M430" si="709">WEEKDAY(A430,2)</f>
        <v>2</v>
      </c>
      <c r="N430" t="s">
        <v>461</v>
      </c>
    </row>
    <row r="431" spans="1:14" x14ac:dyDescent="0.15">
      <c r="A431" s="90">
        <v>43012</v>
      </c>
      <c r="B431">
        <v>47.45</v>
      </c>
      <c r="C431" s="93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2">
        <v>46.051000000000002</v>
      </c>
      <c r="G431" s="93">
        <f t="shared" ref="G431" si="712">+B431/D431-1</f>
        <v>3.0379362011682787E-2</v>
      </c>
      <c r="H431" s="42">
        <f t="shared" ref="H431" si="713">(+B431/(E431)-1)</f>
        <v>2.4614479135087297E-2</v>
      </c>
      <c r="I431" s="93">
        <f t="shared" si="344"/>
        <v>3.0379362011682787E-2</v>
      </c>
      <c r="J431">
        <v>3836.5012999999999</v>
      </c>
      <c r="K431">
        <v>3836.5012999999999</v>
      </c>
      <c r="L431" s="93">
        <f t="shared" ref="L431" si="714">+K431/J431-1</f>
        <v>0</v>
      </c>
      <c r="M431" s="92">
        <f t="shared" ref="M431" si="715">WEEKDAY(A431,2)</f>
        <v>3</v>
      </c>
    </row>
    <row r="432" spans="1:14" x14ac:dyDescent="0.15">
      <c r="A432" s="90">
        <v>43013</v>
      </c>
      <c r="B432">
        <v>47.45</v>
      </c>
      <c r="C432" s="93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2">
        <v>46.051000000000002</v>
      </c>
      <c r="G432" s="93">
        <f t="shared" ref="G432" si="718">+B432/D432-1</f>
        <v>3.0379362011682787E-2</v>
      </c>
      <c r="H432" s="42">
        <f t="shared" ref="H432" si="719">(+B432/(E432)-1)</f>
        <v>3.1690906353009307E-2</v>
      </c>
      <c r="I432" s="93">
        <f t="shared" si="344"/>
        <v>3.0379362011682787E-2</v>
      </c>
      <c r="J432">
        <v>3836.5012999999999</v>
      </c>
      <c r="K432">
        <v>3836.5012999999999</v>
      </c>
      <c r="L432" s="93">
        <f t="shared" ref="L432" si="720">+K432/J432-1</f>
        <v>0</v>
      </c>
      <c r="M432" s="92">
        <f t="shared" ref="M432" si="721">WEEKDAY(A432,2)</f>
        <v>4</v>
      </c>
    </row>
    <row r="433" spans="1:14" x14ac:dyDescent="0.15">
      <c r="A433" s="90">
        <v>43014</v>
      </c>
      <c r="B433">
        <v>47.35</v>
      </c>
      <c r="C433" s="93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2">
        <v>46.051000000000002</v>
      </c>
      <c r="G433" s="93">
        <f t="shared" ref="G433" si="724">+B433/D433-1</f>
        <v>2.8207856506916151E-2</v>
      </c>
      <c r="H433" s="42">
        <f t="shared" ref="H433" si="725">(+B433/(E433)-1)</f>
        <v>2.8979550417469913E-2</v>
      </c>
      <c r="I433" s="93">
        <f t="shared" ref="I433:I501" si="726">+B433/F433-1</f>
        <v>2.8207856506916151E-2</v>
      </c>
      <c r="J433">
        <v>3836.5012999999999</v>
      </c>
      <c r="K433">
        <v>3836.5012999999999</v>
      </c>
      <c r="L433" s="93">
        <f t="shared" ref="L433" si="727">+K433/J433-1</f>
        <v>0</v>
      </c>
      <c r="M433" s="92">
        <f t="shared" ref="M433" si="728">WEEKDAY(A433,2)</f>
        <v>5</v>
      </c>
      <c r="N433" t="s">
        <v>474</v>
      </c>
    </row>
    <row r="434" spans="1:14" x14ac:dyDescent="0.15">
      <c r="A434" s="90">
        <v>43017</v>
      </c>
      <c r="B434">
        <v>47.1</v>
      </c>
      <c r="C434" s="93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3">
        <f t="shared" ref="G434" si="731">+B434/D434-1</f>
        <v>1.0737632611149683E-2</v>
      </c>
      <c r="H434" s="42">
        <f t="shared" ref="H434" si="732">(+B434/(E434)-1)</f>
        <v>6.1916268584163436E-3</v>
      </c>
      <c r="I434" s="93">
        <f t="shared" si="726"/>
        <v>4.8000000000001375E-3</v>
      </c>
      <c r="J434">
        <v>3836.5012999999999</v>
      </c>
      <c r="K434">
        <v>3882.2076000000002</v>
      </c>
      <c r="L434" s="93">
        <f t="shared" ref="L434" si="733">+K434/J434-1</f>
        <v>1.1913536950971526E-2</v>
      </c>
      <c r="M434" s="92">
        <f t="shared" ref="M434" si="734">WEEKDAY(A434,2)</f>
        <v>1</v>
      </c>
    </row>
    <row r="435" spans="1:14" x14ac:dyDescent="0.15">
      <c r="A435" s="90">
        <v>43018</v>
      </c>
      <c r="B435">
        <v>47.25</v>
      </c>
      <c r="C435" s="93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3">
        <f t="shared" ref="G435" si="737">+B435/D435-1</f>
        <v>6.0160361917054317E-3</v>
      </c>
      <c r="H435" s="42">
        <f t="shared" ref="H435" si="738">(+B435/(E435)-1)</f>
        <v>-4.0835933114846679E-4</v>
      </c>
      <c r="I435" s="93">
        <f t="shared" si="726"/>
        <v>-5.9224163458693191E-4</v>
      </c>
      <c r="J435">
        <v>3882.2076000000002</v>
      </c>
      <c r="K435">
        <v>3889.8636999999999</v>
      </c>
      <c r="L435" s="93">
        <f t="shared" ref="L435" si="739">+K435/J435-1</f>
        <v>1.9720995858127921E-3</v>
      </c>
      <c r="M435" s="92">
        <f t="shared" ref="M435" si="740">WEEKDAY(A435,2)</f>
        <v>2</v>
      </c>
      <c r="N435" t="s">
        <v>481</v>
      </c>
    </row>
    <row r="436" spans="1:14" x14ac:dyDescent="0.15">
      <c r="A436" s="90">
        <v>43019</v>
      </c>
      <c r="B436">
        <v>47.5</v>
      </c>
      <c r="C436" s="93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3">
        <f t="shared" ref="G436" si="743">+B436/D436-1</f>
        <v>1.3944908634468955E-3</v>
      </c>
      <c r="H436" s="42">
        <f t="shared" ref="H436" si="744">(+B436/(E436)-1)</f>
        <v>9.5626204552612393E-5</v>
      </c>
      <c r="I436" s="93">
        <f t="shared" si="726"/>
        <v>1.263317471680292E-4</v>
      </c>
      <c r="J436">
        <v>3889.8636999999999</v>
      </c>
      <c r="K436">
        <v>3902.6867999999999</v>
      </c>
      <c r="L436" s="93">
        <f t="shared" ref="L436" si="745">+K436/J436-1</f>
        <v>3.2965422413129275E-3</v>
      </c>
      <c r="M436" s="92">
        <f t="shared" ref="M436" si="746">WEEKDAY(A436,2)</f>
        <v>3</v>
      </c>
    </row>
    <row r="437" spans="1:14" x14ac:dyDescent="0.15">
      <c r="A437" s="90">
        <v>43020</v>
      </c>
      <c r="B437">
        <v>47.75</v>
      </c>
      <c r="C437" s="93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3">
        <f t="shared" ref="G437" si="749">+B437/D437-1</f>
        <v>2.7522138253823769E-3</v>
      </c>
      <c r="H437" s="42">
        <f t="shared" ref="H437" si="750">(+B437/(E437)-1)</f>
        <v>3.0275243454083167E-3</v>
      </c>
      <c r="I437" s="93">
        <f t="shared" si="726"/>
        <v>2.9194933943836876E-3</v>
      </c>
      <c r="J437">
        <v>3902.6867999999999</v>
      </c>
      <c r="K437">
        <v>3912.9535999999998</v>
      </c>
      <c r="L437" s="93">
        <f t="shared" ref="L437" si="751">+K437/J437-1</f>
        <v>2.63070047025038E-3</v>
      </c>
      <c r="M437" s="92">
        <f t="shared" ref="M437" si="752">WEEKDAY(A437,2)</f>
        <v>4</v>
      </c>
      <c r="N437" t="s">
        <v>489</v>
      </c>
    </row>
    <row r="438" spans="1:14" x14ac:dyDescent="0.15">
      <c r="A438" s="90">
        <v>43021</v>
      </c>
      <c r="B438">
        <v>47.9</v>
      </c>
      <c r="C438" s="93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3">
        <f t="shared" ref="G438" si="755">+B438/D438-1</f>
        <v>4.0054397961426513E-3</v>
      </c>
      <c r="H438" s="42">
        <f t="shared" ref="H438" si="756">(+B438/(E438)-1)</f>
        <v>2.9984262004199014E-3</v>
      </c>
      <c r="I438" s="93">
        <f t="shared" si="726"/>
        <v>2.5324933548209749E-3</v>
      </c>
      <c r="J438">
        <v>3912.9535999999998</v>
      </c>
      <c r="K438">
        <v>3921</v>
      </c>
      <c r="L438" s="93">
        <f t="shared" ref="L438" si="757">+K438/J438-1</f>
        <v>2.0563494542844563E-3</v>
      </c>
      <c r="M438" s="92">
        <f t="shared" ref="M438" si="758">WEEKDAY(A438,2)</f>
        <v>5</v>
      </c>
    </row>
    <row r="439" spans="1:14" x14ac:dyDescent="0.15">
      <c r="A439" s="90">
        <v>43024</v>
      </c>
      <c r="B439">
        <v>47.85</v>
      </c>
      <c r="C439" s="93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3">
        <f t="shared" ref="G439" si="761">+B439/D439-1</f>
        <v>3.4181193878877192E-3</v>
      </c>
      <c r="H439" s="42">
        <f t="shared" ref="H439" si="762">(+B439/(E439)-1)</f>
        <v>3.8878381282658747E-3</v>
      </c>
      <c r="I439" s="93">
        <f t="shared" si="726"/>
        <v>3.7549034003903081E-3</v>
      </c>
      <c r="J439">
        <v>3921</v>
      </c>
      <c r="K439">
        <v>3913.45</v>
      </c>
      <c r="L439" s="93">
        <f t="shared" ref="L439" si="763">+K439/J439-1</f>
        <v>-1.9255292017342773E-3</v>
      </c>
      <c r="M439" s="92">
        <f t="shared" ref="M439" si="764">WEEKDAY(A439,2)</f>
        <v>1</v>
      </c>
    </row>
    <row r="440" spans="1:14" x14ac:dyDescent="0.15">
      <c r="A440" s="90">
        <v>43025</v>
      </c>
      <c r="B440">
        <v>47.5</v>
      </c>
      <c r="C440" s="93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3">
        <f t="shared" ref="G440" si="767">+B440/D440-1</f>
        <v>-3.4903243793165117E-3</v>
      </c>
      <c r="H440" s="42">
        <f t="shared" ref="H440" si="768">(+B440/(E440)-1)</f>
        <v>1.1958950959514159E-3</v>
      </c>
      <c r="I440" s="93">
        <f t="shared" si="726"/>
        <v>1.9194667679132138E-3</v>
      </c>
      <c r="J440">
        <v>3913.45</v>
      </c>
      <c r="K440">
        <v>3913.07</v>
      </c>
      <c r="L440" s="93">
        <f t="shared" ref="L440" si="769">+K440/J440-1</f>
        <v>-9.7101023393553199E-5</v>
      </c>
      <c r="M440" s="92">
        <f t="shared" ref="M440" si="770">WEEKDAY(A440,2)</f>
        <v>2</v>
      </c>
    </row>
    <row r="441" spans="1:14" x14ac:dyDescent="0.15">
      <c r="A441" s="90">
        <v>43026</v>
      </c>
      <c r="B441">
        <v>47.65</v>
      </c>
      <c r="C441" s="93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3">
        <f t="shared" ref="G441" si="773">+B441/D441-1</f>
        <v>-2.8391875695981117E-3</v>
      </c>
      <c r="H441" s="42">
        <f t="shared" ref="H441" si="774">(+B441/(E441)-1)</f>
        <v>-1.7242834074814306E-3</v>
      </c>
      <c r="I441" s="93">
        <f t="shared" si="726"/>
        <v>-1.7388389583725683E-3</v>
      </c>
      <c r="J441">
        <v>3913.07</v>
      </c>
      <c r="K441">
        <v>3944.16</v>
      </c>
      <c r="L441" s="93">
        <f t="shared" ref="L441" si="775">+K441/J441-1</f>
        <v>7.9451683716365018E-3</v>
      </c>
      <c r="M441" s="92">
        <f t="shared" ref="M441" si="776">WEEKDAY(A441,2)</f>
        <v>3</v>
      </c>
    </row>
    <row r="442" spans="1:14" x14ac:dyDescent="0.15">
      <c r="A442" s="90">
        <v>43027</v>
      </c>
      <c r="B442">
        <v>47.15</v>
      </c>
      <c r="C442" s="93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3">
        <f t="shared" ref="G442" si="779">+B442/D442-1</f>
        <v>-8.9699390059111428E-3</v>
      </c>
      <c r="H442" s="42">
        <f t="shared" ref="H442" si="780">(+B442/(E442)-1)</f>
        <v>-6.3839493761665977E-3</v>
      </c>
      <c r="I442" s="93">
        <f t="shared" si="726"/>
        <v>-4.9593753297456633E-3</v>
      </c>
      <c r="J442">
        <v>3944.16</v>
      </c>
      <c r="K442">
        <v>3931.25</v>
      </c>
      <c r="L442" s="93">
        <f t="shared" ref="L442" si="781">+K442/J442-1</f>
        <v>-3.2731937852419346E-3</v>
      </c>
      <c r="M442" s="92">
        <f t="shared" ref="M442" si="782">WEEKDAY(A442,2)</f>
        <v>4</v>
      </c>
    </row>
    <row r="443" spans="1:14" x14ac:dyDescent="0.15">
      <c r="A443" s="90">
        <v>43028</v>
      </c>
      <c r="B443">
        <v>47.35</v>
      </c>
      <c r="C443" s="93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3">
        <f t="shared" ref="G443" si="785">+B443/D443-1</f>
        <v>3.8103298185010459E-4</v>
      </c>
      <c r="H443" s="42">
        <f t="shared" ref="H443" si="786">(+B443/(E443)-1)</f>
        <v>-5.2930567173781196E-4</v>
      </c>
      <c r="I443" s="93">
        <f t="shared" si="726"/>
        <v>-4.4330919761037535E-4</v>
      </c>
      <c r="J443">
        <v>3931.25</v>
      </c>
      <c r="K443">
        <v>3926.85</v>
      </c>
      <c r="L443" s="93">
        <f t="shared" ref="L443" si="787">+K443/J443-1</f>
        <v>-1.1192368839427758E-3</v>
      </c>
      <c r="M443" s="92">
        <f t="shared" ref="M443" si="788">WEEKDAY(A443,2)</f>
        <v>5</v>
      </c>
      <c r="N443" t="s">
        <v>515</v>
      </c>
    </row>
    <row r="444" spans="1:14" x14ac:dyDescent="0.15">
      <c r="A444" s="90">
        <v>43031</v>
      </c>
      <c r="B444">
        <v>47.3</v>
      </c>
      <c r="C444" s="93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3">
        <f t="shared" ref="G444" si="791">+B444/D444-1</f>
        <v>-2.5021856608273829E-3</v>
      </c>
      <c r="H444" s="42">
        <f t="shared" ref="H444" si="792">(+B444/(E444)-1)</f>
        <v>-1.3606315164909066E-3</v>
      </c>
      <c r="I444" s="93">
        <f t="shared" si="726"/>
        <v>-1.6884761502744539E-3</v>
      </c>
      <c r="J444">
        <v>3926.85</v>
      </c>
      <c r="K444">
        <v>3930.8</v>
      </c>
      <c r="L444" s="93">
        <f t="shared" ref="L444" si="793">+K444/J444-1</f>
        <v>1.0058953104905566E-3</v>
      </c>
      <c r="M444" s="92">
        <f t="shared" ref="M444" si="794">WEEKDAY(A444,2)</f>
        <v>1</v>
      </c>
    </row>
    <row r="445" spans="1:14" x14ac:dyDescent="0.15">
      <c r="A445" s="90">
        <v>43032</v>
      </c>
      <c r="B445">
        <v>47.5</v>
      </c>
      <c r="C445" s="93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3">
        <f t="shared" ref="G445" si="797">+B445/D445-1</f>
        <v>-4.708897035599402E-3</v>
      </c>
      <c r="H445" s="42">
        <f t="shared" ref="H445" si="798">(+B445/(E445)-1)</f>
        <v>-4.4206457627194995E-3</v>
      </c>
      <c r="I445" s="93">
        <f t="shared" si="726"/>
        <v>-4.7562176545770107E-3</v>
      </c>
      <c r="J445">
        <v>3930.8</v>
      </c>
      <c r="K445">
        <v>3959.4</v>
      </c>
      <c r="L445" s="93">
        <f t="shared" ref="L445" si="799">+K445/J445-1</f>
        <v>7.2758725959092274E-3</v>
      </c>
      <c r="M445" s="92">
        <f t="shared" ref="M445" si="800">WEEKDAY(A445,2)</f>
        <v>2</v>
      </c>
    </row>
    <row r="446" spans="1:14" x14ac:dyDescent="0.15">
      <c r="A446" s="90">
        <v>43033</v>
      </c>
      <c r="B446">
        <v>47.8</v>
      </c>
      <c r="C446" s="93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3">
        <f t="shared" ref="G446" si="803">+B446/D446-1</f>
        <v>-2.8901466758894934E-3</v>
      </c>
      <c r="H446" s="42">
        <f t="shared" ref="H446" si="804">(+B446/(E446)-1)</f>
        <v>-1.9147154575305247E-3</v>
      </c>
      <c r="I446" s="93">
        <f t="shared" si="726"/>
        <v>-1.8793067446231104E-3</v>
      </c>
      <c r="J446">
        <v>3959.4</v>
      </c>
      <c r="K446">
        <v>3976.95</v>
      </c>
      <c r="L446" s="93">
        <f t="shared" ref="L446" si="805">+K446/J446-1</f>
        <v>4.4324897711773836E-3</v>
      </c>
      <c r="M446" s="92">
        <f t="shared" ref="M446" si="806">WEEKDAY(A446,2)</f>
        <v>3</v>
      </c>
    </row>
    <row r="447" spans="1:14" x14ac:dyDescent="0.15">
      <c r="A447" s="90">
        <v>43034</v>
      </c>
      <c r="B447">
        <v>48.1</v>
      </c>
      <c r="C447" s="93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3">
        <f t="shared" ref="G447" si="809">+B447/D447-1</f>
        <v>2.0260540719552189E-4</v>
      </c>
      <c r="H447" s="42">
        <f t="shared" ref="H447" si="810">(+B447/(E447)-1)</f>
        <v>-8.1909323748652341E-4</v>
      </c>
      <c r="I447" s="93">
        <f t="shared" si="726"/>
        <v>-6.8560031579167902E-4</v>
      </c>
      <c r="J447">
        <v>3976.95</v>
      </c>
      <c r="K447">
        <v>3993.58</v>
      </c>
      <c r="L447" s="93">
        <f t="shared" ref="L447" si="811">+K447/J447-1</f>
        <v>4.1815964495404145E-3</v>
      </c>
      <c r="M447" s="92">
        <f t="shared" ref="M447" si="812">WEEKDAY(A447,2)</f>
        <v>4</v>
      </c>
    </row>
    <row r="448" spans="1:14" x14ac:dyDescent="0.15">
      <c r="A448" s="90">
        <v>43035</v>
      </c>
      <c r="B448">
        <v>48.45</v>
      </c>
      <c r="C448" s="93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3">
        <f t="shared" ref="G448" si="815">+B448/D448-1</f>
        <v>-5.1929995863508882E-4</v>
      </c>
      <c r="H448" s="42">
        <f t="shared" ref="H448" si="816">(+B448/(E448)-1)</f>
        <v>2.6739426732247384E-3</v>
      </c>
      <c r="I448" s="93">
        <f t="shared" si="726"/>
        <v>2.5244164873365893E-3</v>
      </c>
      <c r="J448">
        <v>3993.58</v>
      </c>
      <c r="K448">
        <v>4021.97</v>
      </c>
      <c r="L448" s="93">
        <f t="shared" ref="L448" si="817">+K448/J448-1</f>
        <v>7.1089098002292683E-3</v>
      </c>
      <c r="M448" s="92">
        <f t="shared" ref="M448" si="818">WEEKDAY(A448,2)</f>
        <v>5</v>
      </c>
    </row>
    <row r="449" spans="1:13" x14ac:dyDescent="0.15">
      <c r="A449" s="90">
        <v>43038</v>
      </c>
      <c r="B449">
        <v>48.1</v>
      </c>
      <c r="C449" s="93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3">
        <f t="shared" ref="G449" si="821">+B449/D449-1</f>
        <v>-1.6770989171368544E-3</v>
      </c>
      <c r="H449" s="42">
        <f t="shared" ref="H449" si="822">(+B449/(E449)-1)</f>
        <v>-2.7209078323870983E-3</v>
      </c>
      <c r="I449" s="93">
        <f t="shared" si="726"/>
        <v>-2.2816842978634622E-3</v>
      </c>
      <c r="J449">
        <v>4021.97</v>
      </c>
      <c r="K449">
        <v>4009.72</v>
      </c>
      <c r="L449" s="93">
        <f t="shared" ref="L449" si="823">+K449/J449-1</f>
        <v>-3.0457711022210399E-3</v>
      </c>
      <c r="M449" s="92">
        <f t="shared" ref="M449" si="824">WEEKDAY(A449,2)</f>
        <v>1</v>
      </c>
    </row>
    <row r="450" spans="1:13" x14ac:dyDescent="0.15">
      <c r="A450" s="90">
        <v>43039</v>
      </c>
      <c r="B450">
        <v>48.25</v>
      </c>
      <c r="C450" s="93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3">
        <f t="shared" ref="G450" si="827">+B450/D450-1</f>
        <v>1.5790667281541104E-3</v>
      </c>
      <c r="H450" s="42">
        <f t="shared" ref="H450" si="828">(+B450/(E450)-1)</f>
        <v>-1.4401341470892115E-3</v>
      </c>
      <c r="I450" s="93">
        <f t="shared" si="726"/>
        <v>-7.455577185934148E-4</v>
      </c>
      <c r="J450">
        <v>4009.72</v>
      </c>
      <c r="K450">
        <v>4006.72</v>
      </c>
      <c r="L450" s="93">
        <f t="shared" ref="L450" si="829">+K450/J450-1</f>
        <v>-7.4818191793946109E-4</v>
      </c>
      <c r="M450" s="92">
        <f t="shared" ref="M450" si="830">WEEKDAY(A450,2)</f>
        <v>2</v>
      </c>
    </row>
    <row r="451" spans="1:13" x14ac:dyDescent="0.15">
      <c r="A451" s="90">
        <v>43040</v>
      </c>
      <c r="B451">
        <v>48.3</v>
      </c>
      <c r="C451" s="93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3">
        <f t="shared" ref="G451" si="833">+B451/D451-1</f>
        <v>2.8178072576283686E-3</v>
      </c>
      <c r="H451" s="42">
        <f t="shared" ref="H451" si="834">(+B451/(E451)-1)</f>
        <v>3.2620924136588236E-3</v>
      </c>
      <c r="I451" s="93">
        <f t="shared" si="726"/>
        <v>2.9278016570111198E-3</v>
      </c>
      <c r="J451">
        <v>4006.72</v>
      </c>
      <c r="K451">
        <v>3996.62</v>
      </c>
      <c r="L451" s="93">
        <f t="shared" ref="L451" si="835">+K451/J451-1</f>
        <v>-2.520765114607415E-3</v>
      </c>
      <c r="M451" s="92">
        <f t="shared" ref="M451" si="836">WEEKDAY(A451,2)</f>
        <v>3</v>
      </c>
    </row>
    <row r="452" spans="1:13" x14ac:dyDescent="0.15">
      <c r="A452" s="90">
        <v>43041</v>
      </c>
      <c r="B452">
        <v>48.25</v>
      </c>
      <c r="C452" s="93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3">
        <f t="shared" ref="G452" si="839">+B452/D452-1</f>
        <v>1.761741478444101E-3</v>
      </c>
      <c r="H452" s="42">
        <f t="shared" ref="H452" si="840">(+B452/(E452)-1)</f>
        <v>-2.5516036953413535E-3</v>
      </c>
      <c r="I452" s="93">
        <f t="shared" si="726"/>
        <v>-2.6458307495142996E-3</v>
      </c>
      <c r="J452">
        <v>3996.62</v>
      </c>
      <c r="K452">
        <v>3997.13</v>
      </c>
      <c r="L452" s="93">
        <f t="shared" ref="L452" si="841">+K452/J452-1</f>
        <v>1.2760782861520603E-4</v>
      </c>
      <c r="M452" s="92">
        <f t="shared" ref="M452" si="842">WEEKDAY(A452,2)</f>
        <v>4</v>
      </c>
    </row>
    <row r="453" spans="1:13" x14ac:dyDescent="0.15">
      <c r="A453" s="90">
        <v>43042</v>
      </c>
      <c r="B453">
        <v>48</v>
      </c>
      <c r="C453" s="93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3">
        <f t="shared" ref="G453" si="845">+B453/D453-1</f>
        <v>-6.7126132874499866E-3</v>
      </c>
      <c r="H453" s="42">
        <f t="shared" ref="H453" si="846">(+B453/(E453)-1)</f>
        <v>-3.9307497536262836E-3</v>
      </c>
      <c r="I453" s="93">
        <f t="shared" si="726"/>
        <v>-3.5705389022667733E-3</v>
      </c>
      <c r="J453">
        <v>3997.13</v>
      </c>
      <c r="K453">
        <v>3992.7</v>
      </c>
      <c r="L453" s="93">
        <f t="shared" ref="L453" si="847">+K453/J453-1</f>
        <v>-1.10829520180733E-3</v>
      </c>
      <c r="M453" s="92">
        <f t="shared" ref="M453" si="848">WEEKDAY(A453,2)</f>
        <v>5</v>
      </c>
    </row>
    <row r="454" spans="1:13" x14ac:dyDescent="0.15">
      <c r="A454" s="90">
        <v>43045</v>
      </c>
      <c r="B454">
        <v>48.3</v>
      </c>
      <c r="C454" s="93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3">
        <f t="shared" ref="G454" si="851">+B454/D454-1</f>
        <v>-4.3723693614600156E-3</v>
      </c>
      <c r="H454" s="42">
        <f t="shared" ref="H454" si="852">(+B454/(E454)-1)</f>
        <v>-1.6980761203487793E-3</v>
      </c>
      <c r="I454" s="93">
        <f t="shared" si="726"/>
        <v>-1.1580775911986807E-3</v>
      </c>
      <c r="J454">
        <v>3992.7</v>
      </c>
      <c r="K454">
        <v>4020.89</v>
      </c>
      <c r="L454" s="93">
        <f t="shared" ref="L454" si="853">+K454/J454-1</f>
        <v>7.0603852029955672E-3</v>
      </c>
      <c r="M454" s="92">
        <f t="shared" ref="M454" si="854">WEEKDAY(A454,2)</f>
        <v>1</v>
      </c>
    </row>
    <row r="455" spans="1:13" x14ac:dyDescent="0.15">
      <c r="A455" s="90">
        <v>43046</v>
      </c>
      <c r="B455">
        <v>48.9</v>
      </c>
      <c r="C455" s="93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3">
        <f t="shared" ref="G455" si="857">+B455/D455-1</f>
        <v>2.9289256313347334E-3</v>
      </c>
      <c r="H455" s="42">
        <f t="shared" ref="H455" si="858">(+B455/(E455)-1)</f>
        <v>1.1646692292368588E-3</v>
      </c>
      <c r="I455" s="93">
        <f t="shared" si="726"/>
        <v>9.0060586212525884E-4</v>
      </c>
      <c r="J455">
        <v>4020.89</v>
      </c>
      <c r="K455">
        <v>4054.25</v>
      </c>
      <c r="L455" s="93">
        <f t="shared" ref="L455" si="859">+K455/J455-1</f>
        <v>8.2966706375950938E-3</v>
      </c>
      <c r="M455" s="92">
        <f t="shared" ref="M455" si="860">WEEKDAY(A455,2)</f>
        <v>2</v>
      </c>
    </row>
    <row r="456" spans="1:13" x14ac:dyDescent="0.15">
      <c r="A456" s="90">
        <v>43047</v>
      </c>
      <c r="B456">
        <v>48.65</v>
      </c>
      <c r="C456" s="93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3">
        <f t="shared" ref="G456" si="863">+B456/D456-1</f>
        <v>-2.6814744169668669E-3</v>
      </c>
      <c r="H456" s="42">
        <f t="shared" ref="H456" si="864">(+B456/(E456)-1)</f>
        <v>1.7076564114626436E-4</v>
      </c>
      <c r="I456" s="93">
        <f t="shared" si="726"/>
        <v>-6.1661151419256655E-5</v>
      </c>
      <c r="J456">
        <v>4054.25</v>
      </c>
      <c r="K456">
        <v>4048.01</v>
      </c>
      <c r="L456" s="93">
        <f t="shared" ref="L456" si="865">+K456/J456-1</f>
        <v>-1.5391256089288818E-3</v>
      </c>
      <c r="M456" s="92">
        <f t="shared" ref="M456" si="866">WEEKDAY(A456,2)</f>
        <v>3</v>
      </c>
    </row>
    <row r="457" spans="1:13" x14ac:dyDescent="0.15">
      <c r="A457" s="90">
        <v>43048</v>
      </c>
      <c r="B457">
        <v>49</v>
      </c>
      <c r="C457" s="93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3">
        <f t="shared" ref="G457" si="869">+B457/D457-1</f>
        <v>2.406765190618998E-4</v>
      </c>
      <c r="H457" s="42">
        <f t="shared" ref="H457" si="870">(+B457/(E457)-1)</f>
        <v>-1.3020072432557983E-3</v>
      </c>
      <c r="I457" s="93">
        <f t="shared" si="726"/>
        <v>-6.9339641881138725E-4</v>
      </c>
      <c r="J457">
        <v>4048.01</v>
      </c>
      <c r="K457">
        <v>4075.9</v>
      </c>
      <c r="L457" s="93">
        <f t="shared" ref="L457" si="871">+K457/J457-1</f>
        <v>6.8898051141177419E-3</v>
      </c>
      <c r="M457" s="92">
        <f t="shared" ref="M457" si="872">WEEKDAY(A457,2)</f>
        <v>4</v>
      </c>
    </row>
    <row r="458" spans="1:13" x14ac:dyDescent="0.15">
      <c r="A458" s="90">
        <v>43049</v>
      </c>
      <c r="B458">
        <v>49.4</v>
      </c>
      <c r="C458" s="93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3">
        <f t="shared" ref="G458" si="875">+B458/D458-1</f>
        <v>-1.3586465999221309E-3</v>
      </c>
      <c r="H458" s="42">
        <f t="shared" ref="H458" si="876">(+B458/(E458)-1)</f>
        <v>2.6247953615721187E-4</v>
      </c>
      <c r="I458" s="93">
        <f t="shared" si="726"/>
        <v>8.0978216859595165E-5</v>
      </c>
      <c r="J458">
        <v>4075.9</v>
      </c>
      <c r="K458">
        <v>4111.91</v>
      </c>
      <c r="L458" s="93">
        <f t="shared" ref="L458" si="877">+K458/J458-1</f>
        <v>8.834858558845804E-3</v>
      </c>
      <c r="M458" s="92">
        <f t="shared" ref="M458" si="878">WEEKDAY(A458,2)</f>
        <v>5</v>
      </c>
    </row>
    <row r="459" spans="1:13" x14ac:dyDescent="0.15">
      <c r="A459" s="90">
        <v>43052</v>
      </c>
      <c r="B459">
        <v>49.45</v>
      </c>
      <c r="C459" s="93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3">
        <f t="shared" ref="G459" si="881">+B459/D459-1</f>
        <v>-2.8257359042409558E-3</v>
      </c>
      <c r="H459" s="42">
        <f t="shared" ref="H459" si="882">(+B459/(E459)-1)</f>
        <v>-1.8467633918518578E-3</v>
      </c>
      <c r="I459" s="93">
        <f t="shared" si="726"/>
        <v>-2.1188578347289821E-3</v>
      </c>
      <c r="J459">
        <v>4111.91</v>
      </c>
      <c r="K459">
        <v>4128.07</v>
      </c>
      <c r="L459" s="93">
        <f t="shared" ref="L459" si="883">+K459/J459-1</f>
        <v>3.93004710706224E-3</v>
      </c>
      <c r="M459" s="92">
        <f t="shared" ref="M459" si="884">WEEKDAY(A459,2)</f>
        <v>1</v>
      </c>
    </row>
    <row r="460" spans="1:13" x14ac:dyDescent="0.15">
      <c r="A460" s="90">
        <v>43053</v>
      </c>
      <c r="B460">
        <v>49</v>
      </c>
      <c r="C460" s="93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3">
        <f t="shared" ref="G460" si="887">+B460/D460-1</f>
        <v>-4.2721531841104499E-3</v>
      </c>
      <c r="H460" s="42">
        <f t="shared" ref="H460" si="888">(+B460/(E460)-1)</f>
        <v>-4.8835344168628447E-3</v>
      </c>
      <c r="I460" s="93">
        <f t="shared" si="726"/>
        <v>-4.9953295699143307E-3</v>
      </c>
      <c r="J460">
        <v>4128.07</v>
      </c>
      <c r="K460">
        <v>4099.3500000000004</v>
      </c>
      <c r="L460" s="93">
        <f t="shared" ref="L460" si="889">+K460/J460-1</f>
        <v>-6.9572463645236615E-3</v>
      </c>
      <c r="M460" s="92">
        <f t="shared" ref="M460" si="890">WEEKDAY(A460,2)</f>
        <v>2</v>
      </c>
    </row>
    <row r="461" spans="1:13" x14ac:dyDescent="0.15">
      <c r="A461" s="90">
        <v>43054</v>
      </c>
      <c r="B461">
        <v>48.6</v>
      </c>
      <c r="C461" s="93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3">
        <f t="shared" ref="G461" si="893">+B461/D461-1</f>
        <v>-6.8966120939033537E-3</v>
      </c>
      <c r="H461" s="42">
        <f t="shared" ref="H461" si="894">(+B461/(E461)-1)</f>
        <v>-7.9060973022234693E-3</v>
      </c>
      <c r="I461" s="93">
        <f t="shared" si="726"/>
        <v>-7.9608083282303177E-3</v>
      </c>
      <c r="J461">
        <v>4099.3500000000004</v>
      </c>
      <c r="K461">
        <v>4073.67</v>
      </c>
      <c r="L461" s="93">
        <f t="shared" ref="L461" si="895">+K461/J461-1</f>
        <v>-6.2644077719639091E-3</v>
      </c>
      <c r="M461" s="92">
        <f t="shared" ref="M461" si="896">WEEKDAY(A461,2)</f>
        <v>3</v>
      </c>
    </row>
    <row r="462" spans="1:13" x14ac:dyDescent="0.15">
      <c r="A462" s="90">
        <v>43055</v>
      </c>
      <c r="B462">
        <v>49.25</v>
      </c>
      <c r="C462" s="93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3">
        <f t="shared" ref="G462" si="899">+B462/D462-1</f>
        <v>-2.3678860607792007E-3</v>
      </c>
      <c r="H462" s="42">
        <f t="shared" ref="H462" si="900">(+B462/(E462)-1)</f>
        <v>-2.5782029421300701E-3</v>
      </c>
      <c r="I462" s="93">
        <f t="shared" si="726"/>
        <v>-2.5316455696202667E-3</v>
      </c>
      <c r="J462">
        <v>4073.67</v>
      </c>
      <c r="K462">
        <v>4105.01</v>
      </c>
      <c r="L462" s="93">
        <f t="shared" ref="L462" si="901">+K462/J462-1</f>
        <v>7.693308490869466E-3</v>
      </c>
      <c r="M462" s="92">
        <f t="shared" ref="M462" si="902">WEEKDAY(A462,2)</f>
        <v>4</v>
      </c>
    </row>
    <row r="463" spans="1:13" x14ac:dyDescent="0.15">
      <c r="A463" s="90">
        <v>43056</v>
      </c>
      <c r="B463">
        <v>49.35</v>
      </c>
      <c r="C463" s="93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3">
        <f t="shared" ref="G463" si="905">+B463/D463-1</f>
        <v>-4.3482500153969594E-3</v>
      </c>
      <c r="H463" s="42">
        <f t="shared" ref="H463" si="906">(+B463/(E463)-1)</f>
        <v>-4.8902641075857511E-3</v>
      </c>
      <c r="I463" s="93">
        <f t="shared" si="726"/>
        <v>-4.9801399278182057E-3</v>
      </c>
      <c r="J463">
        <v>4105.01</v>
      </c>
      <c r="K463">
        <v>4120.8500000000004</v>
      </c>
      <c r="L463" s="93">
        <f t="shared" ref="L463" si="907">+K463/J463-1</f>
        <v>3.8586994915967843E-3</v>
      </c>
      <c r="M463" s="92">
        <f t="shared" ref="M463" si="908">WEEKDAY(A463,2)</f>
        <v>5</v>
      </c>
    </row>
    <row r="464" spans="1:13" x14ac:dyDescent="0.15">
      <c r="A464" s="90">
        <v>43059</v>
      </c>
      <c r="B464">
        <v>49.7</v>
      </c>
      <c r="C464" s="93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3">
        <f t="shared" ref="G464" si="911">+B464/D464-1</f>
        <v>-3.4803725300349697E-3</v>
      </c>
      <c r="H464" s="42">
        <f t="shared" ref="H464" si="912">(+B464/(E464)-1)</f>
        <v>-2.3984312898216453E-3</v>
      </c>
      <c r="I464" s="93">
        <f t="shared" si="726"/>
        <v>-1.7273932430803551E-3</v>
      </c>
      <c r="J464">
        <v>4120.8500000000004</v>
      </c>
      <c r="K464">
        <v>4143.83</v>
      </c>
      <c r="L464" s="93">
        <f t="shared" ref="L464" si="913">+K464/J464-1</f>
        <v>5.5765194074037794E-3</v>
      </c>
      <c r="M464" s="92">
        <f t="shared" ref="M464" si="914">WEEKDAY(A464,2)</f>
        <v>1</v>
      </c>
    </row>
    <row r="465" spans="1:14" x14ac:dyDescent="0.15">
      <c r="A465" s="90">
        <v>43060</v>
      </c>
      <c r="B465">
        <v>50.85</v>
      </c>
      <c r="C465" s="93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3">
        <f t="shared" ref="G465" si="917">+B465/D465-1</f>
        <v>3.4828788389353882E-3</v>
      </c>
      <c r="H465" s="42">
        <f t="shared" ref="H465" si="918">(+B465/(E465)-1)</f>
        <v>3.8122733126464414E-3</v>
      </c>
      <c r="I465" s="93">
        <f t="shared" si="726"/>
        <v>3.7108681062729687E-3</v>
      </c>
      <c r="J465">
        <v>4143.83</v>
      </c>
      <c r="K465">
        <v>4217.7</v>
      </c>
      <c r="L465" s="93">
        <f t="shared" ref="L465" si="919">+K465/J465-1</f>
        <v>1.7826503500384838E-2</v>
      </c>
      <c r="M465" s="92">
        <f t="shared" ref="M465" si="920">WEEKDAY(A465,2)</f>
        <v>2</v>
      </c>
    </row>
    <row r="466" spans="1:14" x14ac:dyDescent="0.15">
      <c r="A466" s="90">
        <v>43061</v>
      </c>
      <c r="B466">
        <v>50.85</v>
      </c>
      <c r="C466" s="93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3">
        <f t="shared" ref="G466" si="923">+B466/D466-1</f>
        <v>1.367529907684073E-3</v>
      </c>
      <c r="H466" s="42">
        <f t="shared" ref="H466" si="924">(+B466/(E466)-1)</f>
        <v>-2.679018793313559E-3</v>
      </c>
      <c r="I466" s="93">
        <f t="shared" si="726"/>
        <v>-2.9020745911603196E-3</v>
      </c>
      <c r="J466">
        <v>4217.7</v>
      </c>
      <c r="K466">
        <v>4227.57</v>
      </c>
      <c r="L466" s="93">
        <f t="shared" ref="L466" si="925">+K466/J466-1</f>
        <v>2.3401379898997376E-3</v>
      </c>
      <c r="M466" s="92">
        <f t="shared" ref="M466" si="926">WEEKDAY(A466,2)</f>
        <v>3</v>
      </c>
    </row>
    <row r="467" spans="1:14" x14ac:dyDescent="0.15">
      <c r="A467" s="90">
        <v>43062</v>
      </c>
      <c r="B467">
        <v>49.35</v>
      </c>
      <c r="C467" s="93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3">
        <f t="shared" ref="G467" si="929">+B467/D467-1</f>
        <v>-2.7895607152377266E-3</v>
      </c>
      <c r="H467" s="42">
        <f t="shared" ref="H467" si="930">(+B467/(E467)-1)</f>
        <v>-6.7433574384699879E-3</v>
      </c>
      <c r="I467" s="93">
        <f t="shared" si="726"/>
        <v>-6.6425120772946045E-3</v>
      </c>
      <c r="J467">
        <v>4227.57</v>
      </c>
      <c r="K467">
        <v>4102.3999999999996</v>
      </c>
      <c r="L467" s="93">
        <f t="shared" ref="L467" si="931">+K467/J467-1</f>
        <v>-2.9608025414126771E-2</v>
      </c>
      <c r="M467" s="92">
        <f t="shared" ref="M467" si="932">WEEKDAY(A467,2)</f>
        <v>4</v>
      </c>
      <c r="N467" t="s">
        <v>596</v>
      </c>
    </row>
    <row r="468" spans="1:14" x14ac:dyDescent="0.15">
      <c r="A468" s="90">
        <v>43063</v>
      </c>
      <c r="B468">
        <v>49.55</v>
      </c>
      <c r="C468" s="93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3">
        <f t="shared" ref="G468" si="935">+B468/D468-1</f>
        <v>-3.054174659931741E-3</v>
      </c>
      <c r="H468" s="42">
        <f t="shared" ref="H468" si="936">(+B468/(E468)-1)</f>
        <v>-3.6907384642872465E-3</v>
      </c>
      <c r="I468" s="93">
        <f t="shared" si="726"/>
        <v>-3.0582270331174222E-3</v>
      </c>
      <c r="J468">
        <v>4102.3999999999996</v>
      </c>
      <c r="K468">
        <v>4104.2</v>
      </c>
      <c r="L468" s="93">
        <f t="shared" ref="L468" si="937">+K468/J468-1</f>
        <v>4.3876755070204609E-4</v>
      </c>
      <c r="M468" s="92">
        <f t="shared" ref="M468" si="938">WEEKDAY(A468,2)</f>
        <v>5</v>
      </c>
    </row>
    <row r="469" spans="1:14" x14ac:dyDescent="0.15">
      <c r="A469" s="90">
        <v>43066</v>
      </c>
      <c r="B469">
        <v>48.75</v>
      </c>
      <c r="C469" s="93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3">
        <f t="shared" ref="G469" si="941">+B469/D469-1</f>
        <v>-6.0155059916803255E-3</v>
      </c>
      <c r="H469" s="42">
        <f t="shared" ref="H469:H474" si="942">(+B469/(E469)-1)</f>
        <v>-4.8151408642882476E-3</v>
      </c>
      <c r="I469" s="93">
        <f t="shared" si="726"/>
        <v>-3.6583621165362512E-3</v>
      </c>
      <c r="J469">
        <v>4104.2</v>
      </c>
      <c r="K469">
        <v>4049.95</v>
      </c>
      <c r="L469" s="93">
        <f t="shared" ref="L469" si="943">+K469/J469-1</f>
        <v>-1.3218166756006067E-2</v>
      </c>
      <c r="M469" s="92">
        <f t="shared" ref="M469" si="944">WEEKDAY(A469,2)</f>
        <v>1</v>
      </c>
    </row>
    <row r="470" spans="1:14" x14ac:dyDescent="0.15">
      <c r="A470" s="90">
        <v>43067</v>
      </c>
      <c r="B470">
        <v>48.8</v>
      </c>
      <c r="C470" s="93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3">
        <f t="shared" ref="G470" si="947">+B470/D470-1</f>
        <v>-4.0799603700042431E-3</v>
      </c>
      <c r="H470" s="42">
        <f t="shared" si="942"/>
        <v>-2.5006566699001809E-3</v>
      </c>
      <c r="I470" s="93">
        <f t="shared" si="726"/>
        <v>-2.4529844644318732E-3</v>
      </c>
      <c r="J470">
        <v>4049.95</v>
      </c>
      <c r="K470">
        <v>4055.82</v>
      </c>
      <c r="L470" s="93">
        <f t="shared" ref="L470" si="948">+K470/J470-1</f>
        <v>1.4494006098841883E-3</v>
      </c>
      <c r="M470" s="92">
        <f t="shared" ref="M470" si="949">WEEKDAY(A470,2)</f>
        <v>2</v>
      </c>
    </row>
    <row r="471" spans="1:14" x14ac:dyDescent="0.15">
      <c r="A471" s="90">
        <v>43068</v>
      </c>
      <c r="B471">
        <v>48.75</v>
      </c>
      <c r="C471" s="93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3">
        <f t="shared" ref="G471" si="952">+B471/D471-1</f>
        <v>-2.966197526139025E-3</v>
      </c>
      <c r="H471" s="42">
        <f t="shared" si="942"/>
        <v>-2.8031695519331601E-3</v>
      </c>
      <c r="I471" s="93">
        <f t="shared" si="726"/>
        <v>-3.4954314098240014E-3</v>
      </c>
      <c r="J471">
        <v>4055.82</v>
      </c>
      <c r="K471">
        <v>4053.75</v>
      </c>
      <c r="L471" s="93">
        <f t="shared" ref="L471" si="953">+K471/J471-1</f>
        <v>-5.1037767948280965E-4</v>
      </c>
      <c r="M471" s="92">
        <f t="shared" ref="M471" si="954">WEEKDAY(A471,2)</f>
        <v>3</v>
      </c>
    </row>
    <row r="472" spans="1:14" x14ac:dyDescent="0.15">
      <c r="A472" s="90">
        <v>43069</v>
      </c>
      <c r="B472">
        <v>48.05</v>
      </c>
      <c r="C472" s="93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3">
        <f t="shared" ref="G472" si="957">+B472/D472-1</f>
        <v>-6.1216236212977559E-3</v>
      </c>
      <c r="H472" s="42">
        <f t="shared" si="942"/>
        <v>-4.6545308741523517E-3</v>
      </c>
      <c r="I472" s="93">
        <f t="shared" si="726"/>
        <v>-4.990577954484321E-3</v>
      </c>
      <c r="J472">
        <v>4053.75</v>
      </c>
      <c r="K472">
        <v>4006.1</v>
      </c>
      <c r="L472" s="93">
        <f t="shared" ref="L472" si="958">+K472/J472-1</f>
        <v>-1.1754548257785991E-2</v>
      </c>
      <c r="M472" s="92">
        <f t="shared" ref="M472" si="959">WEEKDAY(A472,2)</f>
        <v>4</v>
      </c>
    </row>
    <row r="473" spans="1:14" x14ac:dyDescent="0.15">
      <c r="A473" s="90">
        <v>43070</v>
      </c>
      <c r="B473">
        <v>47.9</v>
      </c>
      <c r="C473" s="93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3">
        <f t="shared" ref="G473" si="962">+B473/D473-1</f>
        <v>-6.1219410472888036E-3</v>
      </c>
      <c r="H473" s="42">
        <f t="shared" si="942"/>
        <v>-6.2038051632717917E-3</v>
      </c>
      <c r="I473" s="93">
        <f t="shared" si="726"/>
        <v>-6.4095915700388417E-3</v>
      </c>
      <c r="J473">
        <v>4006.1</v>
      </c>
      <c r="K473">
        <v>3998.14</v>
      </c>
      <c r="L473" s="93">
        <f t="shared" ref="L473" si="963">+K473/J473-1</f>
        <v>-1.9869698709468198E-3</v>
      </c>
      <c r="M473" s="92">
        <f t="shared" ref="M473" si="964">WEEKDAY(A473,2)</f>
        <v>5</v>
      </c>
      <c r="N473" t="s">
        <v>613</v>
      </c>
    </row>
    <row r="474" spans="1:14" x14ac:dyDescent="0.15">
      <c r="A474" s="90">
        <v>43073</v>
      </c>
      <c r="B474">
        <v>48.3</v>
      </c>
      <c r="C474" s="93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3">
        <f t="shared" ref="G474" si="967">+B474/D474-1</f>
        <v>-3.2778085275942948E-3</v>
      </c>
      <c r="H474" s="42">
        <f t="shared" si="942"/>
        <v>-3.4465310362116197E-3</v>
      </c>
      <c r="I474" s="93">
        <f t="shared" si="726"/>
        <v>-4.1647767102388489E-3</v>
      </c>
      <c r="J474">
        <v>3998.14</v>
      </c>
      <c r="K474">
        <v>4018.86</v>
      </c>
      <c r="L474" s="93">
        <f t="shared" ref="L474" si="968">+K474/J474-1</f>
        <v>5.1824098205666136E-3</v>
      </c>
      <c r="M474" s="92">
        <f t="shared" ref="M474" si="969">WEEKDAY(A474,2)</f>
        <v>1</v>
      </c>
      <c r="N474" t="s">
        <v>615</v>
      </c>
    </row>
    <row r="475" spans="1:14" x14ac:dyDescent="0.15">
      <c r="A475" s="90">
        <v>43074</v>
      </c>
      <c r="B475">
        <v>48.55</v>
      </c>
      <c r="C475" s="93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3">
        <f t="shared" ref="G475" si="972">+B475/D475-1</f>
        <v>-4.290100554505627E-3</v>
      </c>
      <c r="H475" s="42">
        <f t="shared" ref="H475" si="973">(+B475/(E475)-1)</f>
        <v>-4.3525686778720374E-3</v>
      </c>
      <c r="I475" s="93">
        <f t="shared" si="726"/>
        <v>-4.4497303504420493E-3</v>
      </c>
      <c r="J475">
        <v>4018.86</v>
      </c>
      <c r="K475">
        <v>4040.17</v>
      </c>
      <c r="L475" s="93">
        <f t="shared" ref="L475" si="974">+K475/J475-1</f>
        <v>5.302498718542159E-3</v>
      </c>
      <c r="M475" s="92">
        <f t="shared" ref="M475" si="975">WEEKDAY(A475,2)</f>
        <v>2</v>
      </c>
    </row>
    <row r="476" spans="1:14" x14ac:dyDescent="0.15">
      <c r="A476" s="90">
        <v>43075</v>
      </c>
      <c r="B476">
        <v>48</v>
      </c>
      <c r="C476" s="93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3">
        <f t="shared" ref="G476" si="978">+B476/D476-1</f>
        <v>-9.7596960732833082E-3</v>
      </c>
      <c r="H476" s="42">
        <f t="shared" ref="H476" si="979">(+B476/(E476)-1)</f>
        <v>-9.3366669945129654E-3</v>
      </c>
      <c r="I476" s="93">
        <f t="shared" si="726"/>
        <v>-8.305441923887491E-3</v>
      </c>
      <c r="J476">
        <v>4040.17</v>
      </c>
      <c r="K476">
        <v>4015.82</v>
      </c>
      <c r="L476" s="93">
        <f t="shared" ref="L476" si="980">+K476/J476-1</f>
        <v>-6.0269741124754361E-3</v>
      </c>
      <c r="M476" s="92">
        <f t="shared" ref="M476" si="981">WEEKDAY(A476,2)</f>
        <v>3</v>
      </c>
    </row>
    <row r="477" spans="1:14" x14ac:dyDescent="0.15">
      <c r="A477" s="90">
        <v>43076</v>
      </c>
      <c r="B477">
        <v>47.55</v>
      </c>
      <c r="C477" s="93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93">
        <f t="shared" ref="G477" si="984">+B477/D477-1</f>
        <v>-6.5294370807252866E-3</v>
      </c>
      <c r="H477" s="42">
        <f t="shared" ref="H477" si="985">(+B477/(E477)-1)</f>
        <v>-6.3522595295500972E-3</v>
      </c>
      <c r="I477" s="93">
        <f t="shared" si="726"/>
        <v>-6.2903596581054266E-3</v>
      </c>
      <c r="J477">
        <v>4015.82</v>
      </c>
      <c r="K477">
        <v>3971.06</v>
      </c>
      <c r="L477" s="93">
        <f t="shared" ref="L477" si="986">+K477/J477-1</f>
        <v>-1.1145917894726409E-2</v>
      </c>
      <c r="M477" s="92">
        <f t="shared" ref="M477" si="987">WEEKDAY(A477,2)</f>
        <v>4</v>
      </c>
    </row>
    <row r="478" spans="1:14" x14ac:dyDescent="0.15">
      <c r="A478" s="90">
        <v>43077</v>
      </c>
      <c r="B478">
        <v>48.25</v>
      </c>
      <c r="C478" s="93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93">
        <f t="shared" ref="G478" si="990">+B478/D478-1</f>
        <v>1.9788831090750136E-4</v>
      </c>
      <c r="H478" s="42">
        <f t="shared" ref="H478" si="991">(+B478/(E478)-1)</f>
        <v>9.5758886374808228E-4</v>
      </c>
      <c r="I478" s="93">
        <f t="shared" si="726"/>
        <v>1.7439687746543253E-3</v>
      </c>
      <c r="J478">
        <v>3971.06</v>
      </c>
      <c r="K478">
        <v>4003.38</v>
      </c>
      <c r="L478" s="93">
        <f t="shared" ref="L478" si="992">+K478/J478-1</f>
        <v>8.1388848317578422E-3</v>
      </c>
      <c r="M478" s="92">
        <f t="shared" ref="M478" si="993">WEEKDAY(A478,2)</f>
        <v>5</v>
      </c>
    </row>
    <row r="479" spans="1:14" x14ac:dyDescent="0.15">
      <c r="A479" s="90">
        <v>43080</v>
      </c>
      <c r="B479">
        <v>49.1</v>
      </c>
      <c r="C479" s="93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D479*(1-VLOOKUP(A479,FX!A:K,9,0))</f>
        <v>48.994381663042425</v>
      </c>
      <c r="F479">
        <v>48.994999999999997</v>
      </c>
      <c r="G479" s="93">
        <f t="shared" ref="G479" si="996">+B479/D479-1</f>
        <v>2.8285120788580365E-3</v>
      </c>
      <c r="H479" s="42">
        <f t="shared" ref="H479" si="997">(+B479/(E479)-1)</f>
        <v>2.1557234395561675E-3</v>
      </c>
      <c r="I479" s="93">
        <f t="shared" si="726"/>
        <v>2.1430758240637005E-3</v>
      </c>
      <c r="J479">
        <v>4003.38</v>
      </c>
      <c r="K479">
        <v>4069.5</v>
      </c>
      <c r="L479" s="93">
        <f t="shared" ref="L479" si="998">+K479/J479-1</f>
        <v>1.6516043942868208E-2</v>
      </c>
      <c r="M479" s="92">
        <f t="shared" ref="M479" si="999">WEEKDAY(A479,2)</f>
        <v>1</v>
      </c>
    </row>
    <row r="480" spans="1:14" x14ac:dyDescent="0.15">
      <c r="A480" s="90">
        <v>43081</v>
      </c>
      <c r="B480">
        <v>48.35</v>
      </c>
      <c r="C480" s="93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D480*(1-VLOOKUP(A480,FX!A:K,9,0))</f>
        <v>48.351124192161201</v>
      </c>
      <c r="F480">
        <v>48.337000000000003</v>
      </c>
      <c r="G480" s="93">
        <f t="shared" ref="G480" si="1002">+B480/D480-1</f>
        <v>-2.3250589929024734E-5</v>
      </c>
      <c r="H480" s="42">
        <f t="shared" ref="H480" si="1003">(+B480/(E480)-1)</f>
        <v>-2.3250589929024734E-5</v>
      </c>
      <c r="I480" s="93">
        <f t="shared" si="726"/>
        <v>2.6894511450858971E-4</v>
      </c>
      <c r="J480">
        <v>4069.5</v>
      </c>
      <c r="K480">
        <v>4016.02</v>
      </c>
      <c r="L480" s="93">
        <f t="shared" ref="L480" si="1004">+K480/J480-1</f>
        <v>-1.3141663595036213E-2</v>
      </c>
      <c r="M480" s="92">
        <f t="shared" ref="M480" si="1005">WEEKDAY(A480,2)</f>
        <v>2</v>
      </c>
    </row>
    <row r="481" spans="1:14" x14ac:dyDescent="0.15">
      <c r="A481" s="90">
        <v>43082</v>
      </c>
      <c r="B481">
        <v>48.85</v>
      </c>
      <c r="C481" s="93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D481*(1-VLOOKUP(A481,FX!A:K,9,0))</f>
        <v>48.718059061794882</v>
      </c>
      <c r="F481">
        <v>48.732999999999997</v>
      </c>
      <c r="G481" s="93">
        <f t="shared" ref="G481" si="1008">+B481/D481-1</f>
        <v>2.1115510984526242E-3</v>
      </c>
      <c r="H481" s="42">
        <f t="shared" ref="H481" si="1009">(+B481/(E481)-1)</f>
        <v>2.708255229087797E-3</v>
      </c>
      <c r="I481" s="93">
        <f t="shared" si="726"/>
        <v>2.4008372150288171E-3</v>
      </c>
      <c r="J481">
        <v>4016.02</v>
      </c>
      <c r="K481">
        <v>4050.09</v>
      </c>
      <c r="L481" s="93">
        <f t="shared" ref="L481" si="1010">+K481/J481-1</f>
        <v>8.4835234884288457E-3</v>
      </c>
      <c r="M481" s="92">
        <f t="shared" ref="M481" si="1011">WEEKDAY(A481,2)</f>
        <v>3</v>
      </c>
    </row>
    <row r="482" spans="1:14" x14ac:dyDescent="0.15">
      <c r="A482" s="90">
        <v>43083</v>
      </c>
      <c r="B482">
        <v>48.65</v>
      </c>
      <c r="C482" s="93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D482*(1-VLOOKUP(A482,FX!A:K,9,0))</f>
        <v>48.550205963098065</v>
      </c>
      <c r="F482">
        <v>48.587000000000003</v>
      </c>
      <c r="G482" s="93">
        <f t="shared" ref="G482" si="1014">+B482/D482-1</f>
        <v>4.2328419748927093E-3</v>
      </c>
      <c r="H482" s="42">
        <f t="shared" ref="H482" si="1015">(+B482/(E482)-1)</f>
        <v>2.0554812265427547E-3</v>
      </c>
      <c r="I482" s="93">
        <f t="shared" si="726"/>
        <v>1.2966431349947793E-3</v>
      </c>
      <c r="J482">
        <v>4050.09</v>
      </c>
      <c r="K482">
        <v>4026.15</v>
      </c>
      <c r="L482" s="93">
        <f t="shared" ref="L482" si="1016">+K482/J482-1</f>
        <v>-5.9109797560054078E-3</v>
      </c>
      <c r="M482" s="92">
        <f t="shared" ref="M482" si="1017">WEEKDAY(A482,2)</f>
        <v>4</v>
      </c>
    </row>
    <row r="483" spans="1:14" x14ac:dyDescent="0.15">
      <c r="A483" s="90">
        <v>43084</v>
      </c>
      <c r="B483">
        <v>47.95</v>
      </c>
      <c r="C483" s="93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D483*(1-VLOOKUP(A483,FX!A:K,9,0))</f>
        <v>48.057315186788514</v>
      </c>
      <c r="F483">
        <v>48.072000000000003</v>
      </c>
      <c r="G483" s="93">
        <f t="shared" ref="G483" si="1020">+B483/D483-1</f>
        <v>-1.8827215440984091E-3</v>
      </c>
      <c r="H483" s="42">
        <f t="shared" ref="H483" si="1021">(+B483/(E483)-1)</f>
        <v>-2.2330666282833755E-3</v>
      </c>
      <c r="I483" s="93">
        <f t="shared" si="726"/>
        <v>-2.5378598768514005E-3</v>
      </c>
      <c r="J483">
        <v>4026.15</v>
      </c>
      <c r="K483">
        <v>3980.86</v>
      </c>
      <c r="L483" s="93">
        <f t="shared" ref="L483" si="1022">+K483/J483-1</f>
        <v>-1.1248959924493596E-2</v>
      </c>
      <c r="M483" s="92">
        <f t="shared" ref="M483" si="1023">WEEKDAY(A483,2)</f>
        <v>5</v>
      </c>
    </row>
    <row r="484" spans="1:14" x14ac:dyDescent="0.15">
      <c r="A484" s="90">
        <v>43087</v>
      </c>
      <c r="B484">
        <v>48.1</v>
      </c>
      <c r="C484" s="93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D484*(1-VLOOKUP(A484,FX!A:K,9,0))</f>
        <v>48.092942715860765</v>
      </c>
      <c r="F484">
        <v>48.09</v>
      </c>
      <c r="G484" s="93">
        <f t="shared" ref="G484" si="1026">+B484/D484-1</f>
        <v>-5.2977567557532801E-4</v>
      </c>
      <c r="H484" s="42">
        <f t="shared" ref="H484" si="1027">(+B484/(E484)-1)</f>
        <v>1.4674261421121493E-4</v>
      </c>
      <c r="I484" s="93">
        <f t="shared" si="726"/>
        <v>2.0794343938446147E-4</v>
      </c>
      <c r="J484">
        <v>3980.86</v>
      </c>
      <c r="K484">
        <v>3985.29</v>
      </c>
      <c r="L484" s="93">
        <f t="shared" ref="L484" si="1028">+K484/J484-1</f>
        <v>1.1128248669884933E-3</v>
      </c>
      <c r="M484" s="92">
        <f t="shared" ref="M484" si="1029">WEEKDAY(A484,2)</f>
        <v>1</v>
      </c>
    </row>
    <row r="485" spans="1:14" x14ac:dyDescent="0.15">
      <c r="A485" s="90">
        <v>43088</v>
      </c>
      <c r="B485">
        <v>48.85</v>
      </c>
      <c r="C485" s="93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D485*(1-VLOOKUP(A485,FX!A:K,9,0))</f>
        <v>48.68141624028469</v>
      </c>
      <c r="F485">
        <v>48.698</v>
      </c>
      <c r="G485" s="93">
        <f t="shared" ref="G485" si="1032">+B485/D485-1</f>
        <v>3.2072551997952559E-3</v>
      </c>
      <c r="H485" s="42">
        <f t="shared" ref="H485" si="1033">(+B485/(E485)-1)</f>
        <v>3.4630003137789966E-3</v>
      </c>
      <c r="I485" s="93">
        <f t="shared" si="726"/>
        <v>3.1212780812353014E-3</v>
      </c>
      <c r="J485">
        <v>3985.29</v>
      </c>
      <c r="K485">
        <v>4035.33</v>
      </c>
      <c r="L485" s="93">
        <f t="shared" ref="L485" si="1034">+K485/J485-1</f>
        <v>1.2556175334793584E-2</v>
      </c>
      <c r="M485" s="92">
        <f t="shared" ref="M485" si="1035">WEEKDAY(A485,2)</f>
        <v>2</v>
      </c>
    </row>
    <row r="486" spans="1:14" x14ac:dyDescent="0.15">
      <c r="A486" s="90">
        <v>43089</v>
      </c>
      <c r="B486">
        <v>48.9</v>
      </c>
      <c r="C486" s="93">
        <f t="shared" ref="C486" si="1036">B486/B485-1</f>
        <v>1.0235414534287557E-3</v>
      </c>
      <c r="D486" s="26">
        <f t="shared" ref="D486" si="1037">+F485*(1+L486)</f>
        <v>48.639591314712796</v>
      </c>
      <c r="E486" s="26">
        <f>D486*(1-VLOOKUP(A486,FX!A:K,9,0))</f>
        <v>48.776716027219159</v>
      </c>
      <c r="F486">
        <v>48.781999999999996</v>
      </c>
      <c r="G486" s="93">
        <f t="shared" ref="G486" si="1038">+B486/D486-1</f>
        <v>5.3538419680025928E-3</v>
      </c>
      <c r="H486" s="42">
        <f t="shared" ref="H486" si="1039">(+B486/(E486)-1)</f>
        <v>2.5275168732565856E-3</v>
      </c>
      <c r="I486" s="93">
        <f t="shared" si="726"/>
        <v>2.4189250133246354E-3</v>
      </c>
      <c r="J486">
        <v>4035.33</v>
      </c>
      <c r="K486">
        <v>4030.49</v>
      </c>
      <c r="L486" s="93">
        <f t="shared" ref="L486" si="1040">+K486/J486-1</f>
        <v>-1.19940624434689E-3</v>
      </c>
      <c r="M486" s="92">
        <f t="shared" ref="M486" si="1041">WEEKDAY(A486,2)</f>
        <v>3</v>
      </c>
    </row>
    <row r="487" spans="1:14" x14ac:dyDescent="0.15">
      <c r="A487" s="90">
        <v>43090</v>
      </c>
      <c r="B487">
        <v>49.45</v>
      </c>
      <c r="C487" s="93">
        <f t="shared" ref="C487" si="1042">B487/B486-1</f>
        <v>1.1247443762781195E-2</v>
      </c>
      <c r="D487" s="26">
        <f t="shared" ref="D487" si="1043">+F486*(1+L487)</f>
        <v>49.234177159600947</v>
      </c>
      <c r="E487" s="26">
        <f>D487*(1-VLOOKUP(A487,FX!A:K,9,0))</f>
        <v>49.435935621123079</v>
      </c>
      <c r="F487">
        <v>49.468000000000004</v>
      </c>
      <c r="G487" s="93">
        <f t="shared" ref="G487" si="1044">+B487/D487-1</f>
        <v>4.3835979973714245E-3</v>
      </c>
      <c r="H487" s="42">
        <f t="shared" ref="H487" si="1045">(+B487/(E487)-1)</f>
        <v>2.8449707080935305E-4</v>
      </c>
      <c r="I487" s="93">
        <f t="shared" si="726"/>
        <v>-3.6387159375761424E-4</v>
      </c>
      <c r="J487">
        <v>4030.49</v>
      </c>
      <c r="K487">
        <v>4067.85</v>
      </c>
      <c r="L487" s="93">
        <f t="shared" ref="L487" si="1046">+K487/J487-1</f>
        <v>9.2693444221423338E-3</v>
      </c>
      <c r="M487" s="92">
        <f t="shared" ref="M487" si="1047">WEEKDAY(A487,2)</f>
        <v>4</v>
      </c>
    </row>
    <row r="488" spans="1:14" x14ac:dyDescent="0.15">
      <c r="A488" s="90">
        <v>43091</v>
      </c>
      <c r="B488">
        <v>49.45</v>
      </c>
      <c r="C488" s="93">
        <f t="shared" ref="C488" si="1048">B488/B487-1</f>
        <v>0</v>
      </c>
      <c r="D488" s="26">
        <f t="shared" ref="D488" si="1049">+F487*(1+L488)</f>
        <v>49.306870410659194</v>
      </c>
      <c r="E488" s="26">
        <f>D488*(1-VLOOKUP(A488,FX!A:K,9,0))</f>
        <v>49.323805339321837</v>
      </c>
      <c r="F488">
        <v>49.292999999999999</v>
      </c>
      <c r="G488" s="93">
        <f t="shared" ref="G488" si="1050">+B488/D488-1</f>
        <v>2.9028325697562085E-3</v>
      </c>
      <c r="H488" s="42">
        <f t="shared" ref="H488" si="1051">(+B488/(E488)-1)</f>
        <v>2.5584940133880352E-3</v>
      </c>
      <c r="I488" s="93">
        <f t="shared" si="726"/>
        <v>3.1850364149068611E-3</v>
      </c>
      <c r="J488">
        <v>4067.85</v>
      </c>
      <c r="K488">
        <v>4054.6</v>
      </c>
      <c r="L488" s="93">
        <f t="shared" ref="L488" si="1052">+K488/J488-1</f>
        <v>-3.2572489152746797E-3</v>
      </c>
      <c r="M488" s="92">
        <f t="shared" ref="M488" si="1053">WEEKDAY(A488,2)</f>
        <v>5</v>
      </c>
    </row>
    <row r="489" spans="1:14" x14ac:dyDescent="0.15">
      <c r="A489" s="90">
        <v>43094</v>
      </c>
      <c r="B489">
        <v>49.45</v>
      </c>
      <c r="C489" s="93">
        <f t="shared" ref="C489" si="1054">B489/B488-1</f>
        <v>0</v>
      </c>
      <c r="D489" s="26">
        <f t="shared" ref="D489" si="1055">+F488*(1+L489)</f>
        <v>49.134225625215805</v>
      </c>
      <c r="E489" s="26">
        <f>D489*(1-VLOOKUP(A489,FX!A:K,9,0))</f>
        <v>49.134225625215805</v>
      </c>
      <c r="F489">
        <v>49.13</v>
      </c>
      <c r="G489" s="93">
        <f t="shared" ref="G489" si="1056">+B489/D489-1</f>
        <v>6.4267701539217903E-3</v>
      </c>
      <c r="H489" s="42">
        <f t="shared" ref="H489" si="1057">(+B489/(E489)-1)</f>
        <v>6.4267701539217903E-3</v>
      </c>
      <c r="I489" s="93">
        <f t="shared" si="726"/>
        <v>6.5133319763892583E-3</v>
      </c>
      <c r="J489">
        <v>4054.6</v>
      </c>
      <c r="K489">
        <v>4041.54</v>
      </c>
      <c r="L489" s="93">
        <f t="shared" ref="L489" si="1058">+K489/J489-1</f>
        <v>-3.2210329009026983E-3</v>
      </c>
      <c r="M489" s="92">
        <f t="shared" ref="M489" si="1059">WEEKDAY(A489,2)</f>
        <v>1</v>
      </c>
    </row>
    <row r="490" spans="1:14" x14ac:dyDescent="0.15">
      <c r="A490" s="90">
        <v>43095</v>
      </c>
      <c r="B490">
        <v>49.45</v>
      </c>
      <c r="C490" s="93">
        <f t="shared" ref="C490" si="1060">B490/B489-1</f>
        <v>0</v>
      </c>
      <c r="D490" s="26">
        <f t="shared" ref="D490" si="1061">+F489*(1+L490)</f>
        <v>49.276847587800695</v>
      </c>
      <c r="E490" s="26">
        <f>D490*(1-VLOOKUP(A490,FX!A:K,9,0))</f>
        <v>49.39758992590734</v>
      </c>
      <c r="F490">
        <v>49.4</v>
      </c>
      <c r="G490" s="93">
        <f t="shared" ref="G490" si="1062">+B490/D490-1</f>
        <v>3.5138695082064242E-3</v>
      </c>
      <c r="H490" s="42">
        <f t="shared" ref="H490" si="1063">(+B490/(E490)-1)</f>
        <v>1.0609844361086918E-3</v>
      </c>
      <c r="I490" s="93">
        <f t="shared" si="726"/>
        <v>1.0121457489880026E-3</v>
      </c>
      <c r="J490">
        <v>4041.54</v>
      </c>
      <c r="K490">
        <v>4053.62</v>
      </c>
      <c r="L490" s="93">
        <f t="shared" ref="L490" si="1064">+K490/J490-1</f>
        <v>2.9889596539933727E-3</v>
      </c>
      <c r="M490" s="92">
        <f t="shared" ref="M490" si="1065">WEEKDAY(A490,2)</f>
        <v>2</v>
      </c>
    </row>
    <row r="491" spans="1:14" x14ac:dyDescent="0.15">
      <c r="A491" s="90">
        <v>43096</v>
      </c>
      <c r="B491">
        <v>48.7</v>
      </c>
      <c r="C491" s="93">
        <f t="shared" ref="C491" si="1066">B491/B490-1</f>
        <v>-1.5166835187057637E-2</v>
      </c>
      <c r="D491" s="26">
        <f t="shared" ref="D491" si="1067">+F490*(1+L491)</f>
        <v>48.639431915177049</v>
      </c>
      <c r="E491" s="26">
        <f>D491*(1-VLOOKUP(A491,FX!A:K,9,0))</f>
        <v>48.620309247885174</v>
      </c>
      <c r="F491">
        <v>48.582999999999998</v>
      </c>
      <c r="G491" s="93">
        <f t="shared" ref="G491" si="1068">+B491/D491-1</f>
        <v>1.2452465507528654E-3</v>
      </c>
      <c r="H491" s="42">
        <f t="shared" ref="H491" si="1069">(+B491/(E491)-1)</f>
        <v>1.6390424772605439E-3</v>
      </c>
      <c r="I491" s="93">
        <f t="shared" si="726"/>
        <v>2.408249799312534E-3</v>
      </c>
      <c r="J491">
        <v>4053.62</v>
      </c>
      <c r="K491">
        <v>3991.21</v>
      </c>
      <c r="L491" s="93">
        <f t="shared" ref="L491" si="1070">+K491/J491-1</f>
        <v>-1.5396115077387584E-2</v>
      </c>
      <c r="M491" s="92">
        <f t="shared" ref="M491" si="1071">WEEKDAY(A491,2)</f>
        <v>3</v>
      </c>
    </row>
    <row r="492" spans="1:14" x14ac:dyDescent="0.15">
      <c r="A492" s="90">
        <v>43097</v>
      </c>
      <c r="B492">
        <v>49.2</v>
      </c>
      <c r="C492" s="93">
        <f t="shared" ref="C492" si="1072">B492/B491-1</f>
        <v>1.0266940451745477E-2</v>
      </c>
      <c r="D492" s="26">
        <f t="shared" ref="D492" si="1073">+F491*(1+L492)</f>
        <v>48.9200564991569</v>
      </c>
      <c r="E492" s="26">
        <f>D492*(1-VLOOKUP(A492,FX!A:K,9,0))</f>
        <v>48.985965607069915</v>
      </c>
      <c r="F492">
        <v>48.993000000000002</v>
      </c>
      <c r="G492" s="93">
        <f t="shared" ref="G492" si="1074">+B492/D492-1</f>
        <v>5.7224688783408251E-3</v>
      </c>
      <c r="H492" s="42">
        <f t="shared" ref="H492" si="1075">(+B492/(E492)-1)</f>
        <v>4.3693002736113762E-3</v>
      </c>
      <c r="I492" s="93">
        <f t="shared" si="726"/>
        <v>4.225093380687106E-3</v>
      </c>
      <c r="J492">
        <v>3991.21</v>
      </c>
      <c r="K492">
        <v>4018.9</v>
      </c>
      <c r="L492" s="93">
        <f t="shared" ref="L492" si="1076">+K492/J492-1</f>
        <v>6.9377456961674522E-3</v>
      </c>
      <c r="M492" s="92">
        <f t="shared" ref="M492" si="1077">WEEKDAY(A492,2)</f>
        <v>4</v>
      </c>
    </row>
    <row r="493" spans="1:14" x14ac:dyDescent="0.15">
      <c r="A493" s="90">
        <v>43098</v>
      </c>
      <c r="B493">
        <v>49.4</v>
      </c>
      <c r="C493" s="93">
        <f t="shared" ref="C493" si="1078">B493/B492-1</f>
        <v>4.0650406504063596E-3</v>
      </c>
      <c r="D493" s="26">
        <f t="shared" ref="D493" si="1079">+F492*(1+L493)</f>
        <v>49.138800164224044</v>
      </c>
      <c r="E493" s="26">
        <f>D493*(1-VLOOKUP(A493,FX!A:K,9,0))</f>
        <v>49.330671309572324</v>
      </c>
      <c r="F493">
        <v>49.338000000000001</v>
      </c>
      <c r="G493" s="93">
        <f t="shared" ref="G493" si="1080">+B493/D493-1</f>
        <v>5.3155517616021442E-3</v>
      </c>
      <c r="H493" s="42">
        <f t="shared" ref="H493" si="1081">(+B493/(E493)-1)</f>
        <v>1.4053871270593987E-3</v>
      </c>
      <c r="I493" s="93">
        <f t="shared" si="726"/>
        <v>1.2566378856053717E-3</v>
      </c>
      <c r="J493">
        <v>4018.9</v>
      </c>
      <c r="K493">
        <v>4030.86</v>
      </c>
      <c r="L493" s="93">
        <f t="shared" ref="L493" si="1082">+K493/J493-1</f>
        <v>2.9759386896912599E-3</v>
      </c>
      <c r="M493" s="92">
        <f t="shared" ref="M493" si="1083">WEEKDAY(A493,2)</f>
        <v>5</v>
      </c>
    </row>
    <row r="494" spans="1:14" x14ac:dyDescent="0.15">
      <c r="A494" s="90">
        <v>43102</v>
      </c>
      <c r="B494">
        <v>50.25</v>
      </c>
      <c r="C494" s="93">
        <f t="shared" ref="C494" si="1084">B494/B493-1</f>
        <v>1.7206477732793601E-2</v>
      </c>
      <c r="D494" s="26">
        <f t="shared" ref="D494" si="1085">+F493*(1+L494)</f>
        <v>50.030053437727929</v>
      </c>
      <c r="E494" s="26">
        <f>D494*(1-VLOOKUP(A494,FX!A:K,9,0))</f>
        <v>50.192037981613161</v>
      </c>
      <c r="F494">
        <v>50.189</v>
      </c>
      <c r="G494" s="93">
        <f t="shared" ref="G494" si="1086">+B494/D494-1</f>
        <v>4.3962887736235245E-3</v>
      </c>
      <c r="H494" s="42">
        <f t="shared" ref="H494" si="1087">(+B494/(E494)-1)</f>
        <v>1.1548050391592124E-3</v>
      </c>
      <c r="I494" s="93">
        <f t="shared" si="726"/>
        <v>1.2154057662037143E-3</v>
      </c>
      <c r="J494">
        <v>4030.86</v>
      </c>
      <c r="K494">
        <v>4087.4</v>
      </c>
      <c r="L494" s="93">
        <f t="shared" ref="L494" si="1088">+K494/J494-1</f>
        <v>1.4026783366328788E-2</v>
      </c>
      <c r="M494" s="92">
        <f t="shared" ref="M494" si="1089">WEEKDAY(A494,2)</f>
        <v>2</v>
      </c>
      <c r="N494" t="s">
        <v>646</v>
      </c>
    </row>
    <row r="495" spans="1:14" x14ac:dyDescent="0.15">
      <c r="A495" s="90">
        <v>43103</v>
      </c>
      <c r="B495">
        <v>50.6</v>
      </c>
      <c r="C495" s="93">
        <f t="shared" ref="C495" si="1090">B495/B494-1</f>
        <v>6.9651741293532687E-3</v>
      </c>
      <c r="D495" s="26">
        <f t="shared" ref="D495" si="1091">+F494*(1+L495)</f>
        <v>50.483572126535208</v>
      </c>
      <c r="E495" s="26">
        <f>D495*(1-VLOOKUP(A495,FX!A:K,9,0))</f>
        <v>50.426130654524769</v>
      </c>
      <c r="F495">
        <v>50.445999999999998</v>
      </c>
      <c r="G495" s="93">
        <f t="shared" ref="G495" si="1092">+B495/D495-1</f>
        <v>2.3062526790491589E-3</v>
      </c>
      <c r="H495" s="42">
        <f t="shared" ref="H495" si="1093">(+B495/(E495)-1)</f>
        <v>3.4480009316286697E-3</v>
      </c>
      <c r="I495" s="93">
        <f t="shared" si="726"/>
        <v>3.0527692978630228E-3</v>
      </c>
      <c r="J495">
        <v>4087.4</v>
      </c>
      <c r="K495">
        <v>4111.3900000000003</v>
      </c>
      <c r="L495" s="93">
        <f t="shared" ref="L495" si="1094">+K495/J495-1</f>
        <v>5.869256740226092E-3</v>
      </c>
      <c r="M495" s="92">
        <f t="shared" ref="M495" si="1095">WEEKDAY(A495,2)</f>
        <v>3</v>
      </c>
    </row>
    <row r="496" spans="1:14" x14ac:dyDescent="0.15">
      <c r="A496" s="90">
        <v>43104</v>
      </c>
      <c r="B496">
        <v>50.85</v>
      </c>
      <c r="C496" s="93">
        <f t="shared" ref="C496" si="1096">B496/B495-1</f>
        <v>4.9407114624506754E-3</v>
      </c>
      <c r="D496" s="26">
        <f t="shared" ref="D496" si="1097">+F495*(1+L496)</f>
        <v>50.659740199786441</v>
      </c>
      <c r="E496" s="26">
        <f>D496*(1-VLOOKUP(A496,FX!A:K,9,0))</f>
        <v>50.656351540201442</v>
      </c>
      <c r="F496">
        <v>50.655000000000001</v>
      </c>
      <c r="G496" s="93">
        <f t="shared" ref="G496" si="1098">+B496/D496-1</f>
        <v>3.7556410566503828E-3</v>
      </c>
      <c r="H496" s="42">
        <f t="shared" ref="H496" si="1099">(+B496/(E496)-1)</f>
        <v>3.822787348687795E-3</v>
      </c>
      <c r="I496" s="93">
        <f t="shared" si="726"/>
        <v>3.8495706248149464E-3</v>
      </c>
      <c r="J496">
        <v>4111.3900000000003</v>
      </c>
      <c r="K496">
        <v>4128.8100000000004</v>
      </c>
      <c r="L496" s="93">
        <f t="shared" ref="L496" si="1100">+K496/J496-1</f>
        <v>4.2370098677089185E-3</v>
      </c>
      <c r="M496" s="92">
        <f t="shared" ref="M496" si="1101">WEEKDAY(A496,2)</f>
        <v>4</v>
      </c>
    </row>
    <row r="497" spans="1:13" x14ac:dyDescent="0.15">
      <c r="A497" s="90">
        <v>43105</v>
      </c>
      <c r="B497">
        <v>51.1</v>
      </c>
      <c r="C497" s="93">
        <f t="shared" ref="C497" si="1102">B497/B496-1</f>
        <v>4.9164208456244918E-3</v>
      </c>
      <c r="D497" s="26">
        <f t="shared" ref="D497" si="1103">+F496*(1+L497)</f>
        <v>50.77695056202635</v>
      </c>
      <c r="E497" s="26">
        <f>D497*(1-VLOOKUP(A497,FX!A:K,9,0))</f>
        <v>50.93593144331934</v>
      </c>
      <c r="F497">
        <v>50.953000000000003</v>
      </c>
      <c r="G497" s="93">
        <f t="shared" ref="G497" si="1104">+B497/D497-1</f>
        <v>6.362127587379085E-3</v>
      </c>
      <c r="H497" s="42">
        <f t="shared" ref="H497" si="1105">(+B497/(E497)-1)</f>
        <v>3.2210769889078339E-3</v>
      </c>
      <c r="I497" s="93">
        <f t="shared" si="726"/>
        <v>2.885011677428162E-3</v>
      </c>
      <c r="J497">
        <v>4128.8100000000004</v>
      </c>
      <c r="K497">
        <v>4138.75</v>
      </c>
      <c r="L497" s="93">
        <f t="shared" ref="L497" si="1106">+K497/J497-1</f>
        <v>2.4074733397758674E-3</v>
      </c>
      <c r="M497" s="92">
        <f t="shared" ref="M497" si="1107">WEEKDAY(A497,2)</f>
        <v>5</v>
      </c>
    </row>
    <row r="498" spans="1:13" x14ac:dyDescent="0.15">
      <c r="A498" s="90">
        <v>43108</v>
      </c>
      <c r="B498">
        <v>51.25</v>
      </c>
      <c r="C498" s="93">
        <f t="shared" ref="C498" si="1108">B498/B497-1</f>
        <v>2.9354207436398383E-3</v>
      </c>
      <c r="D498" s="26">
        <f t="shared" ref="D498" si="1109">+F497*(1+L498)</f>
        <v>51.216582900634243</v>
      </c>
      <c r="E498" s="26">
        <f>D498*(1-VLOOKUP(A498,FX!A:K,9,0))</f>
        <v>51.173466610113429</v>
      </c>
      <c r="F498">
        <v>51.173999999999999</v>
      </c>
      <c r="G498" s="93">
        <f t="shared" ref="G498" si="1110">+B498/D498-1</f>
        <v>6.5246639805294215E-4</v>
      </c>
      <c r="H498" s="42">
        <f t="shared" ref="H498" si="1111">(+B498/(E498)-1)</f>
        <v>1.4955678197390299E-3</v>
      </c>
      <c r="I498" s="93">
        <f t="shared" si="726"/>
        <v>1.4851291671551525E-3</v>
      </c>
      <c r="J498">
        <v>4138.75</v>
      </c>
      <c r="K498">
        <v>4160.16</v>
      </c>
      <c r="L498" s="93">
        <f t="shared" ref="L498" si="1112">+K498/J498-1</f>
        <v>5.1730594986407752E-3</v>
      </c>
      <c r="M498" s="92">
        <f t="shared" ref="M498" si="1113">WEEKDAY(A498,2)</f>
        <v>1</v>
      </c>
    </row>
    <row r="499" spans="1:13" x14ac:dyDescent="0.15">
      <c r="A499" s="90">
        <v>43109</v>
      </c>
      <c r="B499">
        <v>51.45</v>
      </c>
      <c r="C499" s="93">
        <f t="shared" ref="C499" si="1114">B499/B498-1</f>
        <v>3.9024390243902474E-3</v>
      </c>
      <c r="D499" s="26">
        <f t="shared" ref="D499" si="1115">+F498*(1+L499)</f>
        <v>51.532450242298374</v>
      </c>
      <c r="E499" s="26">
        <f>D499*(1-VLOOKUP(A499,FX!A:K,9,0))</f>
        <v>51.420667174102014</v>
      </c>
      <c r="F499">
        <v>51.427</v>
      </c>
      <c r="G499" s="93">
        <f t="shared" ref="G499" si="1116">+B499/D499-1</f>
        <v>-1.5999674362601191E-3</v>
      </c>
      <c r="H499" s="42">
        <f t="shared" ref="H499" si="1117">(+B499/(E499)-1)</f>
        <v>5.7044817794116298E-4</v>
      </c>
      <c r="I499" s="93">
        <f t="shared" si="726"/>
        <v>4.4723588776340861E-4</v>
      </c>
      <c r="J499">
        <v>4160.16</v>
      </c>
      <c r="K499">
        <v>4189.3</v>
      </c>
      <c r="L499" s="93">
        <f t="shared" ref="L499" si="1118">+K499/J499-1</f>
        <v>7.0045382869889927E-3</v>
      </c>
      <c r="M499" s="92">
        <f t="shared" ref="M499" si="1119">WEEKDAY(A499,2)</f>
        <v>2</v>
      </c>
    </row>
    <row r="500" spans="1:13" x14ac:dyDescent="0.15">
      <c r="A500" s="90">
        <v>43110</v>
      </c>
      <c r="B500">
        <v>51.5</v>
      </c>
      <c r="C500" s="93">
        <f t="shared" ref="C500" si="1120">B500/B499-1</f>
        <v>9.7181729834794339E-4</v>
      </c>
      <c r="D500" s="26">
        <f t="shared" ref="D500" si="1121">+F499*(1+L500)</f>
        <v>51.65422501849951</v>
      </c>
      <c r="E500" s="26">
        <f>D500*(1-VLOOKUP(A500,FX!A:K,9,0))</f>
        <v>51.412154864299687</v>
      </c>
      <c r="F500">
        <v>51.41</v>
      </c>
      <c r="G500" s="93">
        <f t="shared" ref="G500" si="1122">+B500/D500-1</f>
        <v>-2.9857193374651647E-3</v>
      </c>
      <c r="H500" s="42">
        <f t="shared" ref="H500" si="1123">(+B500/(E500)-1)</f>
        <v>1.708645279159704E-3</v>
      </c>
      <c r="I500" s="93">
        <f t="shared" si="726"/>
        <v>1.750632172729194E-3</v>
      </c>
      <c r="J500">
        <v>4189.3</v>
      </c>
      <c r="K500">
        <v>4207.8100000000004</v>
      </c>
      <c r="L500" s="93">
        <f t="shared" ref="L500" si="1124">+K500/J500-1</f>
        <v>4.4183992552455642E-3</v>
      </c>
      <c r="M500" s="92">
        <f t="shared" ref="M500" si="1125">WEEKDAY(A500,2)</f>
        <v>3</v>
      </c>
    </row>
    <row r="501" spans="1:13" x14ac:dyDescent="0.15">
      <c r="A501" s="90">
        <v>43111</v>
      </c>
      <c r="B501">
        <v>51.75</v>
      </c>
      <c r="C501" s="93">
        <f t="shared" ref="C501" si="1126">B501/B500-1</f>
        <v>4.8543689320388328E-3</v>
      </c>
      <c r="D501" s="26">
        <f t="shared" ref="D501" si="1127">+F500*(1+L501)</f>
        <v>51.382876579503346</v>
      </c>
      <c r="E501" s="26">
        <f>D501*(1-VLOOKUP(A501,FX!A:K,9,0))</f>
        <v>51.470803356289942</v>
      </c>
      <c r="F501">
        <v>51.472999999999999</v>
      </c>
      <c r="G501" s="93">
        <f t="shared" ref="G501" si="1128">+B501/D501-1</f>
        <v>7.1448592398015709E-3</v>
      </c>
      <c r="H501" s="42">
        <f t="shared" ref="H501" si="1129">(+B501/(E501)-1)</f>
        <v>5.4243692638213936E-3</v>
      </c>
      <c r="I501" s="93">
        <f t="shared" si="726"/>
        <v>5.3814621257746165E-3</v>
      </c>
      <c r="J501">
        <v>4207.8100000000004</v>
      </c>
      <c r="K501">
        <v>4205.59</v>
      </c>
      <c r="L501" s="93">
        <f t="shared" ref="L501" si="1130">+K501/J501-1</f>
        <v>-5.2759036173222196E-4</v>
      </c>
      <c r="M501" s="92">
        <f t="shared" ref="M501" si="1131">WEEKDAY(A501,2)</f>
        <v>4</v>
      </c>
    </row>
    <row r="502" spans="1:13" x14ac:dyDescent="0.15">
      <c r="A502" s="90">
        <v>43112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508"/>
  <sheetViews>
    <sheetView zoomScale="115" zoomScaleNormal="115" workbookViewId="0">
      <pane xSplit="1" ySplit="2" topLeftCell="B482" activePane="bottomRight" state="frozen"/>
      <selection pane="topRight" activeCell="B1" sqref="B1"/>
      <selection pane="bottomLeft" activeCell="A3" sqref="A3"/>
      <selection pane="bottomRight" activeCell="G496" sqref="G496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125" bestFit="1" customWidth="1" collapsed="1"/>
    <col min="12" max="12" width="12.875" bestFit="1" customWidth="1" collapsed="1"/>
    <col min="14" max="16" width="28.875" style="50" customWidth="1"/>
    <col min="17" max="17" width="18.375" bestFit="1" customWidth="1" collapsed="1"/>
    <col min="18" max="18" width="19.375" bestFit="1" customWidth="1" collapsed="1"/>
  </cols>
  <sheetData>
    <row r="1" spans="1:19" x14ac:dyDescent="0.15">
      <c r="J1" t="s">
        <v>219</v>
      </c>
      <c r="Q1" t="s">
        <v>34</v>
      </c>
    </row>
    <row r="2" spans="1:19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7"/>
      <c r="O2" s="87" t="s">
        <v>636</v>
      </c>
      <c r="P2" s="87"/>
      <c r="Q2" s="37" t="s">
        <v>35</v>
      </c>
      <c r="R2" s="37" t="s">
        <v>47</v>
      </c>
    </row>
    <row r="3" spans="1:19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 x14ac:dyDescent="0.15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 x14ac:dyDescent="0.15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 x14ac:dyDescent="0.15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 x14ac:dyDescent="0.15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 x14ac:dyDescent="0.15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 x14ac:dyDescent="0.15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 x14ac:dyDescent="0.15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 x14ac:dyDescent="0.15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 x14ac:dyDescent="0.15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 x14ac:dyDescent="0.15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 x14ac:dyDescent="0.15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 x14ac:dyDescent="0.15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 x14ac:dyDescent="0.15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 x14ac:dyDescent="0.15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 x14ac:dyDescent="0.15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 x14ac:dyDescent="0.15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 x14ac:dyDescent="0.15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 x14ac:dyDescent="0.15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 x14ac:dyDescent="0.15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 x14ac:dyDescent="0.15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 x14ac:dyDescent="0.15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 x14ac:dyDescent="0.15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 x14ac:dyDescent="0.15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 x14ac:dyDescent="0.15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 x14ac:dyDescent="0.15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 x14ac:dyDescent="0.15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 x14ac:dyDescent="0.15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 x14ac:dyDescent="0.15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 x14ac:dyDescent="0.15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 x14ac:dyDescent="0.15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 x14ac:dyDescent="0.15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 x14ac:dyDescent="0.15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 x14ac:dyDescent="0.15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 x14ac:dyDescent="0.15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 x14ac:dyDescent="0.15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 x14ac:dyDescent="0.15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 x14ac:dyDescent="0.15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 x14ac:dyDescent="0.15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 x14ac:dyDescent="0.15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 x14ac:dyDescent="0.15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 x14ac:dyDescent="0.15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 x14ac:dyDescent="0.15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 x14ac:dyDescent="0.15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 x14ac:dyDescent="0.15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 x14ac:dyDescent="0.15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 x14ac:dyDescent="0.15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 x14ac:dyDescent="0.15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 x14ac:dyDescent="0.15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 x14ac:dyDescent="0.15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 x14ac:dyDescent="0.15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 x14ac:dyDescent="0.15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 x14ac:dyDescent="0.15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 x14ac:dyDescent="0.15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 x14ac:dyDescent="0.15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 x14ac:dyDescent="0.15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 x14ac:dyDescent="0.15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 x14ac:dyDescent="0.15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 x14ac:dyDescent="0.15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 x14ac:dyDescent="0.15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 x14ac:dyDescent="0.15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 x14ac:dyDescent="0.15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 x14ac:dyDescent="0.15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 x14ac:dyDescent="0.15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 x14ac:dyDescent="0.15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 x14ac:dyDescent="0.15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 x14ac:dyDescent="0.15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 x14ac:dyDescent="0.15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 x14ac:dyDescent="0.15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 x14ac:dyDescent="0.15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 x14ac:dyDescent="0.15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 x14ac:dyDescent="0.15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 x14ac:dyDescent="0.15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 x14ac:dyDescent="0.15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 x14ac:dyDescent="0.15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 x14ac:dyDescent="0.15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 x14ac:dyDescent="0.15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 x14ac:dyDescent="0.15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 x14ac:dyDescent="0.15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 x14ac:dyDescent="0.15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 x14ac:dyDescent="0.15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 x14ac:dyDescent="0.15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 x14ac:dyDescent="0.15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 x14ac:dyDescent="0.15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 x14ac:dyDescent="0.15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 x14ac:dyDescent="0.15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 x14ac:dyDescent="0.15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 x14ac:dyDescent="0.15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 x14ac:dyDescent="0.15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 x14ac:dyDescent="0.15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 x14ac:dyDescent="0.15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 x14ac:dyDescent="0.15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 x14ac:dyDescent="0.15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 x14ac:dyDescent="0.15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 x14ac:dyDescent="0.15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 x14ac:dyDescent="0.15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 x14ac:dyDescent="0.15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 x14ac:dyDescent="0.15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 x14ac:dyDescent="0.15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 x14ac:dyDescent="0.15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 x14ac:dyDescent="0.15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 x14ac:dyDescent="0.15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 x14ac:dyDescent="0.15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 x14ac:dyDescent="0.15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 x14ac:dyDescent="0.15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 x14ac:dyDescent="0.15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 x14ac:dyDescent="0.15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 x14ac:dyDescent="0.15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 x14ac:dyDescent="0.15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 x14ac:dyDescent="0.15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 x14ac:dyDescent="0.15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 x14ac:dyDescent="0.15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 x14ac:dyDescent="0.15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 x14ac:dyDescent="0.15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 x14ac:dyDescent="0.15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 x14ac:dyDescent="0.15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 x14ac:dyDescent="0.15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 x14ac:dyDescent="0.15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 x14ac:dyDescent="0.15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 x14ac:dyDescent="0.15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 x14ac:dyDescent="0.15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 x14ac:dyDescent="0.15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 x14ac:dyDescent="0.15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 x14ac:dyDescent="0.15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 x14ac:dyDescent="0.15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 x14ac:dyDescent="0.15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 x14ac:dyDescent="0.15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 x14ac:dyDescent="0.15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 x14ac:dyDescent="0.15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 x14ac:dyDescent="0.15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 x14ac:dyDescent="0.15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 x14ac:dyDescent="0.15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 x14ac:dyDescent="0.15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 x14ac:dyDescent="0.15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 x14ac:dyDescent="0.15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 x14ac:dyDescent="0.15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 x14ac:dyDescent="0.15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 x14ac:dyDescent="0.15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 x14ac:dyDescent="0.15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 x14ac:dyDescent="0.15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 x14ac:dyDescent="0.15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 x14ac:dyDescent="0.15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 x14ac:dyDescent="0.15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 x14ac:dyDescent="0.15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 x14ac:dyDescent="0.15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 x14ac:dyDescent="0.15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 x14ac:dyDescent="0.15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 x14ac:dyDescent="0.15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 x14ac:dyDescent="0.15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 x14ac:dyDescent="0.15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 x14ac:dyDescent="0.15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 x14ac:dyDescent="0.15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 x14ac:dyDescent="0.15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 x14ac:dyDescent="0.15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 x14ac:dyDescent="0.15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 x14ac:dyDescent="0.15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 x14ac:dyDescent="0.15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 x14ac:dyDescent="0.15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 x14ac:dyDescent="0.15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 x14ac:dyDescent="0.15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 x14ac:dyDescent="0.15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 x14ac:dyDescent="0.15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 x14ac:dyDescent="0.15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 x14ac:dyDescent="0.15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 x14ac:dyDescent="0.15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 x14ac:dyDescent="0.15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 x14ac:dyDescent="0.15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 x14ac:dyDescent="0.15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 x14ac:dyDescent="0.15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 x14ac:dyDescent="0.15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 x14ac:dyDescent="0.15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 x14ac:dyDescent="0.15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 x14ac:dyDescent="0.15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 x14ac:dyDescent="0.15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 x14ac:dyDescent="0.15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 x14ac:dyDescent="0.15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 x14ac:dyDescent="0.15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 x14ac:dyDescent="0.15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 x14ac:dyDescent="0.15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 x14ac:dyDescent="0.15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 x14ac:dyDescent="0.15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 x14ac:dyDescent="0.15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 x14ac:dyDescent="0.15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 x14ac:dyDescent="0.15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 x14ac:dyDescent="0.15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 x14ac:dyDescent="0.15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 x14ac:dyDescent="0.15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 x14ac:dyDescent="0.15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 x14ac:dyDescent="0.15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 x14ac:dyDescent="0.15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 x14ac:dyDescent="0.15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 x14ac:dyDescent="0.15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 x14ac:dyDescent="0.15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 x14ac:dyDescent="0.15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 x14ac:dyDescent="0.15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 x14ac:dyDescent="0.15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 x14ac:dyDescent="0.15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 x14ac:dyDescent="0.15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 x14ac:dyDescent="0.15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 x14ac:dyDescent="0.15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 x14ac:dyDescent="0.15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 x14ac:dyDescent="0.15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 x14ac:dyDescent="0.15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 x14ac:dyDescent="0.15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 x14ac:dyDescent="0.15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 x14ac:dyDescent="0.15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 x14ac:dyDescent="0.15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 x14ac:dyDescent="0.15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 x14ac:dyDescent="0.15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 x14ac:dyDescent="0.15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 x14ac:dyDescent="0.15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 x14ac:dyDescent="0.15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 x14ac:dyDescent="0.15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 x14ac:dyDescent="0.15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 x14ac:dyDescent="0.15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 x14ac:dyDescent="0.15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 x14ac:dyDescent="0.15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 x14ac:dyDescent="0.15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 x14ac:dyDescent="0.15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 x14ac:dyDescent="0.15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 x14ac:dyDescent="0.15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 x14ac:dyDescent="0.15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7" x14ac:dyDescent="0.15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 x14ac:dyDescent="0.15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 x14ac:dyDescent="0.15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4" x14ac:dyDescent="0.15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 x14ac:dyDescent="0.15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 x14ac:dyDescent="0.15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 x14ac:dyDescent="0.15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 x14ac:dyDescent="0.15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 x14ac:dyDescent="0.15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 x14ac:dyDescent="0.15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 x14ac:dyDescent="0.15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 x14ac:dyDescent="0.15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 x14ac:dyDescent="0.15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7" x14ac:dyDescent="0.15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 x14ac:dyDescent="0.15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 x14ac:dyDescent="0.15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 x14ac:dyDescent="0.15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 x14ac:dyDescent="0.15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 x14ac:dyDescent="0.15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 x14ac:dyDescent="0.15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 x14ac:dyDescent="0.15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 x14ac:dyDescent="0.15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 x14ac:dyDescent="0.15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 x14ac:dyDescent="0.15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 x14ac:dyDescent="0.15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 x14ac:dyDescent="0.15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 x14ac:dyDescent="0.15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 x14ac:dyDescent="0.15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7" x14ac:dyDescent="0.15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 x14ac:dyDescent="0.15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 x14ac:dyDescent="0.15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7" x14ac:dyDescent="0.15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 x14ac:dyDescent="0.15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 x14ac:dyDescent="0.15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4" x14ac:dyDescent="0.15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 x14ac:dyDescent="0.15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 x14ac:dyDescent="0.15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 x14ac:dyDescent="0.15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 x14ac:dyDescent="0.15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 x14ac:dyDescent="0.15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 x14ac:dyDescent="0.15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 x14ac:dyDescent="0.15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 x14ac:dyDescent="0.15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 x14ac:dyDescent="0.15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 x14ac:dyDescent="0.15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 x14ac:dyDescent="0.15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 x14ac:dyDescent="0.15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 x14ac:dyDescent="0.15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 x14ac:dyDescent="0.15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 x14ac:dyDescent="0.15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 x14ac:dyDescent="0.15">
      <c r="A325" s="1">
        <v>42856</v>
      </c>
      <c r="B325">
        <v>38.6</v>
      </c>
      <c r="C325" s="25">
        <f t="shared" ref="C325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" si="83">+K325/J325-1</f>
        <v>0</v>
      </c>
      <c r="M325">
        <f t="shared" ref="M325" si="84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85">B326/B325-1</f>
        <v>-3.3678756476684946E-3</v>
      </c>
      <c r="D326" s="38">
        <f t="shared" si="81"/>
        <v>38.403909994297436</v>
      </c>
      <c r="E326" s="38"/>
      <c r="F326">
        <v>38.4</v>
      </c>
      <c r="G326" s="42">
        <f t="shared" ref="G326" si="86">+B326/D326-1</f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ref="L326" si="87">+K326/J326-1</f>
        <v>-1.9773910005863593E-3</v>
      </c>
      <c r="M326">
        <f t="shared" ref="M326" si="88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89">B327/B326-1</f>
        <v>-4.6789706264621644E-3</v>
      </c>
      <c r="D327" s="38">
        <f t="shared" si="81"/>
        <v>38.4</v>
      </c>
      <c r="E327" s="38"/>
      <c r="F327">
        <v>38.4</v>
      </c>
      <c r="G327" s="42">
        <f t="shared" ref="G327" si="90">+B327/D327-1</f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ref="L327" si="91">+K327/J327-1</f>
        <v>0</v>
      </c>
      <c r="M327">
        <f t="shared" ref="M327" si="92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93">B328/B327-1</f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ref="G328" si="94">+B328/D328-1</f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ref="L328" si="95">+K328/J328-1</f>
        <v>-8.0695306691422886E-3</v>
      </c>
      <c r="M328">
        <f t="shared" ref="M328" si="96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97">B329/B328-1</f>
        <v>5.2980132450342055E-4</v>
      </c>
      <c r="D329" s="38">
        <f t="shared" si="81"/>
        <v>37.601797900569146</v>
      </c>
      <c r="E329" s="38"/>
      <c r="F329">
        <v>37.6</v>
      </c>
      <c r="G329" s="42">
        <f t="shared" ref="G329" si="98">+B329/D329-1</f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ref="L329" si="99">+K329/J329-1</f>
        <v>-1.2817067456835307E-2</v>
      </c>
      <c r="M329">
        <f t="shared" ref="M329" si="100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01">B330/B329-1</f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ref="G330" si="102">+B330/D330-1</f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ref="L330" si="103">+K330/J330-1</f>
        <v>4.352089612566834E-3</v>
      </c>
      <c r="M330">
        <f t="shared" ref="M330" si="104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05">B331/B330-1</f>
        <v>1.7264276228419639E-2</v>
      </c>
      <c r="D331" s="38">
        <f t="shared" si="81"/>
        <v>38.312299269879453</v>
      </c>
      <c r="E331" s="38"/>
      <c r="F331">
        <v>38.31</v>
      </c>
      <c r="G331" s="42">
        <f t="shared" ref="G331" si="106">+B331/D331-1</f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ref="L331" si="107">+K331/J331-1</f>
        <v>1.4626569647231413E-2</v>
      </c>
      <c r="M331">
        <f t="shared" ref="M331" si="108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09">B332/B331-1</f>
        <v>9.9216710182767898E-3</v>
      </c>
      <c r="D332" s="38">
        <f t="shared" si="81"/>
        <v>38.573329244921425</v>
      </c>
      <c r="E332" s="38"/>
      <c r="F332">
        <v>38.58</v>
      </c>
      <c r="G332" s="42">
        <f t="shared" ref="G332" si="110">+B332/D332-1</f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ref="L332" si="111">+K332/J332-1</f>
        <v>6.8736425194837469E-3</v>
      </c>
      <c r="M332">
        <f t="shared" ref="M332" si="11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13">B333/B332-1</f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ref="G333" si="114">+B333/D333-1</f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ref="L333" si="115">+K333/J333-1</f>
        <v>4.0299323557368982E-3</v>
      </c>
      <c r="M333">
        <f t="shared" ref="M333" si="116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17">B334/B333-1</f>
        <v>1.0608020698577025E-2</v>
      </c>
      <c r="D334" s="38">
        <f t="shared" si="81"/>
        <v>38.847896732639647</v>
      </c>
      <c r="E334" s="38"/>
      <c r="F334">
        <v>38.85</v>
      </c>
      <c r="G334" s="42">
        <f t="shared" ref="G334" si="118">+B334/D334-1</f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ref="L334" si="119">+K334/J334-1</f>
        <v>3.0440674577756344E-3</v>
      </c>
      <c r="M334">
        <f t="shared" ref="M334" si="120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21">B335/B334-1</f>
        <v>1.3056835637480724E-2</v>
      </c>
      <c r="D335" s="38">
        <f t="shared" si="81"/>
        <v>39.39170018017689</v>
      </c>
      <c r="E335" s="38"/>
      <c r="F335">
        <v>39.39</v>
      </c>
      <c r="G335" s="42">
        <f t="shared" ref="G335" si="122">+B335/D335-1</f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ref="L335" si="123">+K335/J335-1</f>
        <v>1.3943376581129652E-2</v>
      </c>
      <c r="M335">
        <f t="shared" ref="M335" si="124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25">B336/B335-1</f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ref="G336" si="126">+B336/D336-1</f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ref="L336" si="127">+K336/J336-1</f>
        <v>-9.5853611145013673E-4</v>
      </c>
      <c r="M336">
        <f t="shared" ref="M336" si="128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29">B337/B336-1</f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ref="G337" si="130">+B337/D337-1</f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ref="L337" si="131">+K337/J337-1</f>
        <v>-3.0157555417476001E-3</v>
      </c>
      <c r="M337">
        <f t="shared" ref="M337" si="132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33">B338/B337-1</f>
        <v>3.0832476875641834E-3</v>
      </c>
      <c r="D338" s="38">
        <f t="shared" si="81"/>
        <v>39.003562108386348</v>
      </c>
      <c r="E338" s="38"/>
      <c r="F338">
        <v>39</v>
      </c>
      <c r="G338" s="42">
        <f t="shared" ref="G338" si="134">+B338/D338-1</f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ref="L338" si="135">+K338/J338-1</f>
        <v>-6.5317853187378816E-3</v>
      </c>
      <c r="M338">
        <f t="shared" ref="M338" si="136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37">B339/B338-1</f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ref="G339" si="138">+B339/D339-1</f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ref="L339" si="139">+K339/J339-1</f>
        <v>3.8844450380994822E-3</v>
      </c>
      <c r="M339">
        <f t="shared" ref="M339" si="140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41">B340/B339-1</f>
        <v>4.8174442190671574E-3</v>
      </c>
      <c r="D340" s="38">
        <f t="shared" si="81"/>
        <v>39.546197158752328</v>
      </c>
      <c r="E340" s="38"/>
      <c r="F340">
        <v>39.54</v>
      </c>
      <c r="G340" s="42">
        <f t="shared" ref="G340" si="142">+B340/D340-1</f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ref="L340" si="143">+K340/J340-1</f>
        <v>9.8620316331035074E-3</v>
      </c>
      <c r="M340">
        <f t="shared" ref="M340" si="144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45">B341/B340-1</f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ref="G341" si="146">+B341/D341-1</f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ref="L341" si="147">+K341/J341-1</f>
        <v>5.478578925319777E-4</v>
      </c>
      <c r="M341">
        <f t="shared" ref="M341" si="148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49">B342/B341-1</f>
        <v>2.5265285497733103E-4</v>
      </c>
      <c r="D342" s="38">
        <f t="shared" si="81"/>
        <v>39.579619821483739</v>
      </c>
      <c r="E342" s="38"/>
      <c r="F342">
        <v>39.58</v>
      </c>
      <c r="G342" s="42">
        <f t="shared" ref="G342" si="150">+B342/D342-1</f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ref="L342" si="151">+K342/J342-1</f>
        <v>2.4310895839629865E-4</v>
      </c>
      <c r="M342">
        <f t="shared" ref="M342" si="15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53">B343/B342-1</f>
        <v>1.6418287446324786E-2</v>
      </c>
      <c r="D343" s="38">
        <f t="shared" si="81"/>
        <v>40.187078917505382</v>
      </c>
      <c r="E343" s="38"/>
      <c r="F343">
        <v>40.19</v>
      </c>
      <c r="G343" s="42">
        <f t="shared" ref="G343" si="154">+B343/D343-1</f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ref="L343" si="155">+K343/J343-1</f>
        <v>1.5338022170424015E-2</v>
      </c>
      <c r="M343">
        <f t="shared" ref="M343" si="156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57">B344/B343-1</f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ref="G344" si="158">+B344/D344-1</f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ref="L344" si="159">+K344/J344-1</f>
        <v>5.430340643042264E-5</v>
      </c>
      <c r="M344">
        <f t="shared" ref="M344" si="160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61">B345/B344-1</f>
        <v>0</v>
      </c>
      <c r="D345" s="38">
        <f t="shared" si="81"/>
        <v>40.32919076249479</v>
      </c>
      <c r="E345" s="38"/>
      <c r="F345">
        <v>40.200000000000003</v>
      </c>
      <c r="G345" s="42">
        <f t="shared" ref="G345" si="162">+B345/D345-1</f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ref="L345" si="163">+K345/J345-1</f>
        <v>3.2137005595718193E-3</v>
      </c>
      <c r="M345">
        <f t="shared" ref="M345" si="164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65">B346/B345-1</f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ref="G346" si="166">+B346/D346-1</f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ref="L346" si="167">+K346/J346-1</f>
        <v>0</v>
      </c>
      <c r="M346">
        <f t="shared" ref="M346" si="168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169">B347/B346-1</f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ref="G347" si="170">+B347/D347-1</f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ref="L347" si="171">+K347/J347-1</f>
        <v>-4.0307681601349232E-3</v>
      </c>
      <c r="M347">
        <f t="shared" ref="M347" si="172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173">B348/B347-1</f>
        <v>8.9686098654708779E-3</v>
      </c>
      <c r="D348" s="38">
        <f t="shared" si="81"/>
        <v>40.312869484687589</v>
      </c>
      <c r="E348" s="38"/>
      <c r="F348">
        <v>40.31</v>
      </c>
      <c r="G348" s="42">
        <f t="shared" ref="G348" si="174">+B348/D348-1</f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ref="L348" si="175">+K348/J348-1</f>
        <v>3.0572153443042538E-3</v>
      </c>
      <c r="M348">
        <f t="shared" ref="M348" si="176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177">B349/B348-1</f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ref="G349" si="178">+B349/D349-1</f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ref="L349" si="179">+K349/J349-1</f>
        <v>1.2892610963806117E-3</v>
      </c>
      <c r="M349">
        <f t="shared" ref="M349" si="180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181">B350/B349-1</f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ref="G350" si="182">+B350/D350-1</f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ref="L350" si="183">+K350/J350-1</f>
        <v>-2.5039754406114278E-3</v>
      </c>
      <c r="M350">
        <f t="shared" ref="M350" si="184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185">B351/B350-1</f>
        <v>6.4532141970712331E-3</v>
      </c>
      <c r="D351" s="38">
        <f t="shared" si="81"/>
        <v>40.39974214886098</v>
      </c>
      <c r="E351" s="38"/>
      <c r="F351">
        <v>40.43</v>
      </c>
      <c r="G351" s="42">
        <f t="shared" ref="G351" si="186">+B351/D351-1</f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ref="L351" si="187">+K351/J351-1</f>
        <v>2.2262998973201498E-3</v>
      </c>
      <c r="M351">
        <f t="shared" ref="M351" si="188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189">B352/B351-1</f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ref="G352" si="190">+B352/D352-1</f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ref="L352" si="191">+K352/J352-1</f>
        <v>1.8281162063327194E-4</v>
      </c>
      <c r="M352">
        <f t="shared" ref="M352" si="19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193">B353/B352-1</f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ref="G353" si="194">+B353/D353-1</f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ref="L353" si="195">+K353/J353-1</f>
        <v>1.3147882478581341E-3</v>
      </c>
      <c r="M353">
        <f t="shared" ref="M353" si="196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197">B354/B353-1</f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ref="G354" si="198">+B354/D354-1</f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ref="L354" si="199">+K354/J354-1</f>
        <v>-4.9527965018839604E-3</v>
      </c>
      <c r="M354">
        <f t="shared" ref="M354" si="200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01">B355/B354-1</f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ref="G355" si="202">+B355/D355-1</f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ref="L355" si="203">+K355/J355-1</f>
        <v>-1.2041535455108776E-2</v>
      </c>
      <c r="M355">
        <f t="shared" ref="M355" si="204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05">B356/B355-1</f>
        <v>5.7673019057171704E-3</v>
      </c>
      <c r="D356" s="38">
        <f t="shared" si="81"/>
        <v>40.042640228294339</v>
      </c>
      <c r="E356" s="38"/>
      <c r="F356">
        <v>40.08</v>
      </c>
      <c r="G356" s="42">
        <f t="shared" ref="G356" si="206">+B356/D356-1</f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ref="L356" si="207">+K356/J356-1</f>
        <v>4.5820428573593031E-3</v>
      </c>
      <c r="M356">
        <f t="shared" ref="M356" si="208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09">B357/B356-1</f>
        <v>-4.487658937920691E-3</v>
      </c>
      <c r="D357" s="38">
        <f t="shared" si="81"/>
        <v>40.13505805015582</v>
      </c>
      <c r="E357" s="38"/>
      <c r="F357">
        <v>40.14</v>
      </c>
      <c r="G357" s="42">
        <f t="shared" ref="G357" si="210">+B357/D357-1</f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ref="L357" si="211">+K357/J357-1</f>
        <v>1.373703846203167E-3</v>
      </c>
      <c r="M357">
        <f t="shared" ref="M357" si="212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13">B358/B357-1</f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ref="G358" si="214">+B358/D358-1</f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ref="L358" si="215">+K358/J358-1</f>
        <v>-1.5910874122188945E-2</v>
      </c>
      <c r="M358">
        <f t="shared" ref="M358" si="216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17">B359/B358-1</f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ref="G359" si="218">+B359/D359-1</f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ref="L359" si="219">+K359/J359-1</f>
        <v>3.4549644785226707E-3</v>
      </c>
      <c r="M359">
        <f t="shared" ref="M359" si="220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21">B360/B359-1</f>
        <v>1.4148559878726763E-2</v>
      </c>
      <c r="D360" s="38">
        <f t="shared" si="81"/>
        <v>40.13939935757994</v>
      </c>
      <c r="E360" s="38"/>
      <c r="F360">
        <v>40.14</v>
      </c>
      <c r="G360" s="42">
        <f t="shared" ref="G360" si="222">+B360/D360-1</f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ref="L360" si="223">+K360/J360-1</f>
        <v>1.2087729641450995E-2</v>
      </c>
      <c r="M360">
        <f t="shared" ref="M360" si="224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25">B361/B360-1</f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ref="G361:G362" si="226">+B361/D361-1</f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ref="L361" si="227">+K361/J361-1</f>
        <v>-3.8940770858756357E-3</v>
      </c>
      <c r="M361">
        <f t="shared" ref="M361" si="228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25"/>
        <v>-1.0121457489880026E-3</v>
      </c>
      <c r="D362" s="38">
        <f t="shared" si="81"/>
        <v>39.743890848798188</v>
      </c>
      <c r="F362">
        <v>39.57</v>
      </c>
      <c r="G362" s="42">
        <f t="shared" si="226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ref="L362:L363" si="229">+K362/J362-1</f>
        <v>-5.9056816208555851E-3</v>
      </c>
      <c r="M362">
        <f t="shared" ref="M362:M363" si="230">WEEKDAY(A362,2)</f>
        <v>3</v>
      </c>
    </row>
    <row r="363" spans="1:13" x14ac:dyDescent="0.15">
      <c r="A363" s="1">
        <v>42908</v>
      </c>
      <c r="B363">
        <v>39.74</v>
      </c>
      <c r="C363" s="25">
        <f t="shared" si="225"/>
        <v>6.5856129685917253E-3</v>
      </c>
      <c r="D363" s="38">
        <f t="shared" si="81"/>
        <v>39.536264806132017</v>
      </c>
      <c r="F363">
        <v>39.75</v>
      </c>
      <c r="G363" s="42">
        <f t="shared" ref="G363:G368" si="231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229"/>
        <v>-8.5254470224871426E-4</v>
      </c>
      <c r="M363">
        <f t="shared" si="230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32">B364/B363-1</f>
        <v>7.5490689481627626E-4</v>
      </c>
      <c r="D364" s="38">
        <f t="shared" si="81"/>
        <v>39.819987209377075</v>
      </c>
      <c r="F364">
        <v>39.82</v>
      </c>
      <c r="G364" s="42">
        <f t="shared" si="231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ref="L364" si="233">+K364/J364-1</f>
        <v>1.7606845126307835E-3</v>
      </c>
      <c r="M364">
        <f t="shared" ref="M364" si="234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35">B365/B364-1</f>
        <v>1.1566507417651417E-2</v>
      </c>
      <c r="D365" s="38">
        <f t="shared" si="81"/>
        <v>40.187309671361085</v>
      </c>
      <c r="F365">
        <v>40.21</v>
      </c>
      <c r="G365" s="42">
        <f t="shared" si="231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ref="L365" si="236">+K365/J365-1</f>
        <v>9.2242509131361672E-3</v>
      </c>
      <c r="M365">
        <f t="shared" ref="M365" si="237">WEEKDAY(A365,2)</f>
        <v>1</v>
      </c>
    </row>
    <row r="366" spans="1:13" x14ac:dyDescent="0.15">
      <c r="A366" s="1">
        <v>42913</v>
      </c>
      <c r="B366">
        <v>39.83</v>
      </c>
      <c r="C366" s="25">
        <f t="shared" ref="C366" si="238">B366/B365-1</f>
        <v>-9.9428287347750333E-3</v>
      </c>
      <c r="D366" s="38">
        <f t="shared" si="81"/>
        <v>40.145289184188371</v>
      </c>
      <c r="F366">
        <v>40.15</v>
      </c>
      <c r="G366" s="42">
        <f t="shared" si="231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ref="L366" si="239">+K366/J366-1</f>
        <v>-1.6093214576381465E-3</v>
      </c>
      <c r="M366">
        <f t="shared" ref="M366" si="240">WEEKDAY(A366,2)</f>
        <v>2</v>
      </c>
    </row>
    <row r="367" spans="1:13" x14ac:dyDescent="0.15">
      <c r="A367" s="1">
        <v>42914</v>
      </c>
      <c r="B367">
        <v>40.03</v>
      </c>
      <c r="C367" s="25">
        <f t="shared" ref="C367" si="241">B367/B366-1</f>
        <v>5.0213406979664477E-3</v>
      </c>
      <c r="D367" s="38">
        <f t="shared" si="81"/>
        <v>39.779164636640154</v>
      </c>
      <c r="F367">
        <v>39.79</v>
      </c>
      <c r="G367" s="42">
        <f t="shared" si="231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ref="L367" si="242">+K367/J367-1</f>
        <v>-9.236248153420723E-3</v>
      </c>
      <c r="M367">
        <f t="shared" ref="M367" si="243">WEEKDAY(A367,2)</f>
        <v>3</v>
      </c>
    </row>
    <row r="368" spans="1:13" x14ac:dyDescent="0.15">
      <c r="A368" s="1">
        <v>42915</v>
      </c>
      <c r="B368">
        <v>39.619999999999997</v>
      </c>
      <c r="C368" s="25">
        <f t="shared" ref="C368" si="244">B368/B367-1</f>
        <v>-1.0242318261304062E-2</v>
      </c>
      <c r="D368" s="38">
        <f t="shared" si="81"/>
        <v>40.02787408537359</v>
      </c>
      <c r="F368">
        <v>40.04</v>
      </c>
      <c r="G368" s="42">
        <f t="shared" si="231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ref="L368" si="245">+K368/J368-1</f>
        <v>5.9782378832267113E-3</v>
      </c>
      <c r="M368">
        <f t="shared" ref="M368" si="246">WEEKDAY(A368,2)</f>
        <v>4</v>
      </c>
    </row>
    <row r="369" spans="1:14" x14ac:dyDescent="0.15">
      <c r="A369" s="1">
        <v>42916</v>
      </c>
      <c r="B369">
        <v>39.71</v>
      </c>
      <c r="C369" s="25">
        <f t="shared" ref="C369" si="247">B369/B368-1</f>
        <v>2.2715800100960859E-3</v>
      </c>
      <c r="D369" s="38">
        <f t="shared" si="81"/>
        <v>39.785668542368086</v>
      </c>
      <c r="F369">
        <v>39.79</v>
      </c>
      <c r="G369" s="42">
        <f t="shared" ref="G369" si="248"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ref="L369" si="249">+K369/J369-1</f>
        <v>-6.3519345062914567E-3</v>
      </c>
      <c r="M369">
        <f t="shared" ref="M369" si="250">WEEKDAY(A369,2)</f>
        <v>5</v>
      </c>
    </row>
    <row r="370" spans="1:14" x14ac:dyDescent="0.15">
      <c r="A370" s="1">
        <v>42919</v>
      </c>
      <c r="B370">
        <v>40.119999999999997</v>
      </c>
      <c r="C370" s="25">
        <f t="shared" ref="C370" si="251">B370/B369-1</f>
        <v>1.0324855200201322E-2</v>
      </c>
      <c r="D370" s="38">
        <f t="shared" si="81"/>
        <v>39.98974297827688</v>
      </c>
      <c r="F370">
        <v>40.119999999999997</v>
      </c>
      <c r="G370" s="42">
        <f t="shared" ref="G370" si="252"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ref="L370" si="253">+K370/J370-1</f>
        <v>5.019929084616237E-3</v>
      </c>
      <c r="M370">
        <f t="shared" ref="M370" si="254">WEEKDAY(A370,2)</f>
        <v>1</v>
      </c>
    </row>
    <row r="371" spans="1:14" x14ac:dyDescent="0.15">
      <c r="A371" s="1">
        <v>42920</v>
      </c>
      <c r="B371">
        <v>40.119999999999997</v>
      </c>
      <c r="C371" s="25">
        <f t="shared" ref="C371" si="255">B371/B370-1</f>
        <v>0</v>
      </c>
      <c r="D371" s="38">
        <f t="shared" si="81"/>
        <v>39.633249412130567</v>
      </c>
      <c r="F371">
        <v>39.630000000000003</v>
      </c>
      <c r="G371" s="42">
        <f t="shared" ref="G371" si="256"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ref="L371" si="257">+K371/J371-1</f>
        <v>-1.2132367593953863E-2</v>
      </c>
      <c r="M371">
        <f t="shared" ref="M371" si="258">WEEKDAY(A371,2)</f>
        <v>2</v>
      </c>
    </row>
    <row r="372" spans="1:14" x14ac:dyDescent="0.15">
      <c r="A372" s="1">
        <v>42921</v>
      </c>
      <c r="B372">
        <v>39.96</v>
      </c>
      <c r="C372" s="25">
        <f t="shared" ref="C372" si="259">B372/B371-1</f>
        <v>-3.9880358923229942E-3</v>
      </c>
      <c r="D372" s="38">
        <f t="shared" si="81"/>
        <v>39.817451057494516</v>
      </c>
      <c r="F372">
        <v>39.9</v>
      </c>
      <c r="G372" s="42">
        <f t="shared" ref="G372:G377" si="260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ref="L372" si="261">+K372/J372-1</f>
        <v>4.7300292075325157E-3</v>
      </c>
      <c r="M372">
        <f t="shared" ref="M372" si="262">WEEKDAY(A372,2)</f>
        <v>3</v>
      </c>
    </row>
    <row r="373" spans="1:14" x14ac:dyDescent="0.15">
      <c r="A373" s="1">
        <v>42922</v>
      </c>
      <c r="B373">
        <v>39.5</v>
      </c>
      <c r="C373" s="25">
        <f t="shared" ref="C373" si="263">B373/B372-1</f>
        <v>-1.151151151151153E-2</v>
      </c>
      <c r="D373" s="38">
        <f t="shared" si="81"/>
        <v>39.76327239184139</v>
      </c>
      <c r="F373">
        <v>39.86</v>
      </c>
      <c r="G373" s="42">
        <f t="shared" si="260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ref="L373" si="264">+K373/J373-1</f>
        <v>-3.4267570967070338E-3</v>
      </c>
      <c r="M373">
        <f t="shared" ref="M373" si="265">WEEKDAY(A373,2)</f>
        <v>4</v>
      </c>
    </row>
    <row r="374" spans="1:14" x14ac:dyDescent="0.15">
      <c r="A374" s="1">
        <v>42923</v>
      </c>
      <c r="B374">
        <v>39.479999999999997</v>
      </c>
      <c r="C374" s="25">
        <f t="shared" ref="C374" si="266">B374/B373-1</f>
        <v>-5.0632911392411994E-4</v>
      </c>
      <c r="D374" s="38">
        <f t="shared" si="81"/>
        <v>39.530141610648748</v>
      </c>
      <c r="F374">
        <v>39.53</v>
      </c>
      <c r="G374" s="42">
        <f t="shared" si="260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ref="L374" si="267">+K374/J374-1</f>
        <v>-8.2754237167900202E-3</v>
      </c>
      <c r="M374">
        <f t="shared" ref="M374" si="268">WEEKDAY(A374,2)</f>
        <v>5</v>
      </c>
    </row>
    <row r="375" spans="1:14" x14ac:dyDescent="0.15">
      <c r="A375" s="1">
        <v>42926</v>
      </c>
      <c r="B375">
        <v>39.549999999999997</v>
      </c>
      <c r="C375" s="25">
        <f t="shared" ref="C375" si="269">B375/B374-1</f>
        <v>1.7730496453900457E-3</v>
      </c>
      <c r="D375" s="38">
        <f t="shared" si="81"/>
        <v>39.480618688494388</v>
      </c>
      <c r="F375">
        <v>39.51</v>
      </c>
      <c r="G375" s="42">
        <f t="shared" si="260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ref="L375" si="270">+K375/J375-1</f>
        <v>-1.2492110170911896E-3</v>
      </c>
      <c r="M375">
        <f t="shared" ref="M375" si="271">WEEKDAY(A375,2)</f>
        <v>1</v>
      </c>
    </row>
    <row r="376" spans="1:14" x14ac:dyDescent="0.15">
      <c r="A376" s="1">
        <v>42927</v>
      </c>
      <c r="B376">
        <v>40.299999999999997</v>
      </c>
      <c r="C376" s="25">
        <f t="shared" ref="C376" si="272">B376/B375-1</f>
        <v>1.896333754740831E-2</v>
      </c>
      <c r="D376" s="38">
        <f t="shared" si="81"/>
        <v>40.24674337657278</v>
      </c>
      <c r="F376">
        <v>40.28</v>
      </c>
      <c r="G376" s="42">
        <f t="shared" si="260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ref="L376" si="273">+K376/J376-1</f>
        <v>1.8647010290376631E-2</v>
      </c>
      <c r="M376">
        <f t="shared" ref="M376" si="274">WEEKDAY(A376,2)</f>
        <v>2</v>
      </c>
    </row>
    <row r="377" spans="1:14" x14ac:dyDescent="0.15">
      <c r="A377" s="1">
        <v>42928</v>
      </c>
      <c r="B377">
        <v>41.15</v>
      </c>
      <c r="C377" s="25">
        <f t="shared" ref="C377" si="275">B377/B376-1</f>
        <v>2.1091811414392092E-2</v>
      </c>
      <c r="D377" s="38">
        <f t="shared" si="81"/>
        <v>40.588376102797454</v>
      </c>
      <c r="F377">
        <v>40.590000000000003</v>
      </c>
      <c r="G377" s="42">
        <f t="shared" si="260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ref="L377" si="276">+K377/J377-1</f>
        <v>7.6558118867291469E-3</v>
      </c>
      <c r="M377">
        <f t="shared" ref="M377" si="277">WEEKDAY(A377,2)</f>
        <v>3</v>
      </c>
    </row>
    <row r="378" spans="1:14" x14ac:dyDescent="0.15">
      <c r="A378" s="1">
        <v>42929</v>
      </c>
      <c r="B378">
        <v>41.25</v>
      </c>
      <c r="C378" s="25">
        <f t="shared" ref="C378" si="278">B378/B377-1</f>
        <v>2.430133657351119E-3</v>
      </c>
      <c r="D378" s="38">
        <f t="shared" si="81"/>
        <v>41.170706467739464</v>
      </c>
      <c r="F378">
        <v>41.17</v>
      </c>
      <c r="G378" s="42">
        <f t="shared" ref="G378" si="279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ref="L378" si="280">+K378/J378-1</f>
        <v>1.4306638771605318E-2</v>
      </c>
      <c r="M378">
        <f t="shared" ref="M378" si="281">WEEKDAY(A378,2)</f>
        <v>4</v>
      </c>
    </row>
    <row r="379" spans="1:14" x14ac:dyDescent="0.15">
      <c r="A379" s="1">
        <v>42930</v>
      </c>
      <c r="B379">
        <v>41.89</v>
      </c>
      <c r="C379" s="25">
        <f t="shared" ref="C379" si="282">B379/B378-1</f>
        <v>1.5515151515151482E-2</v>
      </c>
      <c r="D379" s="38">
        <f t="shared" si="81"/>
        <v>41.42452768303005</v>
      </c>
      <c r="F379">
        <v>41.42</v>
      </c>
      <c r="G379" s="42">
        <f t="shared" ref="G379" si="283">+B379/D379-1</f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ref="L379" si="284">+K379/J379-1</f>
        <v>6.182358101288532E-3</v>
      </c>
      <c r="M379">
        <f t="shared" ref="M379" si="285">WEEKDAY(A379,2)</f>
        <v>5</v>
      </c>
      <c r="N379" s="50" t="s">
        <v>374</v>
      </c>
    </row>
    <row r="380" spans="1:14" x14ac:dyDescent="0.15">
      <c r="A380" s="1">
        <v>42933</v>
      </c>
      <c r="B380">
        <v>41.72</v>
      </c>
      <c r="C380" s="25">
        <f t="shared" ref="C380" si="286">B380/B379-1</f>
        <v>-4.058247791835834E-3</v>
      </c>
      <c r="D380" s="38">
        <f t="shared" si="81"/>
        <v>41.64942140958464</v>
      </c>
      <c r="F380">
        <v>41.65</v>
      </c>
      <c r="G380" s="42">
        <f t="shared" ref="G380" si="287">+B380/D380-1</f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ref="L380" si="288">+K380/J380-1</f>
        <v>5.538904142555312E-3</v>
      </c>
      <c r="M380">
        <f t="shared" ref="M380" si="289">WEEKDAY(A380,2)</f>
        <v>1</v>
      </c>
    </row>
    <row r="381" spans="1:14" x14ac:dyDescent="0.15">
      <c r="A381" s="1">
        <v>42934</v>
      </c>
      <c r="B381">
        <v>41.66</v>
      </c>
      <c r="C381" s="25">
        <f t="shared" ref="C381" si="290">B381/B380-1</f>
        <v>-1.4381591562799834E-3</v>
      </c>
      <c r="D381" s="38">
        <f t="shared" si="81"/>
        <v>41.563096400424925</v>
      </c>
      <c r="F381">
        <v>41.56</v>
      </c>
      <c r="G381" s="42">
        <f t="shared" ref="G381" si="291">+B381/D381-1</f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ref="L381" si="292">+K381/J381-1</f>
        <v>-2.086520998201058E-3</v>
      </c>
      <c r="M381">
        <f t="shared" ref="M381" si="293">WEEKDAY(A381,2)</f>
        <v>2</v>
      </c>
    </row>
    <row r="382" spans="1:14" x14ac:dyDescent="0.15">
      <c r="A382" s="1">
        <v>42935</v>
      </c>
      <c r="B382">
        <v>42.17</v>
      </c>
      <c r="C382" s="25">
        <f t="shared" ref="C382" si="294">B382/B381-1</f>
        <v>1.2241958713394174E-2</v>
      </c>
      <c r="D382" s="38">
        <f t="shared" si="81"/>
        <v>42.026811538669087</v>
      </c>
      <c r="F382">
        <v>42.02</v>
      </c>
      <c r="G382" s="42">
        <f t="shared" ref="G382" si="295">+B382/D382-1</f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ref="L382" si="296">+K382/J382-1</f>
        <v>1.1232231440545748E-2</v>
      </c>
      <c r="M382">
        <f t="shared" ref="M382" si="297">WEEKDAY(A382,2)</f>
        <v>3</v>
      </c>
    </row>
    <row r="383" spans="1:14" x14ac:dyDescent="0.15">
      <c r="A383" s="1">
        <v>42936</v>
      </c>
      <c r="B383">
        <v>42.08</v>
      </c>
      <c r="C383" s="25">
        <f t="shared" ref="C383" si="298">B383/B382-1</f>
        <v>-2.1342186388428885E-3</v>
      </c>
      <c r="D383" s="38">
        <f t="shared" si="81"/>
        <v>42.050304877325708</v>
      </c>
      <c r="F383">
        <v>42.05</v>
      </c>
      <c r="G383" s="42">
        <f t="shared" ref="G383" si="299">+B383/D383-1</f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ref="L383" si="300">+K383/J383-1</f>
        <v>7.2120126905539372E-4</v>
      </c>
      <c r="M383">
        <f t="shared" ref="M383" si="301">WEEKDAY(A383,2)</f>
        <v>4</v>
      </c>
    </row>
    <row r="384" spans="1:14" x14ac:dyDescent="0.15">
      <c r="A384" s="1">
        <v>42937</v>
      </c>
      <c r="B384">
        <v>42.04</v>
      </c>
      <c r="C384" s="25">
        <f t="shared" ref="C384" si="302">B384/B383-1</f>
        <v>-9.5057034220524805E-4</v>
      </c>
      <c r="D384" s="38">
        <f t="shared" si="81"/>
        <v>41.957862969250925</v>
      </c>
      <c r="F384">
        <v>41.95</v>
      </c>
      <c r="G384" s="42">
        <f t="shared" ref="G384" si="303">+B384/D384-1</f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ref="L384" si="304">+K384/J384-1</f>
        <v>-2.1911303388602033E-3</v>
      </c>
      <c r="M384">
        <f t="shared" ref="M384" si="305">WEEKDAY(A384,2)</f>
        <v>5</v>
      </c>
    </row>
    <row r="385" spans="1:14" x14ac:dyDescent="0.15">
      <c r="A385" s="1">
        <v>42940</v>
      </c>
      <c r="B385">
        <v>42.19</v>
      </c>
      <c r="C385" s="25">
        <f t="shared" ref="C385" si="306">B385/B384-1</f>
        <v>3.5680304471932267E-3</v>
      </c>
      <c r="D385" s="38">
        <f t="shared" si="81"/>
        <v>42.148120898803136</v>
      </c>
      <c r="F385">
        <v>42.16</v>
      </c>
      <c r="G385" s="42">
        <f t="shared" ref="G385" si="307">+B385/D385-1</f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ref="L385" si="308">+K385/J385-1</f>
        <v>4.7227866222439019E-3</v>
      </c>
      <c r="M385">
        <f t="shared" ref="M385" si="309">WEEKDAY(A385,2)</f>
        <v>1</v>
      </c>
    </row>
    <row r="386" spans="1:14" x14ac:dyDescent="0.15">
      <c r="A386" s="1">
        <v>42941</v>
      </c>
      <c r="B386">
        <v>42.1</v>
      </c>
      <c r="C386" s="25">
        <f t="shared" ref="C386" si="310">B386/B385-1</f>
        <v>-2.1332069210712179E-3</v>
      </c>
      <c r="D386" s="38">
        <f t="shared" si="81"/>
        <v>42.005268568499673</v>
      </c>
      <c r="F386">
        <v>42.01</v>
      </c>
      <c r="G386" s="42">
        <f t="shared" ref="G386" si="311">+B386/D386-1</f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ref="L386" si="312">+K386/J386-1</f>
        <v>-3.670100367654805E-3</v>
      </c>
      <c r="M386">
        <f t="shared" ref="M386" si="313">WEEKDAY(A386,2)</f>
        <v>2</v>
      </c>
    </row>
    <row r="387" spans="1:14" x14ac:dyDescent="0.15">
      <c r="A387" s="1">
        <v>42942</v>
      </c>
      <c r="B387">
        <v>42.52</v>
      </c>
      <c r="C387" s="25">
        <f t="shared" ref="C387" si="314">B387/B386-1</f>
        <v>9.9762470308788487E-3</v>
      </c>
      <c r="D387" s="38">
        <f t="shared" si="81"/>
        <v>42.290681946866577</v>
      </c>
      <c r="F387">
        <v>42.28</v>
      </c>
      <c r="G387" s="42">
        <f t="shared" ref="G387" si="315">+B387/D387-1</f>
        <v>5.4224250491288206E-3</v>
      </c>
      <c r="I387" s="25">
        <f t="shared" ref="I387:I506" si="316">+B387/F387-1</f>
        <v>5.6764427625355385E-3</v>
      </c>
      <c r="J387">
        <v>18544.259999999998</v>
      </c>
      <c r="K387">
        <v>18668.16</v>
      </c>
      <c r="L387" s="25">
        <f t="shared" ref="L387" si="317">+K387/J387-1</f>
        <v>6.6813127080833645E-3</v>
      </c>
      <c r="M387">
        <f t="shared" ref="M387" si="318">WEEKDAY(A387,2)</f>
        <v>3</v>
      </c>
    </row>
    <row r="388" spans="1:14" x14ac:dyDescent="0.15">
      <c r="A388" s="1">
        <v>42943</v>
      </c>
      <c r="B388">
        <v>42.37</v>
      </c>
      <c r="C388" s="25">
        <f t="shared" ref="C388" si="319">B388/B387-1</f>
        <v>-3.5277516462842717E-3</v>
      </c>
      <c r="D388" s="38">
        <f t="shared" si="81"/>
        <v>42.637229871610266</v>
      </c>
      <c r="F388">
        <v>42.64</v>
      </c>
      <c r="G388" s="42">
        <f t="shared" ref="G388" si="320">+B388/D388-1</f>
        <v>-6.2675242367985495E-3</v>
      </c>
      <c r="I388" s="25">
        <f t="shared" si="316"/>
        <v>-6.3320825515947865E-3</v>
      </c>
      <c r="J388">
        <v>18668.16</v>
      </c>
      <c r="K388">
        <v>18825.89</v>
      </c>
      <c r="L388" s="25">
        <f t="shared" ref="L388" si="321">+K388/J388-1</f>
        <v>8.4491454969315427E-3</v>
      </c>
      <c r="M388">
        <f t="shared" ref="M388" si="322">WEEKDAY(A388,2)</f>
        <v>4</v>
      </c>
    </row>
    <row r="389" spans="1:14" x14ac:dyDescent="0.15">
      <c r="A389" s="1">
        <v>42944</v>
      </c>
      <c r="B389">
        <v>42.42</v>
      </c>
      <c r="C389" s="25">
        <f t="shared" ref="C389" si="323">B389/B388-1</f>
        <v>1.1800802454566828E-3</v>
      </c>
      <c r="D389" s="38">
        <f t="shared" ref="D389:D452" si="324">+(F388-O389)*(1+L389)</f>
        <v>42.211060746663236</v>
      </c>
      <c r="F389">
        <v>42.21</v>
      </c>
      <c r="G389" s="42">
        <f t="shared" ref="G389" si="325">+B389/D389-1</f>
        <v>4.9498697649592582E-3</v>
      </c>
      <c r="I389" s="25">
        <f t="shared" si="316"/>
        <v>4.9751243781095411E-3</v>
      </c>
      <c r="J389">
        <v>18825.89</v>
      </c>
      <c r="K389">
        <v>18636.509999999998</v>
      </c>
      <c r="L389" s="25">
        <f t="shared" ref="L389" si="326">+K389/J389-1</f>
        <v>-1.0059550969436337E-2</v>
      </c>
      <c r="M389">
        <f t="shared" ref="M389" si="327">WEEKDAY(A389,2)</f>
        <v>5</v>
      </c>
    </row>
    <row r="390" spans="1:14" x14ac:dyDescent="0.15">
      <c r="A390" s="1">
        <v>42947</v>
      </c>
      <c r="B390">
        <v>42.54</v>
      </c>
      <c r="C390" s="25">
        <f t="shared" ref="C390" si="328">B390/B389-1</f>
        <v>2.8288543140027045E-3</v>
      </c>
      <c r="D390" s="38">
        <f t="shared" si="324"/>
        <v>42.578863086489903</v>
      </c>
      <c r="F390">
        <v>42.57</v>
      </c>
      <c r="G390" s="42">
        <f t="shared" ref="G390" si="329">+B390/D390-1</f>
        <v>-9.1273189730223248E-4</v>
      </c>
      <c r="I390" s="25">
        <f t="shared" si="316"/>
        <v>-7.0472163495427509E-4</v>
      </c>
      <c r="J390">
        <v>18636.509999999998</v>
      </c>
      <c r="K390">
        <v>18799.37</v>
      </c>
      <c r="L390" s="25">
        <f t="shared" ref="L390" si="330">+K390/J390-1</f>
        <v>8.738760637050591E-3</v>
      </c>
      <c r="M390">
        <f t="shared" ref="M390" si="331">WEEKDAY(A390,2)</f>
        <v>1</v>
      </c>
      <c r="N390" s="50" t="s">
        <v>390</v>
      </c>
    </row>
    <row r="391" spans="1:14" x14ac:dyDescent="0.15">
      <c r="A391" s="1">
        <v>42948</v>
      </c>
      <c r="B391">
        <v>43.03</v>
      </c>
      <c r="C391" s="25">
        <f t="shared" ref="C391" si="332">B391/B390-1</f>
        <v>1.1518570756934743E-2</v>
      </c>
      <c r="D391" s="38">
        <f t="shared" si="324"/>
        <v>42.957377337644822</v>
      </c>
      <c r="F391">
        <v>42.97</v>
      </c>
      <c r="G391" s="42">
        <f t="shared" ref="G391" si="333">+B391/D391-1</f>
        <v>1.6905748641116158E-3</v>
      </c>
      <c r="I391" s="25">
        <f t="shared" si="316"/>
        <v>1.3963230160578544E-3</v>
      </c>
      <c r="J391">
        <v>18799.37</v>
      </c>
      <c r="K391">
        <v>18970.439999999999</v>
      </c>
      <c r="L391" s="25">
        <f t="shared" ref="L391" si="334">+K391/J391-1</f>
        <v>9.0997730243087549E-3</v>
      </c>
      <c r="M391">
        <f t="shared" ref="M391" si="335">WEEKDAY(A391,2)</f>
        <v>2</v>
      </c>
    </row>
    <row r="392" spans="1:14" x14ac:dyDescent="0.15">
      <c r="A392" s="1">
        <v>42949</v>
      </c>
      <c r="B392">
        <v>42.92</v>
      </c>
      <c r="C392" s="25">
        <f t="shared" ref="C392" si="336">B392/B391-1</f>
        <v>-2.5563560306762767E-3</v>
      </c>
      <c r="D392" s="38">
        <f t="shared" si="324"/>
        <v>43.008755911829141</v>
      </c>
      <c r="F392">
        <v>43</v>
      </c>
      <c r="G392" s="42">
        <f t="shared" ref="G392" si="337">+B392/D392-1</f>
        <v>-2.0636707560454104E-3</v>
      </c>
      <c r="I392" s="25">
        <f t="shared" si="316"/>
        <v>-1.8604651162790198E-3</v>
      </c>
      <c r="J392">
        <v>18970.439999999999</v>
      </c>
      <c r="K392">
        <v>18987.55</v>
      </c>
      <c r="L392" s="25">
        <f t="shared" ref="L392" si="338">+K392/J392-1</f>
        <v>9.0192952825551842E-4</v>
      </c>
      <c r="M392">
        <f t="shared" ref="M392" si="339">WEEKDAY(A392,2)</f>
        <v>3</v>
      </c>
    </row>
    <row r="393" spans="1:14" x14ac:dyDescent="0.15">
      <c r="A393" s="1">
        <v>42950</v>
      </c>
      <c r="B393">
        <v>42.85</v>
      </c>
      <c r="C393" s="25">
        <f t="shared" ref="C393" si="340">B393/B392-1</f>
        <v>-1.6309412861137407E-3</v>
      </c>
      <c r="D393" s="38">
        <f t="shared" si="324"/>
        <v>42.783953169313584</v>
      </c>
      <c r="F393">
        <v>42.79</v>
      </c>
      <c r="G393" s="42">
        <f t="shared" ref="G393" si="341">+B393/D393-1</f>
        <v>1.5437290337581011E-3</v>
      </c>
      <c r="I393" s="25">
        <f t="shared" si="316"/>
        <v>1.4021967749475728E-3</v>
      </c>
      <c r="J393">
        <v>18987.55</v>
      </c>
      <c r="K393">
        <v>18892.150000000001</v>
      </c>
      <c r="L393" s="25">
        <f t="shared" ref="L393" si="342">+K393/J393-1</f>
        <v>-5.0243448996841744E-3</v>
      </c>
      <c r="M393">
        <f t="shared" ref="M393" si="343">WEEKDAY(A393,2)</f>
        <v>4</v>
      </c>
    </row>
    <row r="394" spans="1:14" x14ac:dyDescent="0.15">
      <c r="A394" s="1">
        <v>42951</v>
      </c>
      <c r="B394">
        <v>42.84</v>
      </c>
      <c r="C394" s="25">
        <f t="shared" ref="C394" si="344">B394/B393-1</f>
        <v>-2.333722287047868E-4</v>
      </c>
      <c r="D394" s="38">
        <f t="shared" si="324"/>
        <v>42.810203460167315</v>
      </c>
      <c r="F394">
        <v>42.81</v>
      </c>
      <c r="G394" s="42">
        <f t="shared" ref="G394" si="345">+B394/D394-1</f>
        <v>6.96014908231124E-4</v>
      </c>
      <c r="I394" s="25">
        <f t="shared" si="316"/>
        <v>7.0077084793274125E-4</v>
      </c>
      <c r="J394">
        <v>18892.150000000001</v>
      </c>
      <c r="K394">
        <v>18901.07</v>
      </c>
      <c r="L394" s="25">
        <f t="shared" ref="L394" si="346">+K394/J394-1</f>
        <v>4.7215377815645887E-4</v>
      </c>
      <c r="M394">
        <f t="shared" ref="M394" si="347">WEEKDAY(A394,2)</f>
        <v>5</v>
      </c>
    </row>
    <row r="395" spans="1:14" x14ac:dyDescent="0.15">
      <c r="A395" s="1">
        <v>42954</v>
      </c>
      <c r="B395">
        <v>43</v>
      </c>
      <c r="C395" s="25">
        <f t="shared" ref="C395" si="348">B395/B394-1</f>
        <v>3.7348272642390157E-3</v>
      </c>
      <c r="D395" s="38">
        <f t="shared" si="324"/>
        <v>43.013822952880446</v>
      </c>
      <c r="F395">
        <v>43.01</v>
      </c>
      <c r="G395" s="42">
        <f t="shared" ref="G395" si="349">+B395/D395-1</f>
        <v>-3.2136071456811965E-4</v>
      </c>
      <c r="I395" s="25">
        <f t="shared" si="316"/>
        <v>-2.3250406882113772E-4</v>
      </c>
      <c r="J395">
        <v>18901.07</v>
      </c>
      <c r="K395">
        <v>18991.060000000001</v>
      </c>
      <c r="L395" s="25">
        <f t="shared" ref="L395" si="350">+K395/J395-1</f>
        <v>4.761106117272762E-3</v>
      </c>
      <c r="M395">
        <f t="shared" ref="M395" si="351">WEEKDAY(A395,2)</f>
        <v>1</v>
      </c>
    </row>
    <row r="396" spans="1:14" x14ac:dyDescent="0.15">
      <c r="A396" s="1">
        <v>42955</v>
      </c>
      <c r="B396">
        <v>43.31</v>
      </c>
      <c r="C396" s="25">
        <f t="shared" ref="C396" si="352">B396/B395-1</f>
        <v>7.2093023255814792E-3</v>
      </c>
      <c r="D396" s="38">
        <f t="shared" si="324"/>
        <v>43.289877784599696</v>
      </c>
      <c r="F396">
        <v>43.28</v>
      </c>
      <c r="G396" s="42">
        <f t="shared" ref="G396" si="353">+B396/D396-1</f>
        <v>4.6482495285449232E-4</v>
      </c>
      <c r="I396" s="25">
        <f t="shared" si="316"/>
        <v>6.9316081330872414E-4</v>
      </c>
      <c r="J396">
        <v>18991.060000000001</v>
      </c>
      <c r="K396">
        <v>19114.64</v>
      </c>
      <c r="L396" s="25">
        <f t="shared" ref="L396" si="354">+K396/J396-1</f>
        <v>6.5072723692094492E-3</v>
      </c>
      <c r="M396">
        <f t="shared" ref="M396" si="355">WEEKDAY(A396,2)</f>
        <v>2</v>
      </c>
    </row>
    <row r="397" spans="1:14" x14ac:dyDescent="0.15">
      <c r="A397" s="1">
        <v>42956</v>
      </c>
      <c r="B397">
        <v>42.97</v>
      </c>
      <c r="C397" s="25">
        <f t="shared" ref="C397" si="356">B397/B396-1</f>
        <v>-7.8503809743708519E-3</v>
      </c>
      <c r="D397" s="38">
        <f t="shared" si="324"/>
        <v>43.023258612246948</v>
      </c>
      <c r="F397">
        <v>43.02</v>
      </c>
      <c r="G397" s="42">
        <f t="shared" ref="G397" si="357">+B397/D397-1</f>
        <v>-1.2379027987384772E-3</v>
      </c>
      <c r="I397" s="25">
        <f t="shared" si="316"/>
        <v>-1.1622501162250609E-3</v>
      </c>
      <c r="J397">
        <v>19114.64</v>
      </c>
      <c r="K397">
        <v>19001.25</v>
      </c>
      <c r="L397" s="25">
        <f t="shared" ref="L397" si="358">+K397/J397-1</f>
        <v>-5.9321023048302113E-3</v>
      </c>
      <c r="M397">
        <f t="shared" ref="M397" si="359">WEEKDAY(A397,2)</f>
        <v>3</v>
      </c>
    </row>
    <row r="398" spans="1:14" x14ac:dyDescent="0.15">
      <c r="A398" s="1">
        <v>42957</v>
      </c>
      <c r="B398">
        <v>41.74</v>
      </c>
      <c r="C398" s="25">
        <f t="shared" ref="C398" si="360">B398/B397-1</f>
        <v>-2.8624621829183128E-2</v>
      </c>
      <c r="D398" s="38">
        <f t="shared" si="324"/>
        <v>42.473432895204269</v>
      </c>
      <c r="F398">
        <v>42.48</v>
      </c>
      <c r="G398" s="42">
        <f t="shared" ref="G398" si="361">+B398/D398-1</f>
        <v>-1.726803898836915E-2</v>
      </c>
      <c r="I398" s="25">
        <f t="shared" si="316"/>
        <v>-1.7419962335216477E-2</v>
      </c>
      <c r="J398">
        <v>19001.25</v>
      </c>
      <c r="K398">
        <v>18759.84</v>
      </c>
      <c r="L398" s="25">
        <f t="shared" ref="L398" si="362">+K398/J398-1</f>
        <v>-1.2704953621472281E-2</v>
      </c>
      <c r="M398">
        <f t="shared" ref="M398" si="363">WEEKDAY(A398,2)</f>
        <v>4</v>
      </c>
      <c r="N398" s="50" t="s">
        <v>403</v>
      </c>
    </row>
    <row r="399" spans="1:14" x14ac:dyDescent="0.15">
      <c r="A399" s="1">
        <v>42958</v>
      </c>
      <c r="B399">
        <v>41.81</v>
      </c>
      <c r="C399" s="25">
        <f t="shared" ref="C399" si="364">B399/B398-1</f>
        <v>1.6770483948251869E-3</v>
      </c>
      <c r="D399" s="38">
        <f t="shared" si="324"/>
        <v>41.587776526878692</v>
      </c>
      <c r="F399">
        <v>41.58</v>
      </c>
      <c r="G399" s="42">
        <f t="shared" ref="G399" si="365">+B399/D399-1</f>
        <v>5.3434805050873724E-3</v>
      </c>
      <c r="I399" s="25">
        <f t="shared" si="316"/>
        <v>5.5315055315057204E-3</v>
      </c>
      <c r="J399">
        <v>18759.84</v>
      </c>
      <c r="K399">
        <v>18365.82</v>
      </c>
      <c r="L399" s="25">
        <f t="shared" ref="L399" si="366">+K399/J399-1</f>
        <v>-2.1003377427526004E-2</v>
      </c>
      <c r="M399">
        <f t="shared" ref="M399" si="367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368">B400/B399-1</f>
        <v>8.8495575221239076E-3</v>
      </c>
      <c r="D400" s="38">
        <f t="shared" si="324"/>
        <v>42.124262766377981</v>
      </c>
      <c r="F400">
        <v>42.12</v>
      </c>
      <c r="G400" s="42">
        <f t="shared" ref="G400" si="369">+B400/D400-1</f>
        <v>1.3231622338683025E-3</v>
      </c>
      <c r="I400" s="25">
        <f t="shared" si="316"/>
        <v>1.4245014245015675E-3</v>
      </c>
      <c r="J400">
        <v>18365.82</v>
      </c>
      <c r="K400">
        <v>18606.22</v>
      </c>
      <c r="L400" s="25">
        <f t="shared" ref="L400" si="370">+K400/J400-1</f>
        <v>1.308953262092305E-2</v>
      </c>
      <c r="M400">
        <f t="shared" ref="M400" si="371">WEEKDAY(A400,2)</f>
        <v>1</v>
      </c>
      <c r="N400" s="50" t="s">
        <v>406</v>
      </c>
    </row>
    <row r="401" spans="1:13" x14ac:dyDescent="0.15">
      <c r="A401" s="1">
        <v>42962</v>
      </c>
      <c r="B401">
        <v>42.08</v>
      </c>
      <c r="C401" s="25">
        <f t="shared" ref="C401" si="372">B401/B400-1</f>
        <v>-2.3707918444760834E-3</v>
      </c>
      <c r="D401" s="38">
        <f t="shared" si="324"/>
        <v>42.021435928415329</v>
      </c>
      <c r="F401">
        <v>42.03</v>
      </c>
      <c r="G401" s="42">
        <f t="shared" ref="G401" si="373">+B401/D401-1</f>
        <v>1.3936713558393432E-3</v>
      </c>
      <c r="I401" s="25">
        <f t="shared" si="316"/>
        <v>1.1896264572923698E-3</v>
      </c>
      <c r="J401">
        <v>18606.22</v>
      </c>
      <c r="K401">
        <v>18562.68</v>
      </c>
      <c r="L401" s="25">
        <f t="shared" ref="L401" si="374">+K401/J401-1</f>
        <v>-2.3400776729503026E-3</v>
      </c>
      <c r="M401">
        <f t="shared" ref="M401" si="375">WEEKDAY(A401,2)</f>
        <v>2</v>
      </c>
    </row>
    <row r="402" spans="1:13" x14ac:dyDescent="0.15">
      <c r="A402" s="1">
        <v>42963</v>
      </c>
      <c r="B402">
        <v>42.72</v>
      </c>
      <c r="C402" s="25">
        <f t="shared" ref="C402" si="376">B402/B401-1</f>
        <v>1.5209125475285079E-2</v>
      </c>
      <c r="D402" s="38">
        <f t="shared" si="324"/>
        <v>42.366168812908484</v>
      </c>
      <c r="F402">
        <v>42.37</v>
      </c>
      <c r="G402" s="42">
        <f t="shared" ref="G402" si="377">+B402/D402-1</f>
        <v>8.3517390645837519E-3</v>
      </c>
      <c r="I402" s="25">
        <f t="shared" si="316"/>
        <v>8.2605617181967794E-3</v>
      </c>
      <c r="J402">
        <v>18562.68</v>
      </c>
      <c r="K402">
        <v>18711.150000000001</v>
      </c>
      <c r="L402" s="25">
        <f t="shared" ref="L402" si="378">+K402/J402-1</f>
        <v>7.9983062790502935E-3</v>
      </c>
      <c r="M402">
        <f t="shared" ref="M402" si="379">WEEKDAY(A402,2)</f>
        <v>3</v>
      </c>
    </row>
    <row r="403" spans="1:13" x14ac:dyDescent="0.15">
      <c r="A403" s="1">
        <v>42964</v>
      </c>
      <c r="B403">
        <v>41.92</v>
      </c>
      <c r="C403" s="25">
        <f t="shared" ref="C403" si="380">B403/B402-1</f>
        <v>-1.872659176029956E-2</v>
      </c>
      <c r="D403" s="38">
        <f t="shared" si="324"/>
        <v>42.384039436378835</v>
      </c>
      <c r="F403">
        <v>42.37</v>
      </c>
      <c r="G403" s="42">
        <f t="shared" ref="G403" si="381">+B403/D403-1</f>
        <v>-1.0948447636176528E-2</v>
      </c>
      <c r="I403" s="25">
        <f t="shared" si="316"/>
        <v>-1.0620722209110145E-2</v>
      </c>
      <c r="J403">
        <v>18711.150000000001</v>
      </c>
      <c r="K403">
        <v>18717.349999999999</v>
      </c>
      <c r="L403" s="25">
        <f t="shared" ref="L403" si="382">+K403/J403-1</f>
        <v>3.3135323056021626E-4</v>
      </c>
      <c r="M403">
        <f t="shared" ref="M403" si="383">WEEKDAY(A403,2)</f>
        <v>4</v>
      </c>
    </row>
    <row r="404" spans="1:13" x14ac:dyDescent="0.15">
      <c r="A404" s="1">
        <v>42965</v>
      </c>
      <c r="B404">
        <v>42.01</v>
      </c>
      <c r="C404" s="25">
        <f t="shared" ref="C404" si="384">B404/B403-1</f>
        <v>2.1469465648853436E-3</v>
      </c>
      <c r="D404" s="38">
        <f t="shared" si="324"/>
        <v>41.930394286584374</v>
      </c>
      <c r="F404">
        <v>41.93</v>
      </c>
      <c r="G404" s="42">
        <f t="shared" ref="G404" si="385">+B404/D404-1</f>
        <v>1.8985205069033118E-3</v>
      </c>
      <c r="I404" s="25">
        <f t="shared" si="316"/>
        <v>1.9079418077747601E-3</v>
      </c>
      <c r="J404">
        <v>18717.349999999999</v>
      </c>
      <c r="K404">
        <v>18523.150000000001</v>
      </c>
      <c r="L404" s="25">
        <f t="shared" ref="L404" si="386">+K404/J404-1</f>
        <v>-1.0375400363833442E-2</v>
      </c>
      <c r="M404">
        <f t="shared" ref="M404" si="387">WEEKDAY(A404,2)</f>
        <v>5</v>
      </c>
    </row>
    <row r="405" spans="1:13" x14ac:dyDescent="0.15">
      <c r="A405" s="1">
        <v>42968</v>
      </c>
      <c r="B405">
        <v>42.48</v>
      </c>
      <c r="C405" s="25">
        <f t="shared" ref="C405" si="388">B405/B404-1</f>
        <v>1.1187812425612842E-2</v>
      </c>
      <c r="D405" s="38">
        <f t="shared" si="324"/>
        <v>42.361316606516702</v>
      </c>
      <c r="F405">
        <v>42.36</v>
      </c>
      <c r="G405" s="42">
        <f t="shared" ref="G405" si="389">+B405/D405-1</f>
        <v>2.8016927468452746E-3</v>
      </c>
      <c r="I405" s="93">
        <f t="shared" si="316"/>
        <v>2.8328611898016387E-3</v>
      </c>
      <c r="J405">
        <v>18523.150000000001</v>
      </c>
      <c r="K405">
        <v>18713.689999999999</v>
      </c>
      <c r="L405" s="25">
        <f t="shared" ref="L405" si="390">+K405/J405-1</f>
        <v>1.0286587324509933E-2</v>
      </c>
      <c r="M405">
        <f t="shared" ref="M405" si="391">WEEKDAY(A405,2)</f>
        <v>1</v>
      </c>
    </row>
    <row r="406" spans="1:13" x14ac:dyDescent="0.15">
      <c r="A406" s="1">
        <v>42969</v>
      </c>
      <c r="B406">
        <v>43.13</v>
      </c>
      <c r="C406" s="93">
        <f t="shared" ref="C406" si="392">B406/B405-1</f>
        <v>1.5301318267420205E-2</v>
      </c>
      <c r="D406" s="38">
        <f t="shared" si="324"/>
        <v>42.91876558818705</v>
      </c>
      <c r="E406" s="92"/>
      <c r="F406">
        <v>42.92</v>
      </c>
      <c r="G406" s="42">
        <f t="shared" ref="G406" si="393">+B406/D406-1</f>
        <v>4.9217261707799054E-3</v>
      </c>
      <c r="H406" s="92"/>
      <c r="I406" s="93">
        <f t="shared" si="316"/>
        <v>4.892823858341222E-3</v>
      </c>
      <c r="J406">
        <v>18713.689999999999</v>
      </c>
      <c r="K406">
        <v>18960.54</v>
      </c>
      <c r="L406" s="93">
        <f t="shared" ref="L406" si="394">+K406/J406-1</f>
        <v>1.3190877908098475E-2</v>
      </c>
      <c r="M406" s="92">
        <f t="shared" ref="M406" si="395">WEEKDAY(A406,2)</f>
        <v>2</v>
      </c>
    </row>
    <row r="407" spans="1:13" x14ac:dyDescent="0.15">
      <c r="A407" s="1">
        <v>42970</v>
      </c>
      <c r="B407">
        <v>43.35</v>
      </c>
      <c r="C407" s="93">
        <f t="shared" ref="C407" si="396">B407/B406-1</f>
        <v>5.1008578715510122E-3</v>
      </c>
      <c r="D407" s="38">
        <f t="shared" si="324"/>
        <v>42.92</v>
      </c>
      <c r="E407" s="92"/>
      <c r="F407">
        <v>43.32</v>
      </c>
      <c r="G407" s="42">
        <f t="shared" ref="G407" si="397">+B407/D407-1</f>
        <v>1.0018639328984058E-2</v>
      </c>
      <c r="H407" s="92"/>
      <c r="I407" s="93">
        <f t="shared" si="316"/>
        <v>6.9252077562320657E-4</v>
      </c>
      <c r="J407">
        <v>18960.54</v>
      </c>
      <c r="K407">
        <v>18960.539999999997</v>
      </c>
      <c r="L407" s="93">
        <f t="shared" ref="L407" si="398">+K407/J407-1</f>
        <v>0</v>
      </c>
      <c r="M407" s="92">
        <f t="shared" ref="M407" si="399">WEEKDAY(A407,2)</f>
        <v>3</v>
      </c>
    </row>
    <row r="408" spans="1:13" x14ac:dyDescent="0.15">
      <c r="A408" s="1">
        <v>42971</v>
      </c>
      <c r="B408">
        <v>43.51</v>
      </c>
      <c r="C408" s="93">
        <f t="shared" ref="C408" si="400">B408/B407-1</f>
        <v>3.6908881199537724E-3</v>
      </c>
      <c r="D408" s="38">
        <f t="shared" si="324"/>
        <v>43.7224578413906</v>
      </c>
      <c r="E408" s="92"/>
      <c r="F408">
        <v>43.32</v>
      </c>
      <c r="G408" s="42">
        <f t="shared" ref="G408" si="401">+B408/D408-1</f>
        <v>-4.8592382926258004E-3</v>
      </c>
      <c r="H408" s="92"/>
      <c r="I408" s="93">
        <f t="shared" si="316"/>
        <v>4.3859649122806044E-3</v>
      </c>
      <c r="J408">
        <v>18960.539999999997</v>
      </c>
      <c r="K408">
        <v>19136.689999999999</v>
      </c>
      <c r="L408" s="93">
        <f t="shared" ref="L408" si="402">+K408/J408-1</f>
        <v>9.290347215849426E-3</v>
      </c>
      <c r="M408" s="92">
        <f t="shared" ref="M408" si="403">WEEKDAY(A408,2)</f>
        <v>4</v>
      </c>
    </row>
    <row r="409" spans="1:13" x14ac:dyDescent="0.15">
      <c r="A409" s="1">
        <v>42972</v>
      </c>
      <c r="B409">
        <v>44.21</v>
      </c>
      <c r="C409" s="93">
        <f t="shared" ref="C409" si="404">B409/B408-1</f>
        <v>1.6088255573431409E-2</v>
      </c>
      <c r="D409" s="38">
        <f t="shared" si="324"/>
        <v>44.041060935825371</v>
      </c>
      <c r="E409" s="92"/>
      <c r="F409">
        <v>44.04</v>
      </c>
      <c r="G409" s="42">
        <f t="shared" ref="G409" si="405">+B409/D409-1</f>
        <v>3.8359444705657886E-3</v>
      </c>
      <c r="H409" s="92"/>
      <c r="I409" s="93">
        <f t="shared" si="316"/>
        <v>3.8601271571299112E-3</v>
      </c>
      <c r="J409">
        <v>19136.689999999999</v>
      </c>
      <c r="K409">
        <v>19455.22</v>
      </c>
      <c r="L409" s="93">
        <f t="shared" ref="L409" si="406">+K409/J409-1</f>
        <v>1.6644989284980927E-2</v>
      </c>
      <c r="M409" s="92">
        <f t="shared" ref="M409" si="407">WEEKDAY(A409,2)</f>
        <v>5</v>
      </c>
    </row>
    <row r="410" spans="1:13" x14ac:dyDescent="0.15">
      <c r="A410" s="90">
        <v>42975</v>
      </c>
      <c r="B410">
        <v>44.23</v>
      </c>
      <c r="C410" s="93">
        <f t="shared" ref="C410" si="408">B410/B409-1</f>
        <v>4.523863379324311E-4</v>
      </c>
      <c r="D410" s="38">
        <f t="shared" si="324"/>
        <v>44.161694352466846</v>
      </c>
      <c r="E410" s="92"/>
      <c r="F410">
        <v>44.15</v>
      </c>
      <c r="G410" s="42">
        <f t="shared" ref="G410" si="409">+B410/D410-1</f>
        <v>1.546717093506178E-3</v>
      </c>
      <c r="H410" s="92"/>
      <c r="I410" s="93">
        <f t="shared" si="316"/>
        <v>1.8120045300111798E-3</v>
      </c>
      <c r="J410">
        <v>19455.22</v>
      </c>
      <c r="K410">
        <v>19508.98</v>
      </c>
      <c r="L410" s="93">
        <f t="shared" ref="L410" si="410">+K410/J410-1</f>
        <v>2.7632686754506253E-3</v>
      </c>
      <c r="M410" s="92">
        <f t="shared" ref="M410" si="411">WEEKDAY(A410,2)</f>
        <v>1</v>
      </c>
    </row>
    <row r="411" spans="1:13" x14ac:dyDescent="0.15">
      <c r="A411" s="90">
        <v>42976</v>
      </c>
      <c r="B411">
        <v>44.27</v>
      </c>
      <c r="C411" s="93">
        <f t="shared" ref="C411" si="412">B411/B410-1</f>
        <v>9.0436355414880154E-4</v>
      </c>
      <c r="D411" s="38">
        <f t="shared" si="324"/>
        <v>44.034086046528309</v>
      </c>
      <c r="E411" s="92"/>
      <c r="F411">
        <v>44.04</v>
      </c>
      <c r="G411" s="42">
        <f t="shared" ref="G411" si="413">+B411/D411-1</f>
        <v>5.3575303736841384E-3</v>
      </c>
      <c r="H411" s="92"/>
      <c r="I411" s="93">
        <f t="shared" si="316"/>
        <v>5.2225249772934745E-3</v>
      </c>
      <c r="J411">
        <v>19508.98</v>
      </c>
      <c r="K411">
        <v>19457.759999999998</v>
      </c>
      <c r="L411" s="93">
        <f t="shared" ref="L411" si="414">+K411/J411-1</f>
        <v>-2.625457609777726E-3</v>
      </c>
      <c r="M411" s="92">
        <f t="shared" ref="M411" si="415">WEEKDAY(A411,2)</f>
        <v>2</v>
      </c>
    </row>
    <row r="412" spans="1:13" x14ac:dyDescent="0.15">
      <c r="A412" s="90">
        <v>42977</v>
      </c>
      <c r="B412">
        <v>44.27</v>
      </c>
      <c r="C412" s="93">
        <f t="shared" ref="C412" si="416">B412/B411-1</f>
        <v>0</v>
      </c>
      <c r="D412" s="38">
        <f t="shared" si="324"/>
        <v>44.357527382391396</v>
      </c>
      <c r="E412" s="92"/>
      <c r="F412">
        <v>44.35</v>
      </c>
      <c r="G412" s="42">
        <f t="shared" ref="G412" si="417">+B412/D412-1</f>
        <v>-1.9732250095197967E-3</v>
      </c>
      <c r="H412" s="92"/>
      <c r="I412" s="93">
        <f t="shared" si="316"/>
        <v>-1.8038331454339751E-3</v>
      </c>
      <c r="J412">
        <v>19457.759999999998</v>
      </c>
      <c r="K412">
        <v>19598.05</v>
      </c>
      <c r="L412" s="93">
        <f t="shared" ref="L412" si="418">+K412/J412-1</f>
        <v>7.2099768935376396E-3</v>
      </c>
      <c r="M412" s="92">
        <f t="shared" ref="M412" si="419">WEEKDAY(A412,2)</f>
        <v>3</v>
      </c>
    </row>
    <row r="413" spans="1:13" x14ac:dyDescent="0.15">
      <c r="A413" s="90">
        <v>42978</v>
      </c>
      <c r="B413">
        <v>44.24</v>
      </c>
      <c r="C413" s="93">
        <f t="shared" ref="C413" si="420">B413/B412-1</f>
        <v>-6.7765981477296844E-4</v>
      </c>
      <c r="D413" s="38">
        <f t="shared" si="324"/>
        <v>44.081746321700372</v>
      </c>
      <c r="E413" s="92"/>
      <c r="F413">
        <v>44.08</v>
      </c>
      <c r="G413" s="42">
        <f t="shared" ref="G413" si="421">+B413/D413-1</f>
        <v>3.5900047412986691E-3</v>
      </c>
      <c r="H413" s="92"/>
      <c r="I413" s="93">
        <f t="shared" si="316"/>
        <v>3.6297640653357721E-3</v>
      </c>
      <c r="J413">
        <v>19598.05</v>
      </c>
      <c r="K413">
        <v>19479.509999999998</v>
      </c>
      <c r="L413" s="93">
        <f t="shared" ref="L413" si="422">+K413/J413-1</f>
        <v>-6.0485609537683782E-3</v>
      </c>
      <c r="M413" s="92">
        <f t="shared" ref="M413" si="423">WEEKDAY(A413,2)</f>
        <v>4</v>
      </c>
    </row>
    <row r="414" spans="1:13" x14ac:dyDescent="0.15">
      <c r="A414" s="90">
        <v>42979</v>
      </c>
      <c r="B414">
        <v>44.26</v>
      </c>
      <c r="C414" s="93">
        <f t="shared" ref="C414" si="424">B414/B413-1</f>
        <v>4.5207956600346044E-4</v>
      </c>
      <c r="D414" s="38">
        <f t="shared" si="324"/>
        <v>44.009262039958912</v>
      </c>
      <c r="E414" s="92"/>
      <c r="F414">
        <v>44.06</v>
      </c>
      <c r="G414" s="42">
        <f t="shared" ref="G414" si="425">+B414/D414-1</f>
        <v>5.6973906950184006E-3</v>
      </c>
      <c r="H414" s="92"/>
      <c r="I414" s="93">
        <f t="shared" si="316"/>
        <v>4.5392646391284597E-3</v>
      </c>
      <c r="J414">
        <v>19479.509999999998</v>
      </c>
      <c r="K414">
        <v>19448.25</v>
      </c>
      <c r="L414" s="93">
        <f t="shared" ref="L414" si="426">+K414/J414-1</f>
        <v>-1.6047631588268496E-3</v>
      </c>
      <c r="M414" s="92">
        <f t="shared" ref="M414" si="427">WEEKDAY(A414,2)</f>
        <v>5</v>
      </c>
    </row>
    <row r="415" spans="1:13" x14ac:dyDescent="0.15">
      <c r="A415" s="90">
        <v>42982</v>
      </c>
      <c r="B415">
        <v>44.26</v>
      </c>
      <c r="C415" s="93">
        <f t="shared" ref="C415" si="428">B415/B414-1</f>
        <v>0</v>
      </c>
      <c r="D415" s="38">
        <f t="shared" si="324"/>
        <v>43.642740308253963</v>
      </c>
      <c r="E415" s="92"/>
      <c r="F415">
        <v>43.64</v>
      </c>
      <c r="G415" s="42">
        <f t="shared" ref="G415" si="429">+B415/D415-1</f>
        <v>1.4143467788371167E-2</v>
      </c>
      <c r="H415" s="92"/>
      <c r="I415" s="93">
        <f t="shared" si="316"/>
        <v>1.4207149404216191E-2</v>
      </c>
      <c r="J415">
        <v>19448.25</v>
      </c>
      <c r="K415">
        <v>19264.07</v>
      </c>
      <c r="L415" s="93">
        <f t="shared" ref="L415" si="430">+K415/J415-1</f>
        <v>-9.4702608203822702E-3</v>
      </c>
      <c r="M415" s="92">
        <f t="shared" ref="M415" si="431">WEEKDAY(A415,2)</f>
        <v>1</v>
      </c>
    </row>
    <row r="416" spans="1:13" x14ac:dyDescent="0.15">
      <c r="A416" s="90">
        <v>42983</v>
      </c>
      <c r="B416">
        <v>43.65</v>
      </c>
      <c r="C416" s="93">
        <f t="shared" ref="C416" si="432">B416/B415-1</f>
        <v>-1.3782196113872547E-2</v>
      </c>
      <c r="D416" s="38">
        <f t="shared" si="324"/>
        <v>43.70521963427251</v>
      </c>
      <c r="E416" s="92"/>
      <c r="F416">
        <v>43.72</v>
      </c>
      <c r="G416" s="42">
        <f t="shared" ref="G416" si="433">+B416/D416-1</f>
        <v>-1.2634562812998684E-3</v>
      </c>
      <c r="H416" s="92"/>
      <c r="I416" s="93">
        <f t="shared" si="316"/>
        <v>-1.6010978956999544E-3</v>
      </c>
      <c r="J416">
        <v>19264.07</v>
      </c>
      <c r="K416">
        <v>19292.86</v>
      </c>
      <c r="L416" s="93">
        <f t="shared" ref="L416" si="434">+K416/J416-1</f>
        <v>1.4944920777384407E-3</v>
      </c>
      <c r="M416" s="92">
        <f t="shared" ref="M416" si="435">WEEKDAY(A416,2)</f>
        <v>2</v>
      </c>
    </row>
    <row r="417" spans="1:13" x14ac:dyDescent="0.15">
      <c r="A417" s="90">
        <v>42984</v>
      </c>
      <c r="B417">
        <v>43.83</v>
      </c>
      <c r="C417" s="93">
        <f t="shared" ref="C417" si="436">B417/B416-1</f>
        <v>4.1237113402061709E-3</v>
      </c>
      <c r="D417" s="38">
        <f t="shared" si="324"/>
        <v>43.578253986189708</v>
      </c>
      <c r="E417" s="92"/>
      <c r="F417">
        <v>43.58</v>
      </c>
      <c r="G417" s="42">
        <f t="shared" ref="G417" si="437">+B417/D417-1</f>
        <v>5.7768724256384019E-3</v>
      </c>
      <c r="H417" s="92"/>
      <c r="I417" s="93">
        <f t="shared" si="316"/>
        <v>5.7365764111978468E-3</v>
      </c>
      <c r="J417">
        <v>19292.86</v>
      </c>
      <c r="K417">
        <v>19230.310000000001</v>
      </c>
      <c r="L417" s="93">
        <f t="shared" ref="L417" si="438">+K417/J417-1</f>
        <v>-3.2421320633643225E-3</v>
      </c>
      <c r="M417" s="92">
        <f t="shared" ref="M417" si="439">WEEKDAY(A417,2)</f>
        <v>3</v>
      </c>
    </row>
    <row r="418" spans="1:13" x14ac:dyDescent="0.15">
      <c r="A418" s="90">
        <v>42985</v>
      </c>
      <c r="B418">
        <v>43.97</v>
      </c>
      <c r="C418" s="93">
        <f t="shared" ref="C418" si="440">B418/B417-1</f>
        <v>3.1941592516542272E-3</v>
      </c>
      <c r="D418" s="38">
        <f t="shared" si="324"/>
        <v>43.642819455328592</v>
      </c>
      <c r="E418" s="92"/>
      <c r="F418">
        <v>43.64</v>
      </c>
      <c r="G418" s="42">
        <f t="shared" ref="G418" si="441">+B418/D418-1</f>
        <v>7.4967783647961195E-3</v>
      </c>
      <c r="H418" s="92"/>
      <c r="I418" s="93">
        <f t="shared" si="316"/>
        <v>7.5618698441795029E-3</v>
      </c>
      <c r="J418">
        <v>19230.310000000001</v>
      </c>
      <c r="K418">
        <v>19258.03</v>
      </c>
      <c r="L418" s="93">
        <f t="shared" ref="L418" si="442">+K418/J418-1</f>
        <v>1.4414744224091613E-3</v>
      </c>
      <c r="M418" s="92">
        <f t="shared" ref="M418" si="443">WEEKDAY(A418,2)</f>
        <v>4</v>
      </c>
    </row>
    <row r="419" spans="1:13" x14ac:dyDescent="0.15">
      <c r="A419" s="90">
        <v>42986</v>
      </c>
      <c r="B419">
        <v>43.79</v>
      </c>
      <c r="C419" s="93">
        <f t="shared" ref="C419" si="444">B419/B418-1</f>
        <v>-4.0937002501705289E-3</v>
      </c>
      <c r="D419" s="38">
        <f t="shared" si="324"/>
        <v>43.782399695088237</v>
      </c>
      <c r="E419" s="92"/>
      <c r="F419">
        <v>43.82</v>
      </c>
      <c r="G419" s="42">
        <f t="shared" ref="G419" si="445">+B419/D419-1</f>
        <v>1.7359269854311243E-4</v>
      </c>
      <c r="H419" s="92"/>
      <c r="I419" s="93">
        <f t="shared" si="316"/>
        <v>-6.8461889548154797E-4</v>
      </c>
      <c r="J419">
        <v>19258.03</v>
      </c>
      <c r="K419">
        <v>19320.87</v>
      </c>
      <c r="L419" s="93">
        <f t="shared" ref="L419" si="446">+K419/J419-1</f>
        <v>3.2630544245699777E-3</v>
      </c>
      <c r="M419" s="92">
        <f t="shared" ref="M419" si="447">WEEKDAY(A419,2)</f>
        <v>5</v>
      </c>
    </row>
    <row r="420" spans="1:13" x14ac:dyDescent="0.15">
      <c r="A420" s="90">
        <v>42989</v>
      </c>
      <c r="B420">
        <v>44.53</v>
      </c>
      <c r="C420" s="93">
        <f t="shared" ref="C420" si="448">B420/B419-1</f>
        <v>1.6898835350536601E-2</v>
      </c>
      <c r="D420" s="38">
        <f t="shared" si="324"/>
        <v>44.288050010170352</v>
      </c>
      <c r="E420" s="92"/>
      <c r="F420">
        <v>44.31</v>
      </c>
      <c r="G420" s="42">
        <f t="shared" ref="G420" si="449">+B420/D420-1</f>
        <v>5.4630987314656654E-3</v>
      </c>
      <c r="H420" s="92"/>
      <c r="I420" s="93">
        <f t="shared" si="316"/>
        <v>4.9650191830286072E-3</v>
      </c>
      <c r="J420">
        <v>19320.87</v>
      </c>
      <c r="K420">
        <v>19527.240000000002</v>
      </c>
      <c r="L420" s="93">
        <f t="shared" ref="L420" si="450">+K420/J420-1</f>
        <v>1.0681196033097917E-2</v>
      </c>
      <c r="M420" s="92">
        <f t="shared" ref="M420" si="451">WEEKDAY(A420,2)</f>
        <v>1</v>
      </c>
    </row>
    <row r="421" spans="1:13" x14ac:dyDescent="0.15">
      <c r="A421" s="90">
        <v>42990</v>
      </c>
      <c r="B421">
        <v>44.39</v>
      </c>
      <c r="C421" s="93">
        <f t="shared" ref="C421" si="452">B421/B420-1</f>
        <v>-3.1439479002919324E-3</v>
      </c>
      <c r="D421" s="38">
        <f t="shared" si="324"/>
        <v>44.395296892955685</v>
      </c>
      <c r="E421" s="92"/>
      <c r="F421">
        <v>44.39</v>
      </c>
      <c r="G421" s="42">
        <f t="shared" ref="G421" si="453">+B421/D421-1</f>
        <v>-1.1931202911996674E-4</v>
      </c>
      <c r="H421" s="92"/>
      <c r="I421" s="93">
        <f t="shared" si="316"/>
        <v>0</v>
      </c>
      <c r="J421">
        <v>19527.240000000002</v>
      </c>
      <c r="K421">
        <v>19564.830000000002</v>
      </c>
      <c r="L421" s="93">
        <f t="shared" ref="L421" si="454">+K421/J421-1</f>
        <v>1.9250032262623229E-3</v>
      </c>
      <c r="M421" s="92">
        <f t="shared" ref="M421" si="455">WEEKDAY(A421,2)</f>
        <v>2</v>
      </c>
    </row>
    <row r="422" spans="1:13" x14ac:dyDescent="0.15">
      <c r="A422" s="90">
        <v>42991</v>
      </c>
      <c r="B422">
        <v>44.08</v>
      </c>
      <c r="C422" s="93">
        <f t="shared" ref="C422" si="456">B422/B421-1</f>
        <v>-6.9835548546970383E-3</v>
      </c>
      <c r="D422" s="38">
        <f t="shared" si="324"/>
        <v>44.192812756359238</v>
      </c>
      <c r="E422" s="92"/>
      <c r="F422">
        <v>44.21</v>
      </c>
      <c r="G422" s="42">
        <f t="shared" ref="G422" si="457">+B422/D422-1</f>
        <v>-2.5527398987068572E-3</v>
      </c>
      <c r="H422" s="92"/>
      <c r="I422" s="93">
        <f t="shared" si="316"/>
        <v>-2.9405111965619124E-3</v>
      </c>
      <c r="J422">
        <v>19564.830000000002</v>
      </c>
      <c r="K422">
        <v>19477.919999999998</v>
      </c>
      <c r="L422" s="93">
        <f t="shared" ref="L422" si="458">+K422/J422-1</f>
        <v>-4.4421546213283536E-3</v>
      </c>
      <c r="M422" s="92">
        <f t="shared" ref="M422" si="459">WEEKDAY(A422,2)</f>
        <v>3</v>
      </c>
    </row>
    <row r="423" spans="1:13" x14ac:dyDescent="0.15">
      <c r="A423" s="90">
        <v>42992</v>
      </c>
      <c r="B423">
        <v>44.01</v>
      </c>
      <c r="C423" s="93">
        <f t="shared" ref="C423" si="460">B423/B422-1</f>
        <v>-1.5880217785844142E-3</v>
      </c>
      <c r="D423" s="38">
        <f t="shared" si="324"/>
        <v>44.025514757222545</v>
      </c>
      <c r="E423" s="92"/>
      <c r="F423">
        <v>44.03</v>
      </c>
      <c r="G423" s="42">
        <f t="shared" ref="G423" si="461">+B423/D423-1</f>
        <v>-3.5240376650003125E-4</v>
      </c>
      <c r="H423" s="92"/>
      <c r="I423" s="93">
        <f t="shared" si="316"/>
        <v>-4.5423574835345981E-4</v>
      </c>
      <c r="J423">
        <v>19477.919999999998</v>
      </c>
      <c r="K423">
        <v>19396.64</v>
      </c>
      <c r="L423" s="93">
        <f t="shared" ref="L423" si="462">+K423/J423-1</f>
        <v>-4.1729301691350029E-3</v>
      </c>
      <c r="M423" s="92">
        <f t="shared" ref="M423" si="463">WEEKDAY(A423,2)</f>
        <v>4</v>
      </c>
    </row>
    <row r="424" spans="1:13" x14ac:dyDescent="0.15">
      <c r="A424" s="90">
        <v>42993</v>
      </c>
      <c r="B424">
        <v>44.34</v>
      </c>
      <c r="C424" s="93">
        <f t="shared" ref="C424" si="464">B424/B423-1</f>
        <v>7.4982958418543522E-3</v>
      </c>
      <c r="D424" s="38">
        <f t="shared" si="324"/>
        <v>44.117507759075799</v>
      </c>
      <c r="E424" s="92"/>
      <c r="F424">
        <v>44.11</v>
      </c>
      <c r="G424" s="42">
        <f t="shared" ref="G424" si="465">+B424/D424-1</f>
        <v>5.0431733845717197E-3</v>
      </c>
      <c r="H424" s="92"/>
      <c r="I424" s="93">
        <f t="shared" si="316"/>
        <v>5.2142371344368055E-3</v>
      </c>
      <c r="J424">
        <v>19396.64</v>
      </c>
      <c r="K424">
        <v>19435.189999999999</v>
      </c>
      <c r="L424" s="93">
        <f t="shared" ref="L424" si="466">+K424/J424-1</f>
        <v>1.9874576215261897E-3</v>
      </c>
      <c r="M424" s="92">
        <f t="shared" ref="M424" si="467">WEEKDAY(A424,2)</f>
        <v>5</v>
      </c>
    </row>
    <row r="425" spans="1:13" x14ac:dyDescent="0.15">
      <c r="A425" s="90">
        <v>42996</v>
      </c>
      <c r="B425">
        <v>44.82</v>
      </c>
      <c r="C425" s="93">
        <f t="shared" ref="C425" si="468">B425/B424-1</f>
        <v>1.0825439783491042E-2</v>
      </c>
      <c r="D425" s="38">
        <f t="shared" si="324"/>
        <v>44.872424874673214</v>
      </c>
      <c r="E425" s="92"/>
      <c r="F425">
        <v>44.87</v>
      </c>
      <c r="G425" s="42">
        <f t="shared" ref="G425" si="469">+B425/D425-1</f>
        <v>-1.1683093752931084E-3</v>
      </c>
      <c r="H425" s="92"/>
      <c r="I425" s="93">
        <f t="shared" si="316"/>
        <v>-1.1143302874971894E-3</v>
      </c>
      <c r="J425">
        <v>19435.189999999999</v>
      </c>
      <c r="K425">
        <v>19771.12</v>
      </c>
      <c r="L425" s="93">
        <f t="shared" ref="L425" si="470">+K425/J425-1</f>
        <v>1.7284626494518562E-2</v>
      </c>
      <c r="M425" s="92">
        <f t="shared" ref="M425" si="471">WEEKDAY(A425,2)</f>
        <v>1</v>
      </c>
    </row>
    <row r="426" spans="1:13" x14ac:dyDescent="0.15">
      <c r="A426" s="90">
        <v>42997</v>
      </c>
      <c r="B426">
        <v>44.88</v>
      </c>
      <c r="C426" s="93">
        <f t="shared" ref="C426" si="472">B426/B425-1</f>
        <v>1.3386880856760541E-3</v>
      </c>
      <c r="D426" s="38">
        <f t="shared" si="324"/>
        <v>44.74772085749315</v>
      </c>
      <c r="E426" s="92"/>
      <c r="F426">
        <v>44.75</v>
      </c>
      <c r="G426" s="42">
        <f t="shared" ref="G426" si="473">+B426/D426-1</f>
        <v>2.9561090480589858E-3</v>
      </c>
      <c r="H426" s="92"/>
      <c r="I426" s="93">
        <f t="shared" si="316"/>
        <v>2.9050279329609907E-3</v>
      </c>
      <c r="J426">
        <v>19771.12</v>
      </c>
      <c r="K426">
        <v>19717.240000000002</v>
      </c>
      <c r="L426" s="93">
        <f t="shared" ref="L426" si="474">+K426/J426-1</f>
        <v>-2.7251870404912948E-3</v>
      </c>
      <c r="M426" s="92">
        <f t="shared" ref="M426" si="475">WEEKDAY(A426,2)</f>
        <v>2</v>
      </c>
    </row>
    <row r="427" spans="1:13" x14ac:dyDescent="0.15">
      <c r="A427" s="90">
        <v>42998</v>
      </c>
      <c r="B427">
        <v>44.96</v>
      </c>
      <c r="C427" s="93">
        <f t="shared" ref="C427" si="476">B427/B426-1</f>
        <v>1.7825311942958333E-3</v>
      </c>
      <c r="D427" s="38">
        <f t="shared" si="324"/>
        <v>45.034515479854178</v>
      </c>
      <c r="E427" s="92"/>
      <c r="F427">
        <v>45.03</v>
      </c>
      <c r="G427" s="42">
        <f t="shared" ref="G427" si="477">+B427/D427-1</f>
        <v>-1.6546304331288564E-3</v>
      </c>
      <c r="H427" s="92"/>
      <c r="I427" s="93">
        <f t="shared" si="316"/>
        <v>-1.554519209415961E-3</v>
      </c>
      <c r="J427">
        <v>19717.240000000002</v>
      </c>
      <c r="K427">
        <v>19842.599999999999</v>
      </c>
      <c r="L427" s="93">
        <f t="shared" ref="L427" si="478">+K427/J427-1</f>
        <v>6.3578878179704201E-3</v>
      </c>
      <c r="M427" s="92">
        <f t="shared" ref="M427" si="479">WEEKDAY(A427,2)</f>
        <v>3</v>
      </c>
    </row>
    <row r="428" spans="1:13" x14ac:dyDescent="0.15">
      <c r="A428" s="90">
        <v>42999</v>
      </c>
      <c r="B428">
        <v>45.07</v>
      </c>
      <c r="C428" s="93">
        <f t="shared" ref="C428" si="480">B428/B427-1</f>
        <v>2.4466192170817802E-3</v>
      </c>
      <c r="D428" s="38">
        <f t="shared" si="324"/>
        <v>45.11112961507061</v>
      </c>
      <c r="E428" s="92"/>
      <c r="F428">
        <v>45.11</v>
      </c>
      <c r="G428" s="42">
        <f t="shared" ref="G428" si="481">+B428/D428-1</f>
        <v>-9.1173986157222497E-4</v>
      </c>
      <c r="H428" s="92"/>
      <c r="I428" s="93">
        <f t="shared" si="316"/>
        <v>-8.8672134781642153E-4</v>
      </c>
      <c r="J428">
        <v>19842.599999999999</v>
      </c>
      <c r="K428">
        <v>19878.349999999999</v>
      </c>
      <c r="L428" s="93">
        <f t="shared" ref="L428" si="482">+K428/J428-1</f>
        <v>1.8016792154254002E-3</v>
      </c>
      <c r="M428" s="92">
        <f t="shared" ref="M428" si="483">WEEKDAY(A428,2)</f>
        <v>4</v>
      </c>
    </row>
    <row r="429" spans="1:13" x14ac:dyDescent="0.15">
      <c r="A429" s="90">
        <v>43000</v>
      </c>
      <c r="B429">
        <v>44.58</v>
      </c>
      <c r="C429" s="93">
        <f t="shared" ref="C429" si="484">B429/B428-1</f>
        <v>-1.0871976924783699E-2</v>
      </c>
      <c r="D429" s="38">
        <f t="shared" si="324"/>
        <v>44.626956155817773</v>
      </c>
      <c r="E429" s="92"/>
      <c r="F429">
        <v>44.63</v>
      </c>
      <c r="G429" s="42">
        <f t="shared" ref="G429" si="485">+B429/D429-1</f>
        <v>-1.0521926625204348E-3</v>
      </c>
      <c r="H429" s="92"/>
      <c r="I429" s="93">
        <f t="shared" si="316"/>
        <v>-1.1203226529241661E-3</v>
      </c>
      <c r="J429">
        <v>19878.349999999999</v>
      </c>
      <c r="K429">
        <v>19665.490000000002</v>
      </c>
      <c r="L429" s="93">
        <f t="shared" ref="L429" si="486">+K429/J429-1</f>
        <v>-1.0708132214192645E-2</v>
      </c>
      <c r="M429" s="92">
        <f t="shared" ref="M429" si="487">WEEKDAY(A429,2)</f>
        <v>5</v>
      </c>
    </row>
    <row r="430" spans="1:13" x14ac:dyDescent="0.15">
      <c r="A430" s="90">
        <v>43003</v>
      </c>
      <c r="B430">
        <v>43.39</v>
      </c>
      <c r="C430" s="93">
        <f t="shared" ref="C430" si="488">B430/B429-1</f>
        <v>-2.6693584567070383E-2</v>
      </c>
      <c r="D430" s="38">
        <f t="shared" si="324"/>
        <v>43.578242469422321</v>
      </c>
      <c r="E430" s="92"/>
      <c r="F430">
        <v>43.59</v>
      </c>
      <c r="G430" s="42">
        <f t="shared" ref="G430" si="489">+B430/D430-1</f>
        <v>-4.3196434448774523E-3</v>
      </c>
      <c r="H430" s="92"/>
      <c r="I430" s="93">
        <f t="shared" si="316"/>
        <v>-4.5882083046571154E-3</v>
      </c>
      <c r="J430">
        <v>19665.490000000002</v>
      </c>
      <c r="K430">
        <v>19202.05</v>
      </c>
      <c r="L430" s="93">
        <f t="shared" ref="L430" si="490">+K430/J430-1</f>
        <v>-2.3566155737792527E-2</v>
      </c>
      <c r="M430" s="92">
        <f t="shared" ref="M430" si="491">WEEKDAY(A430,2)</f>
        <v>1</v>
      </c>
    </row>
    <row r="431" spans="1:13" x14ac:dyDescent="0.15">
      <c r="A431" s="90">
        <v>43004</v>
      </c>
      <c r="B431">
        <v>43.74</v>
      </c>
      <c r="C431" s="93">
        <f t="shared" ref="C431" si="492">B431/B430-1</f>
        <v>8.0663747407236919E-3</v>
      </c>
      <c r="D431" s="38">
        <f t="shared" si="324"/>
        <v>43.788449530128304</v>
      </c>
      <c r="E431" s="92"/>
      <c r="F431">
        <v>43.78</v>
      </c>
      <c r="G431" s="42">
        <f t="shared" ref="G431" si="493">+B431/D431-1</f>
        <v>-1.1064454359126508E-3</v>
      </c>
      <c r="H431" s="92"/>
      <c r="I431" s="93">
        <f t="shared" si="316"/>
        <v>-9.1365920511643495E-4</v>
      </c>
      <c r="J431">
        <v>19202.05</v>
      </c>
      <c r="K431">
        <v>19289.47</v>
      </c>
      <c r="L431" s="93">
        <f t="shared" ref="L431" si="494">+K431/J431-1</f>
        <v>4.5526389109498133E-3</v>
      </c>
      <c r="M431" s="92">
        <f t="shared" ref="M431" si="495">WEEKDAY(A431,2)</f>
        <v>2</v>
      </c>
    </row>
    <row r="432" spans="1:13" x14ac:dyDescent="0.15">
      <c r="A432" s="90">
        <v>43005</v>
      </c>
      <c r="B432">
        <v>43.9</v>
      </c>
      <c r="C432" s="93">
        <f t="shared" ref="C432" si="496">B432/B431-1</f>
        <v>3.6579789666209006E-3</v>
      </c>
      <c r="D432" s="38">
        <f t="shared" si="324"/>
        <v>44.148406679913968</v>
      </c>
      <c r="E432" s="92"/>
      <c r="F432">
        <v>44.15</v>
      </c>
      <c r="G432" s="42">
        <f t="shared" ref="G432" si="497">+B432/D432-1</f>
        <v>-5.6266284243273734E-3</v>
      </c>
      <c r="H432" s="92"/>
      <c r="I432" s="93">
        <f t="shared" si="316"/>
        <v>-5.6625141562853809E-3</v>
      </c>
      <c r="J432">
        <v>19289.47</v>
      </c>
      <c r="K432">
        <v>19451.79</v>
      </c>
      <c r="L432" s="93">
        <f t="shared" ref="L432" si="498">+K432/J432-1</f>
        <v>8.4149538582449779E-3</v>
      </c>
      <c r="M432" s="92">
        <f t="shared" ref="M432" si="499">WEEKDAY(A432,2)</f>
        <v>3</v>
      </c>
    </row>
    <row r="433" spans="1:14" x14ac:dyDescent="0.15">
      <c r="A433" s="90">
        <v>43006</v>
      </c>
      <c r="B433">
        <v>43.53</v>
      </c>
      <c r="C433" s="93">
        <f t="shared" ref="C433" si="500">B433/B432-1</f>
        <v>-8.4282460136673176E-3</v>
      </c>
      <c r="D433" s="38">
        <f t="shared" si="324"/>
        <v>43.487470484721456</v>
      </c>
      <c r="E433" s="92"/>
      <c r="F433">
        <v>43.49</v>
      </c>
      <c r="G433" s="42">
        <f t="shared" ref="G433" si="501">+B433/D433-1</f>
        <v>9.7797169631852476E-4</v>
      </c>
      <c r="H433" s="92"/>
      <c r="I433" s="93">
        <f t="shared" si="316"/>
        <v>9.1975166704982847E-4</v>
      </c>
      <c r="J433">
        <v>19451.79</v>
      </c>
      <c r="K433">
        <v>19159.89</v>
      </c>
      <c r="L433" s="93">
        <f t="shared" ref="L433" si="502">+K433/J433-1</f>
        <v>-1.5006331036886644E-2</v>
      </c>
      <c r="M433" s="92">
        <f t="shared" ref="M433" si="503">WEEKDAY(A433,2)</f>
        <v>4</v>
      </c>
    </row>
    <row r="434" spans="1:14" x14ac:dyDescent="0.15">
      <c r="A434" s="90">
        <v>43007</v>
      </c>
      <c r="B434">
        <v>44.04</v>
      </c>
      <c r="C434" s="93">
        <f t="shared" ref="C434" si="504">B434/B433-1</f>
        <v>1.1716057891109521E-2</v>
      </c>
      <c r="D434" s="38">
        <f t="shared" si="324"/>
        <v>43.686977237343221</v>
      </c>
      <c r="E434" s="92"/>
      <c r="F434">
        <v>43.69</v>
      </c>
      <c r="G434" s="42">
        <f t="shared" ref="G434" si="505">+B434/D434-1</f>
        <v>8.0807321765219431E-3</v>
      </c>
      <c r="H434" s="92"/>
      <c r="I434" s="93">
        <f t="shared" si="316"/>
        <v>8.010986495765593E-3</v>
      </c>
      <c r="J434">
        <v>19159.89</v>
      </c>
      <c r="K434">
        <v>19246.669999999998</v>
      </c>
      <c r="L434" s="93">
        <f t="shared" ref="L434" si="506">+K434/J434-1</f>
        <v>4.5292535604326556E-3</v>
      </c>
      <c r="M434" s="92">
        <f t="shared" ref="M434" si="507">WEEKDAY(A434,2)</f>
        <v>5</v>
      </c>
    </row>
    <row r="435" spans="1:14" x14ac:dyDescent="0.15">
      <c r="A435" s="90">
        <v>43010</v>
      </c>
      <c r="B435">
        <v>44.18</v>
      </c>
      <c r="C435" s="93">
        <f t="shared" ref="C435" si="508">B435/B434-1</f>
        <v>3.1789282470482405E-3</v>
      </c>
      <c r="D435" s="38">
        <f t="shared" si="324"/>
        <v>43.69</v>
      </c>
      <c r="E435" s="92"/>
      <c r="F435">
        <v>43.7</v>
      </c>
      <c r="G435" s="42">
        <f t="shared" ref="G435" si="509">+B435/D435-1</f>
        <v>1.121538109407183E-2</v>
      </c>
      <c r="H435" s="92"/>
      <c r="I435" s="93">
        <f t="shared" si="316"/>
        <v>1.0983981693363676E-2</v>
      </c>
      <c r="J435">
        <v>19246.669999999998</v>
      </c>
      <c r="K435">
        <v>19246.669999999998</v>
      </c>
      <c r="L435" s="93">
        <f t="shared" ref="L435" si="510">+K435/J435-1</f>
        <v>0</v>
      </c>
      <c r="M435" s="92">
        <f t="shared" ref="M435" si="511">WEEKDAY(A435,2)</f>
        <v>1</v>
      </c>
    </row>
    <row r="436" spans="1:14" x14ac:dyDescent="0.15">
      <c r="A436" s="90">
        <v>43011</v>
      </c>
      <c r="B436">
        <v>45.53</v>
      </c>
      <c r="C436" s="93">
        <f t="shared" ref="C436" si="512">B436/B435-1</f>
        <v>3.0556813037573516E-2</v>
      </c>
      <c r="D436" s="38">
        <f t="shared" si="324"/>
        <v>45.221409106094725</v>
      </c>
      <c r="E436" s="92"/>
      <c r="F436">
        <v>45.21</v>
      </c>
      <c r="G436" s="42">
        <f t="shared" ref="G436" si="513">+B436/D436-1</f>
        <v>6.8239999594281731E-3</v>
      </c>
      <c r="H436" s="92"/>
      <c r="I436" s="93">
        <f t="shared" si="316"/>
        <v>7.0780800707808122E-3</v>
      </c>
      <c r="J436">
        <v>19246.669999999998</v>
      </c>
      <c r="K436">
        <v>19916.740000000002</v>
      </c>
      <c r="L436" s="93">
        <f t="shared" ref="L436" si="514">+K436/J436-1</f>
        <v>3.4814853686378155E-2</v>
      </c>
      <c r="M436" s="92">
        <f t="shared" ref="M436" si="515">WEEKDAY(A436,2)</f>
        <v>2</v>
      </c>
      <c r="N436" s="50" t="s">
        <v>462</v>
      </c>
    </row>
    <row r="437" spans="1:14" x14ac:dyDescent="0.15">
      <c r="A437" s="90">
        <v>43012</v>
      </c>
      <c r="B437">
        <v>45.64</v>
      </c>
      <c r="C437" s="93">
        <f t="shared" ref="C437" si="516">B437/B436-1</f>
        <v>2.4159894575004337E-3</v>
      </c>
      <c r="D437" s="38">
        <f t="shared" si="324"/>
        <v>45.691047761832507</v>
      </c>
      <c r="E437" s="92"/>
      <c r="F437">
        <v>45.69</v>
      </c>
      <c r="G437" s="42">
        <f t="shared" ref="G437" si="517">+B437/D437-1</f>
        <v>-1.1172377157686597E-3</v>
      </c>
      <c r="H437" s="92"/>
      <c r="I437" s="93">
        <f t="shared" si="316"/>
        <v>-1.0943313635368712E-3</v>
      </c>
      <c r="J437">
        <v>19916.740000000002</v>
      </c>
      <c r="K437">
        <v>20128.66</v>
      </c>
      <c r="L437" s="93">
        <f t="shared" ref="L437" si="518">+K437/J437-1</f>
        <v>1.0640295550376155E-2</v>
      </c>
      <c r="M437" s="92">
        <f t="shared" ref="M437" si="519">WEEKDAY(A437,2)</f>
        <v>3</v>
      </c>
      <c r="N437" s="50" t="s">
        <v>464</v>
      </c>
    </row>
    <row r="438" spans="1:14" x14ac:dyDescent="0.15">
      <c r="A438" s="90">
        <v>43013</v>
      </c>
      <c r="B438">
        <v>46.37</v>
      </c>
      <c r="C438" s="93">
        <f t="shared" ref="C438" si="520">B438/B437-1</f>
        <v>1.5994741454864014E-2</v>
      </c>
      <c r="D438" s="38">
        <f t="shared" si="324"/>
        <v>45.69</v>
      </c>
      <c r="E438" s="92"/>
      <c r="F438">
        <v>45.67</v>
      </c>
      <c r="G438" s="42">
        <f t="shared" ref="G438" si="521">+B438/D438-1</f>
        <v>1.4882906544101626E-2</v>
      </c>
      <c r="H438" s="92"/>
      <c r="I438" s="93">
        <f t="shared" si="316"/>
        <v>1.5327348368732174E-2</v>
      </c>
      <c r="J438">
        <v>20128.66</v>
      </c>
      <c r="K438">
        <v>20128.66</v>
      </c>
      <c r="L438" s="93">
        <f t="shared" ref="L438" si="522">+K438/J438-1</f>
        <v>0</v>
      </c>
      <c r="M438" s="92">
        <f t="shared" ref="M438" si="523">WEEKDAY(A438,2)</f>
        <v>4</v>
      </c>
      <c r="N438" s="50" t="s">
        <v>467</v>
      </c>
    </row>
    <row r="439" spans="1:14" x14ac:dyDescent="0.15">
      <c r="A439" s="90">
        <v>43014</v>
      </c>
      <c r="B439">
        <v>45.82</v>
      </c>
      <c r="C439" s="93">
        <f t="shared" ref="C439" si="524">B439/B438-1</f>
        <v>-1.1861117101574226E-2</v>
      </c>
      <c r="D439" s="38">
        <f t="shared" si="324"/>
        <v>45.955382762687627</v>
      </c>
      <c r="E439" s="92"/>
      <c r="F439">
        <v>45.97</v>
      </c>
      <c r="G439" s="42">
        <f t="shared" ref="G439" si="525">+B439/D439-1</f>
        <v>-2.9459609418713839E-3</v>
      </c>
      <c r="H439" s="92"/>
      <c r="I439" s="93">
        <f t="shared" si="316"/>
        <v>-3.2629976071351097E-3</v>
      </c>
      <c r="J439">
        <v>20128.66</v>
      </c>
      <c r="K439">
        <v>20254.439999999999</v>
      </c>
      <c r="L439" s="93">
        <f t="shared" ref="L439" si="526">+K439/J439-1</f>
        <v>6.2488014602064545E-3</v>
      </c>
      <c r="M439" s="92">
        <f t="shared" ref="M439" si="527">WEEKDAY(A439,2)</f>
        <v>5</v>
      </c>
      <c r="N439" s="50" t="s">
        <v>471</v>
      </c>
    </row>
    <row r="440" spans="1:14" x14ac:dyDescent="0.15">
      <c r="A440" s="90">
        <v>43017</v>
      </c>
      <c r="B440">
        <v>45.63</v>
      </c>
      <c r="C440" s="93">
        <f t="shared" ref="C440" si="528">B440/B439-1</f>
        <v>-4.1466608467917165E-3</v>
      </c>
      <c r="D440" s="38">
        <f t="shared" si="324"/>
        <v>45.560468716982555</v>
      </c>
      <c r="E440" s="92"/>
      <c r="F440">
        <v>45.56</v>
      </c>
      <c r="G440" s="42">
        <f t="shared" ref="G440" si="529">+B440/D440-1</f>
        <v>1.5261318633346121E-3</v>
      </c>
      <c r="H440" s="92"/>
      <c r="I440" s="93">
        <f t="shared" si="316"/>
        <v>1.5364354697102733E-3</v>
      </c>
      <c r="J440">
        <v>20254.439999999999</v>
      </c>
      <c r="K440">
        <v>20074</v>
      </c>
      <c r="L440" s="93">
        <f t="shared" ref="L440" si="530">+K440/J440-1</f>
        <v>-8.9086639768859444E-3</v>
      </c>
      <c r="M440" s="92">
        <f t="shared" ref="M440" si="531">WEEKDAY(A440,2)</f>
        <v>1</v>
      </c>
      <c r="N440" s="50" t="s">
        <v>478</v>
      </c>
    </row>
    <row r="441" spans="1:14" x14ac:dyDescent="0.15">
      <c r="A441" s="90">
        <v>43018</v>
      </c>
      <c r="B441">
        <v>46.03</v>
      </c>
      <c r="C441" s="93">
        <f t="shared" ref="C441" si="532">B441/B440-1</f>
        <v>8.7661626123163305E-3</v>
      </c>
      <c r="D441" s="38">
        <f t="shared" si="324"/>
        <v>45.750964351897984</v>
      </c>
      <c r="E441" s="92"/>
      <c r="F441">
        <v>45.75</v>
      </c>
      <c r="G441" s="42">
        <f t="shared" ref="G441" si="533">+B441/D441-1</f>
        <v>6.0990112898120508E-3</v>
      </c>
      <c r="H441" s="92"/>
      <c r="I441" s="93">
        <f t="shared" si="316"/>
        <v>6.1202185792350594E-3</v>
      </c>
      <c r="J441">
        <v>20074</v>
      </c>
      <c r="K441">
        <v>20158.14</v>
      </c>
      <c r="L441" s="93">
        <f t="shared" ref="L441" si="534">+K441/J441-1</f>
        <v>4.1914914815184279E-3</v>
      </c>
      <c r="M441" s="92">
        <f t="shared" ref="M441" si="535">WEEKDAY(A441,2)</f>
        <v>2</v>
      </c>
    </row>
    <row r="442" spans="1:14" ht="27" x14ac:dyDescent="0.15">
      <c r="A442" s="90">
        <v>43019</v>
      </c>
      <c r="B442">
        <v>45.85</v>
      </c>
      <c r="C442" s="93">
        <f t="shared" ref="C442" si="536">B442/B441-1</f>
        <v>-3.9104931566369405E-3</v>
      </c>
      <c r="D442" s="38">
        <f t="shared" si="324"/>
        <v>45.626445445859595</v>
      </c>
      <c r="E442" s="92"/>
      <c r="F442">
        <v>45.62</v>
      </c>
      <c r="G442" s="42">
        <f t="shared" ref="G442" si="537">+B442/D442-1</f>
        <v>4.8996706176833715E-3</v>
      </c>
      <c r="H442" s="92"/>
      <c r="I442" s="93">
        <f t="shared" si="316"/>
        <v>5.0416483998247941E-3</v>
      </c>
      <c r="J442">
        <v>20158.14</v>
      </c>
      <c r="K442">
        <v>20103.7</v>
      </c>
      <c r="L442" s="93">
        <f t="shared" ref="L442" si="538">+K442/J442-1</f>
        <v>-2.7006459921400383E-3</v>
      </c>
      <c r="M442" s="92">
        <f t="shared" ref="M442" si="539">WEEKDAY(A442,2)</f>
        <v>3</v>
      </c>
      <c r="N442" s="50" t="s">
        <v>485</v>
      </c>
    </row>
    <row r="443" spans="1:14" x14ac:dyDescent="0.15">
      <c r="A443" s="90">
        <v>43020</v>
      </c>
      <c r="B443">
        <v>45.87</v>
      </c>
      <c r="C443" s="93">
        <f t="shared" ref="C443" si="540">B443/B442-1</f>
        <v>4.3620501635754927E-4</v>
      </c>
      <c r="D443" s="38">
        <f t="shared" si="324"/>
        <v>45.859426881618802</v>
      </c>
      <c r="E443" s="92"/>
      <c r="F443">
        <v>45.86</v>
      </c>
      <c r="G443" s="42">
        <f t="shared" ref="G443" si="541">+B443/D443-1</f>
        <v>2.3055496110946372E-4</v>
      </c>
      <c r="H443" s="92"/>
      <c r="I443" s="93">
        <f t="shared" si="316"/>
        <v>2.1805494984739049E-4</v>
      </c>
      <c r="J443">
        <v>20103.7</v>
      </c>
      <c r="K443">
        <v>20209.21</v>
      </c>
      <c r="L443" s="93">
        <f t="shared" ref="L443" si="542">+K443/J443-1</f>
        <v>5.2482876286454871E-3</v>
      </c>
      <c r="M443" s="92">
        <f t="shared" ref="M443" si="543">WEEKDAY(A443,2)</f>
        <v>4</v>
      </c>
    </row>
    <row r="444" spans="1:14" x14ac:dyDescent="0.15">
      <c r="A444" s="90">
        <v>43021</v>
      </c>
      <c r="B444">
        <v>46.23</v>
      </c>
      <c r="C444" s="93">
        <f t="shared" ref="C444" si="544">B444/B443-1</f>
        <v>7.8482668410726486E-3</v>
      </c>
      <c r="D444" s="38">
        <f t="shared" si="324"/>
        <v>45.922608949088065</v>
      </c>
      <c r="E444" s="92"/>
      <c r="F444">
        <v>45.92</v>
      </c>
      <c r="G444" s="42">
        <f t="shared" ref="G444" si="545">+B444/D444-1</f>
        <v>6.6936756849489409E-3</v>
      </c>
      <c r="H444" s="92"/>
      <c r="I444" s="93">
        <f t="shared" si="316"/>
        <v>6.7508710801391647E-3</v>
      </c>
      <c r="J444">
        <v>20209.21</v>
      </c>
      <c r="K444">
        <v>20236.8</v>
      </c>
      <c r="L444" s="93">
        <f t="shared" ref="L444" si="546">+K444/J444-1</f>
        <v>1.3652191253394896E-3</v>
      </c>
      <c r="M444" s="92">
        <f t="shared" ref="M444" si="547">WEEKDAY(A444,2)</f>
        <v>5</v>
      </c>
    </row>
    <row r="445" spans="1:14" x14ac:dyDescent="0.15">
      <c r="A445" s="90">
        <v>43024</v>
      </c>
      <c r="B445">
        <v>46.3</v>
      </c>
      <c r="C445" s="93">
        <f t="shared" ref="C445" si="548">B445/B444-1</f>
        <v>1.51416828898987E-3</v>
      </c>
      <c r="D445" s="38">
        <f t="shared" si="324"/>
        <v>46.239562065148647</v>
      </c>
      <c r="E445" s="92"/>
      <c r="F445">
        <v>46.24</v>
      </c>
      <c r="G445" s="42">
        <f t="shared" ref="G445" si="549">+B445/D445-1</f>
        <v>1.3070611431440504E-3</v>
      </c>
      <c r="H445" s="92"/>
      <c r="I445" s="93">
        <f t="shared" si="316"/>
        <v>1.2975778546711059E-3</v>
      </c>
      <c r="J445">
        <v>20236.8</v>
      </c>
      <c r="K445">
        <v>20377.63</v>
      </c>
      <c r="L445" s="93">
        <f t="shared" ref="L445" si="550">+K445/J445-1</f>
        <v>6.9591042061987185E-3</v>
      </c>
      <c r="M445" s="92">
        <f t="shared" ref="M445" si="551">WEEKDAY(A445,2)</f>
        <v>1</v>
      </c>
      <c r="N445" s="50" t="s">
        <v>499</v>
      </c>
    </row>
    <row r="446" spans="1:14" x14ac:dyDescent="0.15">
      <c r="A446" s="90">
        <v>43025</v>
      </c>
      <c r="B446">
        <v>46.02</v>
      </c>
      <c r="C446" s="93">
        <f t="shared" ref="C446" si="552">B446/B445-1</f>
        <v>-6.0475161987040282E-3</v>
      </c>
      <c r="D446" s="38">
        <f t="shared" si="324"/>
        <v>46.14707810476488</v>
      </c>
      <c r="E446" s="92"/>
      <c r="F446">
        <v>46.15</v>
      </c>
      <c r="G446" s="42">
        <f t="shared" ref="G446" si="553">+B446/D446-1</f>
        <v>-2.7537627512705942E-3</v>
      </c>
      <c r="H446" s="92"/>
      <c r="I446" s="93">
        <f t="shared" si="316"/>
        <v>-2.8169014084505895E-3</v>
      </c>
      <c r="J446">
        <v>20377.63</v>
      </c>
      <c r="K446">
        <v>20336.68</v>
      </c>
      <c r="L446" s="93">
        <f t="shared" ref="L446" si="554">+K446/J446-1</f>
        <v>-2.009556557852954E-3</v>
      </c>
      <c r="M446" s="92">
        <f t="shared" ref="M446" si="555">WEEKDAY(A446,2)</f>
        <v>2</v>
      </c>
    </row>
    <row r="447" spans="1:14" x14ac:dyDescent="0.15">
      <c r="A447" s="90">
        <v>43026</v>
      </c>
      <c r="B447">
        <v>46.47</v>
      </c>
      <c r="C447" s="93">
        <f t="shared" ref="C447" si="556">B447/B446-1</f>
        <v>9.7783572359841919E-3</v>
      </c>
      <c r="D447" s="38">
        <f t="shared" si="324"/>
        <v>46.323692116904041</v>
      </c>
      <c r="E447" s="92"/>
      <c r="F447">
        <v>46.32</v>
      </c>
      <c r="G447" s="42">
        <f t="shared" ref="G447" si="557">+B447/D447-1</f>
        <v>3.1583813036044628E-3</v>
      </c>
      <c r="H447" s="92"/>
      <c r="I447" s="93">
        <f t="shared" si="316"/>
        <v>3.2383419689119286E-3</v>
      </c>
      <c r="J447">
        <v>20336.68</v>
      </c>
      <c r="K447">
        <v>20413.22</v>
      </c>
      <c r="L447" s="93">
        <f t="shared" ref="L447" si="558">+K447/J447-1</f>
        <v>3.763642836490666E-3</v>
      </c>
      <c r="M447" s="92">
        <f t="shared" ref="M447" si="559">WEEKDAY(A447,2)</f>
        <v>3</v>
      </c>
    </row>
    <row r="448" spans="1:14" x14ac:dyDescent="0.15">
      <c r="A448" s="90">
        <v>43027</v>
      </c>
      <c r="B448">
        <v>45.56</v>
      </c>
      <c r="C448" s="93">
        <f t="shared" ref="C448" si="560">B448/B447-1</f>
        <v>-1.9582526361093144E-2</v>
      </c>
      <c r="D448" s="38">
        <f t="shared" si="324"/>
        <v>45.234590211637361</v>
      </c>
      <c r="E448" s="92"/>
      <c r="F448">
        <v>45.24</v>
      </c>
      <c r="G448" s="42">
        <f t="shared" ref="G448" si="561">+B448/D448-1</f>
        <v>7.1938263802138191E-3</v>
      </c>
      <c r="H448" s="92"/>
      <c r="I448" s="93">
        <f t="shared" si="316"/>
        <v>7.0733863837311173E-3</v>
      </c>
      <c r="J448">
        <v>20413.22</v>
      </c>
      <c r="K448">
        <v>19934.88</v>
      </c>
      <c r="L448" s="93">
        <f t="shared" ref="L448" si="562">+K448/J448-1</f>
        <v>-2.3432853807483611E-2</v>
      </c>
      <c r="M448" s="92">
        <f t="shared" ref="M448" si="563">WEEKDAY(A448,2)</f>
        <v>4</v>
      </c>
      <c r="N448" s="50" t="s">
        <v>511</v>
      </c>
    </row>
    <row r="449" spans="1:14" ht="27" x14ac:dyDescent="0.15">
      <c r="A449" s="90">
        <v>43028</v>
      </c>
      <c r="B449">
        <v>46.14</v>
      </c>
      <c r="C449" s="93">
        <f t="shared" ref="C449" si="564">B449/B448-1</f>
        <v>1.2730465320456519E-2</v>
      </c>
      <c r="D449" s="38">
        <f t="shared" si="324"/>
        <v>46.062472008860844</v>
      </c>
      <c r="E449" s="92"/>
      <c r="F449">
        <v>46.06</v>
      </c>
      <c r="G449" s="42">
        <f t="shared" ref="G449" si="565">+B449/D449-1</f>
        <v>1.6831053080312852E-3</v>
      </c>
      <c r="H449" s="92"/>
      <c r="I449" s="93">
        <f t="shared" si="316"/>
        <v>1.7368649587494733E-3</v>
      </c>
      <c r="J449">
        <v>19934.88</v>
      </c>
      <c r="K449">
        <v>20297.3</v>
      </c>
      <c r="L449" s="93">
        <f t="shared" ref="L449" si="566">+K449/J449-1</f>
        <v>1.8180194713988573E-2</v>
      </c>
      <c r="M449" s="92">
        <f t="shared" ref="M449" si="567">WEEKDAY(A449,2)</f>
        <v>5</v>
      </c>
      <c r="N449" s="50" t="s">
        <v>579</v>
      </c>
    </row>
    <row r="450" spans="1:14" ht="27" x14ac:dyDescent="0.15">
      <c r="A450" s="90">
        <v>43031</v>
      </c>
      <c r="B450">
        <v>45.61</v>
      </c>
      <c r="C450" s="93">
        <f t="shared" ref="C450" si="568">B450/B449-1</f>
        <v>-1.1486779367143485E-2</v>
      </c>
      <c r="D450" s="38">
        <f t="shared" si="324"/>
        <v>45.773391534834687</v>
      </c>
      <c r="E450" s="92"/>
      <c r="F450">
        <v>45.77</v>
      </c>
      <c r="G450" s="42">
        <f t="shared" ref="G450" si="569">+B450/D450-1</f>
        <v>-3.5695745793785649E-3</v>
      </c>
      <c r="H450" s="92"/>
      <c r="I450" s="93">
        <f t="shared" si="316"/>
        <v>-3.495739567402345E-3</v>
      </c>
      <c r="J450">
        <v>20297.3</v>
      </c>
      <c r="K450">
        <v>20171</v>
      </c>
      <c r="L450" s="93">
        <f t="shared" ref="L450" si="570">+K450/J450-1</f>
        <v>-6.2225025003325163E-3</v>
      </c>
      <c r="M450" s="92">
        <f t="shared" ref="M450" si="571">WEEKDAY(A450,2)</f>
        <v>1</v>
      </c>
      <c r="N450" s="50" t="s">
        <v>519</v>
      </c>
    </row>
    <row r="451" spans="1:14" x14ac:dyDescent="0.15">
      <c r="A451" s="90">
        <v>43032</v>
      </c>
      <c r="B451">
        <v>45.63</v>
      </c>
      <c r="C451" s="93">
        <f t="shared" ref="C451" si="572">B451/B450-1</f>
        <v>4.3850032887537971E-4</v>
      </c>
      <c r="D451" s="38">
        <f t="shared" si="324"/>
        <v>45.564419612314715</v>
      </c>
      <c r="E451" s="92"/>
      <c r="F451">
        <v>45.56</v>
      </c>
      <c r="G451" s="42">
        <f t="shared" ref="G451" si="573">+B451/D451-1</f>
        <v>1.4392894333621342E-3</v>
      </c>
      <c r="H451" s="92"/>
      <c r="I451" s="93">
        <f t="shared" si="316"/>
        <v>1.5364354697102733E-3</v>
      </c>
      <c r="J451">
        <v>20171</v>
      </c>
      <c r="K451">
        <v>20080.400000000001</v>
      </c>
      <c r="L451" s="93">
        <f t="shared" ref="L451" si="574">+K451/J451-1</f>
        <v>-4.4915968469584344E-3</v>
      </c>
      <c r="M451" s="92">
        <f t="shared" ref="M451" si="575">WEEKDAY(A451,2)</f>
        <v>2</v>
      </c>
    </row>
    <row r="452" spans="1:14" x14ac:dyDescent="0.15">
      <c r="A452" s="90">
        <v>43033</v>
      </c>
      <c r="B452">
        <v>45.7</v>
      </c>
      <c r="C452" s="93">
        <f t="shared" ref="C452" si="576">B452/B451-1</f>
        <v>1.5340784571553634E-3</v>
      </c>
      <c r="D452" s="38">
        <f t="shared" si="324"/>
        <v>45.964949542837786</v>
      </c>
      <c r="E452" s="92"/>
      <c r="F452">
        <v>45.96</v>
      </c>
      <c r="G452" s="42">
        <f t="shared" ref="G452" si="577">+B452/D452-1</f>
        <v>-5.7641647706120347E-3</v>
      </c>
      <c r="H452" s="92"/>
      <c r="I452" s="93">
        <f t="shared" si="316"/>
        <v>-5.6570931244560585E-3</v>
      </c>
      <c r="J452">
        <v>20080.400000000001</v>
      </c>
      <c r="K452">
        <v>20258.88</v>
      </c>
      <c r="L452" s="93">
        <f t="shared" ref="L452" si="578">+K452/J452-1</f>
        <v>8.8882691579847961E-3</v>
      </c>
      <c r="M452" s="92">
        <f t="shared" ref="M452" si="579">WEEKDAY(A452,2)</f>
        <v>3</v>
      </c>
    </row>
    <row r="453" spans="1:14" x14ac:dyDescent="0.15">
      <c r="A453" s="90">
        <v>43034</v>
      </c>
      <c r="B453">
        <v>45.67</v>
      </c>
      <c r="C453" s="93">
        <f t="shared" ref="C453" si="580">B453/B452-1</f>
        <v>-6.5645514223200419E-4</v>
      </c>
      <c r="D453" s="38">
        <f t="shared" ref="D453:D494" si="581">+(F452-O453)*(1+L453)</f>
        <v>45.676307219352701</v>
      </c>
      <c r="E453" s="92"/>
      <c r="F453">
        <v>45.68</v>
      </c>
      <c r="G453" s="42">
        <f t="shared" ref="G453" si="582">+B453/D453-1</f>
        <v>-1.3808514165580821E-4</v>
      </c>
      <c r="H453" s="92"/>
      <c r="I453" s="93">
        <f t="shared" si="316"/>
        <v>-2.189141856392407E-4</v>
      </c>
      <c r="J453">
        <v>20258.88</v>
      </c>
      <c r="K453">
        <v>20133.830000000002</v>
      </c>
      <c r="L453" s="93">
        <f t="shared" ref="L453" si="583">+K453/J453-1</f>
        <v>-6.1726018417602724E-3</v>
      </c>
      <c r="M453" s="92">
        <f t="shared" ref="M453" si="584">WEEKDAY(A453,2)</f>
        <v>4</v>
      </c>
    </row>
    <row r="454" spans="1:14" x14ac:dyDescent="0.15">
      <c r="A454" s="90">
        <v>43035</v>
      </c>
      <c r="B454">
        <v>46.49</v>
      </c>
      <c r="C454" s="93">
        <f t="shared" ref="C454" si="585">B454/B453-1</f>
        <v>1.7954893803372007E-2</v>
      </c>
      <c r="D454" s="38">
        <f t="shared" si="581"/>
        <v>46.131721704216233</v>
      </c>
      <c r="E454" s="92"/>
      <c r="F454">
        <v>46.13</v>
      </c>
      <c r="G454" s="42">
        <f t="shared" ref="G454" si="586">+B454/D454-1</f>
        <v>7.7664193433089057E-3</v>
      </c>
      <c r="H454" s="92"/>
      <c r="I454" s="93">
        <f t="shared" si="316"/>
        <v>7.8040320832430954E-3</v>
      </c>
      <c r="J454">
        <v>20133.830000000002</v>
      </c>
      <c r="K454">
        <v>20332.93</v>
      </c>
      <c r="L454" s="93">
        <f t="shared" ref="L454" si="587">+K454/J454-1</f>
        <v>9.8888289014060771E-3</v>
      </c>
      <c r="M454" s="92">
        <f t="shared" ref="M454" si="588">WEEKDAY(A454,2)</f>
        <v>5</v>
      </c>
      <c r="N454" s="50" t="s">
        <v>578</v>
      </c>
    </row>
    <row r="455" spans="1:14" x14ac:dyDescent="0.15">
      <c r="A455" s="90">
        <v>43038</v>
      </c>
      <c r="B455">
        <v>45.77</v>
      </c>
      <c r="C455" s="93">
        <f t="shared" ref="C455" si="589">B455/B454-1</f>
        <v>-1.5487201548720075E-2</v>
      </c>
      <c r="D455" s="38">
        <f t="shared" si="581"/>
        <v>45.885838897787977</v>
      </c>
      <c r="E455" s="92"/>
      <c r="F455">
        <v>45.88</v>
      </c>
      <c r="G455" s="42">
        <f t="shared" ref="G455" si="590">+B455/D455-1</f>
        <v>-2.5245021246317334E-3</v>
      </c>
      <c r="H455" s="92"/>
      <c r="I455" s="93">
        <f t="shared" si="316"/>
        <v>-2.3975588491716993E-3</v>
      </c>
      <c r="J455">
        <v>20332.93</v>
      </c>
      <c r="K455">
        <v>20225.310000000001</v>
      </c>
      <c r="L455" s="93">
        <f t="shared" ref="L455" si="591">+K455/J455-1</f>
        <v>-5.2928918753961662E-3</v>
      </c>
      <c r="M455" s="92">
        <f t="shared" ref="M455" si="592">WEEKDAY(A455,2)</f>
        <v>1</v>
      </c>
    </row>
    <row r="456" spans="1:14" x14ac:dyDescent="0.15">
      <c r="A456" s="90">
        <v>43039</v>
      </c>
      <c r="B456">
        <v>45.93</v>
      </c>
      <c r="C456" s="93">
        <f t="shared" ref="C456" si="593">B456/B455-1</f>
        <v>3.495739567402234E-3</v>
      </c>
      <c r="D456" s="38">
        <f t="shared" si="581"/>
        <v>45.77438120849569</v>
      </c>
      <c r="E456" s="92"/>
      <c r="F456">
        <v>45.78</v>
      </c>
      <c r="G456" s="42">
        <f t="shared" ref="G456" si="594">+B456/D456-1</f>
        <v>3.3996918668433018E-3</v>
      </c>
      <c r="H456" s="92"/>
      <c r="I456" s="93">
        <f t="shared" si="316"/>
        <v>3.2765399737877399E-3</v>
      </c>
      <c r="J456">
        <v>20225.310000000001</v>
      </c>
      <c r="K456">
        <v>20178.75</v>
      </c>
      <c r="L456" s="93">
        <f t="shared" ref="L456" si="595">+K456/J456-1</f>
        <v>-2.3020660746362331E-3</v>
      </c>
      <c r="M456" s="92">
        <f t="shared" ref="M456" si="596">WEEKDAY(A456,2)</f>
        <v>2</v>
      </c>
    </row>
    <row r="457" spans="1:14" x14ac:dyDescent="0.15">
      <c r="A457" s="90">
        <v>43040</v>
      </c>
      <c r="B457">
        <v>46.23</v>
      </c>
      <c r="C457" s="93">
        <f t="shared" ref="C457" si="597">B457/B456-1</f>
        <v>6.5316786414106875E-3</v>
      </c>
      <c r="D457" s="38">
        <f t="shared" si="581"/>
        <v>46.299696443040325</v>
      </c>
      <c r="E457" s="92"/>
      <c r="F457">
        <v>46.3</v>
      </c>
      <c r="G457" s="42">
        <f t="shared" ref="G457" si="598">+B457/D457-1</f>
        <v>-1.5053326132725697E-3</v>
      </c>
      <c r="H457" s="92"/>
      <c r="I457" s="93">
        <f t="shared" si="316"/>
        <v>-1.5118790496759793E-3</v>
      </c>
      <c r="J457">
        <v>20178.75</v>
      </c>
      <c r="K457">
        <v>20407.82</v>
      </c>
      <c r="L457" s="93">
        <f t="shared" ref="L457" si="599">+K457/J457-1</f>
        <v>1.1352041132379309E-2</v>
      </c>
      <c r="M457" s="92">
        <f t="shared" ref="M457" si="600">WEEKDAY(A457,2)</f>
        <v>3</v>
      </c>
    </row>
    <row r="458" spans="1:14" x14ac:dyDescent="0.15">
      <c r="A458" s="90">
        <v>43041</v>
      </c>
      <c r="B458">
        <v>46.45</v>
      </c>
      <c r="C458" s="93">
        <f t="shared" ref="C458" si="601">B458/B457-1</f>
        <v>4.7588146225396866E-3</v>
      </c>
      <c r="D458" s="38">
        <f t="shared" si="581"/>
        <v>46.217554055259207</v>
      </c>
      <c r="E458" s="92"/>
      <c r="F458">
        <v>46.21</v>
      </c>
      <c r="G458" s="42">
        <f t="shared" ref="G458" si="602">+B458/D458-1</f>
        <v>5.029386550029713E-3</v>
      </c>
      <c r="H458" s="92"/>
      <c r="I458" s="93">
        <f t="shared" si="316"/>
        <v>5.1936810214239237E-3</v>
      </c>
      <c r="J458">
        <v>20407.82</v>
      </c>
      <c r="K458">
        <v>20371.48</v>
      </c>
      <c r="L458" s="93">
        <f t="shared" ref="L458" si="603">+K458/J458-1</f>
        <v>-1.7806899512049501E-3</v>
      </c>
      <c r="M458" s="92">
        <f t="shared" ref="M458" si="604">WEEKDAY(A458,2)</f>
        <v>4</v>
      </c>
    </row>
    <row r="459" spans="1:14" x14ac:dyDescent="0.15">
      <c r="A459" s="90">
        <v>43042</v>
      </c>
      <c r="B459">
        <v>46.28</v>
      </c>
      <c r="C459" s="93">
        <f t="shared" ref="C459" si="605">B459/B458-1</f>
        <v>-3.659849300322926E-3</v>
      </c>
      <c r="D459" s="38">
        <f t="shared" si="581"/>
        <v>46.299623193798389</v>
      </c>
      <c r="E459" s="92"/>
      <c r="F459">
        <v>46.3</v>
      </c>
      <c r="G459" s="42">
        <f t="shared" ref="G459" si="606">+B459/D459-1</f>
        <v>-4.238305291653921E-4</v>
      </c>
      <c r="H459" s="92"/>
      <c r="I459" s="93">
        <f t="shared" si="316"/>
        <v>-4.3196544276447035E-4</v>
      </c>
      <c r="J459">
        <v>20371.48</v>
      </c>
      <c r="K459">
        <v>20410.990000000002</v>
      </c>
      <c r="L459" s="93">
        <f t="shared" ref="L459" si="607">+K459/J459-1</f>
        <v>1.9394761696254204E-3</v>
      </c>
      <c r="M459" s="92">
        <f t="shared" ref="M459" si="608">WEEKDAY(A459,2)</f>
        <v>5</v>
      </c>
      <c r="N459" s="50" t="s">
        <v>577</v>
      </c>
    </row>
    <row r="460" spans="1:14" x14ac:dyDescent="0.15">
      <c r="A460" s="90">
        <v>43045</v>
      </c>
      <c r="B460">
        <v>46.45</v>
      </c>
      <c r="C460" s="93">
        <f t="shared" ref="C460" si="609">B460/B459-1</f>
        <v>3.6732929991356578E-3</v>
      </c>
      <c r="D460" s="38">
        <f t="shared" si="581"/>
        <v>46.139466336517721</v>
      </c>
      <c r="E460" s="92"/>
      <c r="F460">
        <v>46.14</v>
      </c>
      <c r="G460" s="42">
        <f t="shared" ref="G460" si="610">+B460/D460-1</f>
        <v>6.7303262941407205E-3</v>
      </c>
      <c r="H460" s="92"/>
      <c r="I460" s="93">
        <f t="shared" si="316"/>
        <v>6.7186822713480865E-3</v>
      </c>
      <c r="J460">
        <v>20410.990000000002</v>
      </c>
      <c r="K460">
        <v>20340.22</v>
      </c>
      <c r="L460" s="93">
        <f t="shared" ref="L460" si="611">+K460/J460-1</f>
        <v>-3.4672497512370226E-3</v>
      </c>
      <c r="M460" s="92">
        <f t="shared" ref="M460" si="612">WEEKDAY(A460,2)</f>
        <v>1</v>
      </c>
      <c r="N460" s="50" t="s">
        <v>561</v>
      </c>
    </row>
    <row r="461" spans="1:14" x14ac:dyDescent="0.15">
      <c r="A461" s="90">
        <v>43046</v>
      </c>
      <c r="B461">
        <v>46.72</v>
      </c>
      <c r="C461" s="93">
        <f t="shared" ref="C461" si="613">B461/B460-1</f>
        <v>5.8127018299245492E-3</v>
      </c>
      <c r="D461" s="38">
        <f t="shared" si="581"/>
        <v>46.90459096312626</v>
      </c>
      <c r="E461" s="92"/>
      <c r="F461">
        <v>46.9</v>
      </c>
      <c r="G461" s="42">
        <f t="shared" ref="G461" si="614">+B461/D461-1</f>
        <v>-3.935456195991005E-3</v>
      </c>
      <c r="H461" s="92"/>
      <c r="I461" s="93">
        <f t="shared" si="316"/>
        <v>-3.8379530916844429E-3</v>
      </c>
      <c r="J461">
        <v>20340.22</v>
      </c>
      <c r="K461">
        <v>20677.28</v>
      </c>
      <c r="L461" s="93">
        <f t="shared" ref="L461" si="615">+K461/J461-1</f>
        <v>1.6571108867062367E-2</v>
      </c>
      <c r="M461" s="92">
        <f t="shared" ref="M461" si="616">WEEKDAY(A461,2)</f>
        <v>2</v>
      </c>
      <c r="N461" s="50" t="s">
        <v>562</v>
      </c>
    </row>
    <row r="462" spans="1:14" x14ac:dyDescent="0.15">
      <c r="A462" s="90">
        <v>43047</v>
      </c>
      <c r="B462">
        <v>46.79</v>
      </c>
      <c r="C462" s="93">
        <f t="shared" ref="C462" si="617">B462/B461-1</f>
        <v>1.4982876712328341E-3</v>
      </c>
      <c r="D462" s="38">
        <f t="shared" si="581"/>
        <v>46.663427781603772</v>
      </c>
      <c r="E462" s="92"/>
      <c r="F462">
        <v>46.66</v>
      </c>
      <c r="G462" s="42">
        <f t="shared" ref="G462" si="618">+B462/D462-1</f>
        <v>2.7124500795059348E-3</v>
      </c>
      <c r="H462" s="92"/>
      <c r="I462" s="93">
        <f t="shared" si="316"/>
        <v>2.7861123017574041E-3</v>
      </c>
      <c r="J462">
        <v>20677.28</v>
      </c>
      <c r="K462">
        <v>20572.98</v>
      </c>
      <c r="L462" s="93">
        <f t="shared" ref="L462" si="619">+K462/J462-1</f>
        <v>-5.0441837611135965E-3</v>
      </c>
      <c r="M462" s="92">
        <f t="shared" ref="M462" si="620">WEEKDAY(A462,2)</f>
        <v>3</v>
      </c>
    </row>
    <row r="463" spans="1:14" x14ac:dyDescent="0.15">
      <c r="A463" s="90">
        <v>43048</v>
      </c>
      <c r="B463">
        <v>46.84</v>
      </c>
      <c r="C463" s="93">
        <f t="shared" ref="C463" si="621">B463/B462-1</f>
        <v>1.0686044026502195E-3</v>
      </c>
      <c r="D463" s="38">
        <f t="shared" si="581"/>
        <v>47.163297072179141</v>
      </c>
      <c r="E463" s="92"/>
      <c r="F463">
        <v>47.17</v>
      </c>
      <c r="G463" s="42">
        <f t="shared" ref="G463" si="622">+B463/D463-1</f>
        <v>-6.8548445984248918E-3</v>
      </c>
      <c r="H463" s="92"/>
      <c r="I463" s="93">
        <f t="shared" si="316"/>
        <v>-6.9959720161119066E-3</v>
      </c>
      <c r="J463">
        <v>20572.98</v>
      </c>
      <c r="K463">
        <v>20794.89</v>
      </c>
      <c r="L463" s="93">
        <f t="shared" ref="L463" si="623">+K463/J463-1</f>
        <v>1.0786478186436854E-2</v>
      </c>
      <c r="M463" s="92">
        <f t="shared" ref="M463" si="624">WEEKDAY(A463,2)</f>
        <v>4</v>
      </c>
    </row>
    <row r="464" spans="1:14" x14ac:dyDescent="0.15">
      <c r="A464" s="90">
        <v>43049</v>
      </c>
      <c r="B464">
        <v>47.12</v>
      </c>
      <c r="C464" s="93">
        <f t="shared" ref="C464" si="625">B464/B463-1</f>
        <v>5.9777967549101696E-3</v>
      </c>
      <c r="D464" s="38">
        <f t="shared" si="581"/>
        <v>47.112769637156056</v>
      </c>
      <c r="E464" s="92"/>
      <c r="F464">
        <v>47.11</v>
      </c>
      <c r="G464" s="42">
        <f t="shared" ref="G464" si="626">+B464/D464-1</f>
        <v>1.5346928018944439E-4</v>
      </c>
      <c r="H464" s="92"/>
      <c r="I464" s="93">
        <f t="shared" si="316"/>
        <v>2.122691572914448E-4</v>
      </c>
      <c r="J464">
        <v>20794.89</v>
      </c>
      <c r="K464">
        <v>20769.66</v>
      </c>
      <c r="L464" s="93">
        <f t="shared" ref="L464" si="627">+K464/J464-1</f>
        <v>-1.2132788391763238E-3</v>
      </c>
      <c r="M464" s="92">
        <f t="shared" ref="M464" si="628">WEEKDAY(A464,2)</f>
        <v>5</v>
      </c>
      <c r="N464" s="50" t="s">
        <v>576</v>
      </c>
    </row>
    <row r="465" spans="1:14" x14ac:dyDescent="0.15">
      <c r="A465" s="90">
        <v>43052</v>
      </c>
      <c r="B465">
        <v>46.96</v>
      </c>
      <c r="C465" s="93">
        <f t="shared" ref="C465" si="629">B465/B464-1</f>
        <v>-3.3955857385398192E-3</v>
      </c>
      <c r="D465" s="38">
        <f t="shared" si="581"/>
        <v>46.970187388719893</v>
      </c>
      <c r="E465" s="92"/>
      <c r="F465">
        <v>46.97</v>
      </c>
      <c r="G465" s="42">
        <f t="shared" ref="G465" si="630">+B465/D465-1</f>
        <v>-2.1689052750806237E-4</v>
      </c>
      <c r="H465" s="92"/>
      <c r="I465" s="93">
        <f t="shared" si="316"/>
        <v>-2.1290185224609459E-4</v>
      </c>
      <c r="J465">
        <v>20769.66</v>
      </c>
      <c r="K465">
        <v>20708.02</v>
      </c>
      <c r="L465" s="93">
        <f t="shared" ref="L465" si="631">+K465/J465-1</f>
        <v>-2.9677905175145014E-3</v>
      </c>
      <c r="M465" s="92">
        <f t="shared" ref="M465" si="632">WEEKDAY(A465,2)</f>
        <v>1</v>
      </c>
    </row>
    <row r="466" spans="1:14" x14ac:dyDescent="0.15">
      <c r="A466" s="90">
        <v>43053</v>
      </c>
      <c r="B466">
        <v>46.42</v>
      </c>
      <c r="C466" s="93">
        <f t="shared" ref="C466" si="633">B466/B465-1</f>
        <v>-1.1499148211243648E-2</v>
      </c>
      <c r="D466" s="38">
        <f t="shared" si="581"/>
        <v>46.685748758210586</v>
      </c>
      <c r="E466" s="92"/>
      <c r="F466">
        <v>46.68</v>
      </c>
      <c r="G466" s="42">
        <f t="shared" ref="G466" si="634">+B466/D466-1</f>
        <v>-5.692288659370548E-3</v>
      </c>
      <c r="H466" s="92"/>
      <c r="I466" s="93">
        <f t="shared" si="316"/>
        <v>-5.569837189374427E-3</v>
      </c>
      <c r="J466">
        <v>20708.02</v>
      </c>
      <c r="K466">
        <v>20582.7</v>
      </c>
      <c r="L466" s="93">
        <f t="shared" ref="L466" si="635">+K466/J466-1</f>
        <v>-6.0517615880224529E-3</v>
      </c>
      <c r="M466" s="92">
        <f t="shared" ref="M466" si="636">WEEKDAY(A466,2)</f>
        <v>2</v>
      </c>
    </row>
    <row r="467" spans="1:14" x14ac:dyDescent="0.15">
      <c r="A467" s="90">
        <v>43054</v>
      </c>
      <c r="B467">
        <v>45.85</v>
      </c>
      <c r="C467" s="93">
        <f t="shared" ref="C467" si="637">B467/B466-1</f>
        <v>-1.2279190004308438E-2</v>
      </c>
      <c r="D467" s="38">
        <f t="shared" si="581"/>
        <v>45.923670014138082</v>
      </c>
      <c r="E467" s="92"/>
      <c r="F467">
        <v>45.92</v>
      </c>
      <c r="G467" s="42">
        <f t="shared" ref="G467" si="638">+B467/D467-1</f>
        <v>-1.6041839451289563E-3</v>
      </c>
      <c r="H467" s="92"/>
      <c r="I467" s="93">
        <f t="shared" si="316"/>
        <v>-1.5243902439024959E-3</v>
      </c>
      <c r="J467">
        <v>20582.7</v>
      </c>
      <c r="K467">
        <v>20249.21</v>
      </c>
      <c r="L467" s="93">
        <f t="shared" ref="L467" si="639">+K467/J467-1</f>
        <v>-1.6202441856510652E-2</v>
      </c>
      <c r="M467" s="92">
        <f t="shared" ref="M467" si="640">WEEKDAY(A467,2)</f>
        <v>3</v>
      </c>
    </row>
    <row r="468" spans="1:14" x14ac:dyDescent="0.15">
      <c r="A468" s="90">
        <v>43055</v>
      </c>
      <c r="B468">
        <v>46.71</v>
      </c>
      <c r="C468" s="93">
        <f t="shared" ref="C468" si="641">B468/B467-1</f>
        <v>1.8756815703380614E-2</v>
      </c>
      <c r="D468" s="38">
        <f t="shared" si="581"/>
        <v>46.333908414204799</v>
      </c>
      <c r="E468" s="92"/>
      <c r="F468">
        <v>46.34</v>
      </c>
      <c r="G468" s="42">
        <f t="shared" ref="G468" si="642">+B468/D468-1</f>
        <v>8.1169838389869575E-3</v>
      </c>
      <c r="H468" s="92"/>
      <c r="I468" s="93">
        <f t="shared" si="316"/>
        <v>7.9844626672420649E-3</v>
      </c>
      <c r="J468">
        <v>20249.21</v>
      </c>
      <c r="K468">
        <v>20431.73</v>
      </c>
      <c r="L468" s="93">
        <f t="shared" ref="L468" si="643">+K468/J468-1</f>
        <v>9.0136849783275519E-3</v>
      </c>
      <c r="M468" s="92">
        <f t="shared" ref="M468" si="644">WEEKDAY(A468,2)</f>
        <v>4</v>
      </c>
    </row>
    <row r="469" spans="1:14" x14ac:dyDescent="0.15">
      <c r="A469" s="90">
        <v>43056</v>
      </c>
      <c r="B469">
        <v>46.49</v>
      </c>
      <c r="C469" s="93">
        <f t="shared" ref="C469" si="645">B469/B468-1</f>
        <v>-4.709912224363122E-3</v>
      </c>
      <c r="D469" s="38">
        <f t="shared" si="581"/>
        <v>46.662764905370224</v>
      </c>
      <c r="E469" s="92"/>
      <c r="F469">
        <v>46.66</v>
      </c>
      <c r="G469" s="42">
        <f t="shared" ref="G469" si="646">+B469/D469-1</f>
        <v>-3.7024146708961592E-3</v>
      </c>
      <c r="H469" s="92"/>
      <c r="I469" s="93">
        <f t="shared" si="316"/>
        <v>-3.6433776253749217E-3</v>
      </c>
      <c r="J469">
        <v>20431.73</v>
      </c>
      <c r="K469">
        <v>20574.04</v>
      </c>
      <c r="L469" s="93">
        <f t="shared" ref="L469" si="647">+K469/J469-1</f>
        <v>6.9651468573634912E-3</v>
      </c>
      <c r="M469" s="92">
        <f t="shared" ref="M469" si="648">WEEKDAY(A469,2)</f>
        <v>5</v>
      </c>
    </row>
    <row r="470" spans="1:14" x14ac:dyDescent="0.15">
      <c r="A470" s="90">
        <v>43059</v>
      </c>
      <c r="B470">
        <v>46.97</v>
      </c>
      <c r="C470" s="93">
        <f t="shared" ref="C470" si="649">B470/B469-1</f>
        <v>1.0324801032480124E-2</v>
      </c>
      <c r="D470" s="38">
        <f t="shared" si="581"/>
        <v>46.648909936988552</v>
      </c>
      <c r="E470" s="92"/>
      <c r="F470">
        <v>46.64</v>
      </c>
      <c r="G470" s="42">
        <f t="shared" ref="G470" si="650">+B470/D470-1</f>
        <v>6.8831203868464641E-3</v>
      </c>
      <c r="H470" s="92"/>
      <c r="I470" s="93">
        <f t="shared" si="316"/>
        <v>7.0754716981131782E-3</v>
      </c>
      <c r="J470">
        <v>20574.04</v>
      </c>
      <c r="K470">
        <v>20569.150000000001</v>
      </c>
      <c r="L470" s="93">
        <f t="shared" ref="L470" si="651">+K470/J470-1</f>
        <v>-2.3767816141118114E-4</v>
      </c>
      <c r="M470" s="92">
        <f t="shared" ref="M470" si="652">WEEKDAY(A470,2)</f>
        <v>1</v>
      </c>
    </row>
    <row r="471" spans="1:14" x14ac:dyDescent="0.15">
      <c r="A471" s="90">
        <v>43060</v>
      </c>
      <c r="B471">
        <v>48.23</v>
      </c>
      <c r="C471" s="93">
        <f t="shared" ref="C471" si="653">B471/B470-1</f>
        <v>2.6825633383010361E-2</v>
      </c>
      <c r="D471" s="38">
        <f t="shared" si="581"/>
        <v>47.77267097570877</v>
      </c>
      <c r="E471" s="92"/>
      <c r="F471">
        <v>47.78</v>
      </c>
      <c r="G471" s="42">
        <f t="shared" ref="G471" si="654">+B471/D471-1</f>
        <v>9.5730260617783447E-3</v>
      </c>
      <c r="H471" s="92"/>
      <c r="I471" s="93">
        <f t="shared" si="316"/>
        <v>9.418166596902422E-3</v>
      </c>
      <c r="J471">
        <v>20569.150000000001</v>
      </c>
      <c r="K471">
        <v>21068.68</v>
      </c>
      <c r="L471" s="93">
        <f t="shared" ref="L471" si="655">+K471/J471-1</f>
        <v>2.4285398278489856E-2</v>
      </c>
      <c r="M471" s="92">
        <f t="shared" ref="M471" si="656">WEEKDAY(A471,2)</f>
        <v>2</v>
      </c>
      <c r="N471" s="50" t="s">
        <v>590</v>
      </c>
    </row>
    <row r="472" spans="1:14" x14ac:dyDescent="0.15">
      <c r="A472" s="90">
        <v>43061</v>
      </c>
      <c r="B472">
        <v>48.33</v>
      </c>
      <c r="C472" s="93">
        <f t="shared" ref="C472" si="657">B472/B471-1</f>
        <v>2.0733982998133449E-3</v>
      </c>
      <c r="D472" s="38">
        <f t="shared" si="581"/>
        <v>48.126318981540365</v>
      </c>
      <c r="E472" s="92"/>
      <c r="F472">
        <v>48.12</v>
      </c>
      <c r="G472" s="42">
        <f t="shared" ref="G472" si="658">+B472/D472-1</f>
        <v>4.2322168570123608E-3</v>
      </c>
      <c r="H472" s="92"/>
      <c r="I472" s="93">
        <f t="shared" si="316"/>
        <v>4.3640897755610197E-3</v>
      </c>
      <c r="J472">
        <v>21068.68</v>
      </c>
      <c r="K472">
        <v>21221.39</v>
      </c>
      <c r="L472" s="93">
        <f t="shared" ref="L472" si="659">+K472/J472-1</f>
        <v>7.2481996973705609E-3</v>
      </c>
      <c r="M472" s="92">
        <f t="shared" ref="M472" si="660">WEEKDAY(A472,2)</f>
        <v>3</v>
      </c>
    </row>
    <row r="473" spans="1:14" x14ac:dyDescent="0.15">
      <c r="A473" s="90">
        <v>43062</v>
      </c>
      <c r="B473">
        <v>48.32</v>
      </c>
      <c r="C473" s="93">
        <f t="shared" ref="C473" si="661">B473/B472-1</f>
        <v>-2.0691082143586836E-4</v>
      </c>
      <c r="D473" s="38">
        <f t="shared" si="581"/>
        <v>47.32382715741052</v>
      </c>
      <c r="E473" s="92"/>
      <c r="F473" s="92">
        <v>47.32</v>
      </c>
      <c r="G473" s="42">
        <f t="shared" ref="G473" si="662">+B473/D473-1</f>
        <v>2.1050132722274739E-2</v>
      </c>
      <c r="H473" s="92"/>
      <c r="I473" s="93">
        <f t="shared" si="316"/>
        <v>2.1132713440405793E-2</v>
      </c>
      <c r="J473">
        <v>21221.39</v>
      </c>
      <c r="K473">
        <v>20870.27</v>
      </c>
      <c r="L473" s="93">
        <f t="shared" ref="L473" si="663">+K473/J473-1</f>
        <v>-1.654557029487691E-2</v>
      </c>
      <c r="M473" s="92">
        <f t="shared" ref="M473" si="664">WEEKDAY(A473,2)</f>
        <v>4</v>
      </c>
    </row>
    <row r="474" spans="1:14" x14ac:dyDescent="0.15">
      <c r="A474" s="90">
        <v>43063</v>
      </c>
      <c r="B474">
        <v>47.94</v>
      </c>
      <c r="C474" s="93">
        <f t="shared" ref="C474" si="665">B474/B473-1</f>
        <v>-7.864238410596025E-3</v>
      </c>
      <c r="D474" s="38">
        <f t="shared" si="581"/>
        <v>47.702749681724292</v>
      </c>
      <c r="E474" s="92"/>
      <c r="F474">
        <v>47.71</v>
      </c>
      <c r="G474" s="42">
        <f t="shared" ref="G474" si="666">+B474/D474-1</f>
        <v>4.9735145218809951E-3</v>
      </c>
      <c r="H474" s="92"/>
      <c r="I474" s="93">
        <f t="shared" si="316"/>
        <v>4.8207922867322672E-3</v>
      </c>
      <c r="J474">
        <v>20870.27</v>
      </c>
      <c r="K474">
        <v>21039.08</v>
      </c>
      <c r="L474" s="93">
        <f t="shared" ref="L474" si="667">+K474/J474-1</f>
        <v>8.0885393432859054E-3</v>
      </c>
      <c r="M474" s="92">
        <f t="shared" ref="M474" si="668">WEEKDAY(A474,2)</f>
        <v>5</v>
      </c>
    </row>
    <row r="475" spans="1:14" x14ac:dyDescent="0.15">
      <c r="A475" s="90">
        <v>43066</v>
      </c>
      <c r="B475">
        <v>47.17</v>
      </c>
      <c r="C475" s="93">
        <f t="shared" ref="C475" si="669">B475/B474-1</f>
        <v>-1.606174384647463E-2</v>
      </c>
      <c r="D475" s="38">
        <f t="shared" si="581"/>
        <v>47.220429548250202</v>
      </c>
      <c r="E475" s="92"/>
      <c r="F475">
        <v>47.21</v>
      </c>
      <c r="G475" s="42">
        <f t="shared" ref="G475" si="670">+B475/D475-1</f>
        <v>-1.0679603877526977E-3</v>
      </c>
      <c r="H475" s="92"/>
      <c r="I475" s="93">
        <f t="shared" si="316"/>
        <v>-8.4727811904250494E-4</v>
      </c>
      <c r="J475">
        <v>21039.08</v>
      </c>
      <c r="K475">
        <v>20823.189999999999</v>
      </c>
      <c r="L475" s="93">
        <f t="shared" ref="L475" si="671">+K475/J475-1</f>
        <v>-1.0261380250467411E-2</v>
      </c>
      <c r="M475" s="92">
        <f t="shared" ref="M475" si="672">WEEKDAY(A475,2)</f>
        <v>1</v>
      </c>
    </row>
    <row r="476" spans="1:14" x14ac:dyDescent="0.15">
      <c r="A476" s="90">
        <v>43067</v>
      </c>
      <c r="B476">
        <v>47.56</v>
      </c>
      <c r="C476" s="93">
        <f t="shared" ref="C476" si="673">B476/B475-1</f>
        <v>8.2679669281322532E-3</v>
      </c>
      <c r="D476" s="38">
        <f t="shared" si="581"/>
        <v>47.165449837416844</v>
      </c>
      <c r="E476" s="92"/>
      <c r="F476">
        <v>47.17</v>
      </c>
      <c r="G476" s="42">
        <f t="shared" ref="G476" si="674">+B476/D476-1</f>
        <v>8.3652369254021419E-3</v>
      </c>
      <c r="H476" s="92"/>
      <c r="I476" s="93">
        <f t="shared" si="316"/>
        <v>8.2679669281322532E-3</v>
      </c>
      <c r="J476">
        <v>20823.189999999999</v>
      </c>
      <c r="K476">
        <v>20803.54</v>
      </c>
      <c r="L476" s="93">
        <f t="shared" ref="L476" si="675">+K476/J476-1</f>
        <v>-9.4365944891239284E-4</v>
      </c>
      <c r="M476" s="92">
        <f t="shared" ref="M476" si="676">WEEKDAY(A476,2)</f>
        <v>2</v>
      </c>
    </row>
    <row r="477" spans="1:14" x14ac:dyDescent="0.15">
      <c r="A477" s="90">
        <v>43068</v>
      </c>
      <c r="B477">
        <v>46.63</v>
      </c>
      <c r="C477" s="93">
        <f t="shared" ref="C477" si="677">B477/B476-1</f>
        <v>-1.9554247266610592E-2</v>
      </c>
      <c r="D477" s="38">
        <f t="shared" si="581"/>
        <v>46.958405992441669</v>
      </c>
      <c r="E477" s="92"/>
      <c r="F477">
        <v>46.96</v>
      </c>
      <c r="G477" s="42">
        <f t="shared" ref="G477" si="678">+B477/D477-1</f>
        <v>-6.9935506859948315E-3</v>
      </c>
      <c r="H477" s="92"/>
      <c r="I477" s="93">
        <f t="shared" si="316"/>
        <v>-7.0272572402043654E-3</v>
      </c>
      <c r="J477">
        <v>20803.54</v>
      </c>
      <c r="K477">
        <v>20710.22</v>
      </c>
      <c r="L477" s="93">
        <f t="shared" ref="L477" si="679">+K477/J477-1</f>
        <v>-4.4857750171365396E-3</v>
      </c>
      <c r="M477" s="92">
        <f t="shared" ref="M477" si="680">WEEKDAY(A477,2)</f>
        <v>3</v>
      </c>
      <c r="N477" s="50" t="s">
        <v>604</v>
      </c>
    </row>
    <row r="478" spans="1:14" x14ac:dyDescent="0.15">
      <c r="A478" s="90">
        <v>43069</v>
      </c>
      <c r="B478">
        <v>46.17</v>
      </c>
      <c r="C478" s="93">
        <f t="shared" ref="C478" si="681">B478/B477-1</f>
        <v>-9.8648938451640911E-3</v>
      </c>
      <c r="D478" s="38">
        <f t="shared" si="581"/>
        <v>46.117858100976228</v>
      </c>
      <c r="E478" s="92"/>
      <c r="F478">
        <v>46.11</v>
      </c>
      <c r="G478" s="42">
        <f t="shared" ref="G478" si="682">+B478/D478-1</f>
        <v>1.1306227385843304E-3</v>
      </c>
      <c r="H478" s="92"/>
      <c r="I478" s="93">
        <f t="shared" si="316"/>
        <v>1.3012361743656164E-3</v>
      </c>
      <c r="J478">
        <v>20710.22</v>
      </c>
      <c r="K478">
        <v>20338.82</v>
      </c>
      <c r="L478" s="93">
        <f t="shared" ref="L478" si="683">+K478/J478-1</f>
        <v>-1.7933175021800918E-2</v>
      </c>
      <c r="M478" s="92">
        <f t="shared" ref="M478" si="684">WEEKDAY(A478,2)</f>
        <v>4</v>
      </c>
    </row>
    <row r="479" spans="1:14" x14ac:dyDescent="0.15">
      <c r="A479" s="90">
        <v>43070</v>
      </c>
      <c r="B479">
        <v>45.81</v>
      </c>
      <c r="C479" s="93">
        <f t="shared" ref="C479" si="685">B479/B478-1</f>
        <v>-7.7972709551656916E-3</v>
      </c>
      <c r="D479" s="38">
        <f t="shared" si="581"/>
        <v>45.959215632961993</v>
      </c>
      <c r="E479" s="92"/>
      <c r="F479">
        <v>45.96</v>
      </c>
      <c r="G479" s="42">
        <f t="shared" ref="G479" si="686">+B479/D479-1</f>
        <v>-3.2466966832865873E-3</v>
      </c>
      <c r="H479" s="92"/>
      <c r="I479" s="93">
        <f t="shared" si="316"/>
        <v>-3.2637075718014996E-3</v>
      </c>
      <c r="J479">
        <v>20338.82</v>
      </c>
      <c r="K479">
        <v>20272.310000000001</v>
      </c>
      <c r="L479" s="93">
        <f t="shared" ref="L479" si="687">+K479/J479-1</f>
        <v>-3.2701012153113496E-3</v>
      </c>
      <c r="M479" s="92">
        <f t="shared" ref="M479" si="688">WEEKDAY(A479,2)</f>
        <v>5</v>
      </c>
      <c r="N479" s="50" t="s">
        <v>612</v>
      </c>
    </row>
    <row r="480" spans="1:14" x14ac:dyDescent="0.15">
      <c r="A480" s="90">
        <v>43073</v>
      </c>
      <c r="B480">
        <v>45.85</v>
      </c>
      <c r="C480" s="93">
        <f t="shared" ref="C480" si="689">B480/B479-1</f>
        <v>8.7317179655088673E-4</v>
      </c>
      <c r="D480" s="38">
        <f t="shared" si="581"/>
        <v>46.236884814804029</v>
      </c>
      <c r="E480" s="92"/>
      <c r="F480">
        <v>46.24</v>
      </c>
      <c r="G480" s="42">
        <f t="shared" ref="G480" si="690">+B480/D480-1</f>
        <v>-8.3674498477491754E-3</v>
      </c>
      <c r="H480" s="92"/>
      <c r="I480" s="93">
        <f t="shared" si="316"/>
        <v>-8.4342560553632984E-3</v>
      </c>
      <c r="J480">
        <v>20272.310000000001</v>
      </c>
      <c r="K480">
        <v>20394.439999999999</v>
      </c>
      <c r="L480" s="93">
        <f t="shared" ref="L480" si="691">+K480/J480-1</f>
        <v>6.0244737772852108E-3</v>
      </c>
      <c r="M480" s="92">
        <f t="shared" ref="M480" si="692">WEEKDAY(A480,2)</f>
        <v>1</v>
      </c>
    </row>
    <row r="481" spans="1:15" x14ac:dyDescent="0.15">
      <c r="A481" s="90">
        <v>43074</v>
      </c>
      <c r="B481">
        <v>45.88</v>
      </c>
      <c r="C481" s="93">
        <f t="shared" ref="C481" si="693">B481/B480-1</f>
        <v>6.5430752453665697E-4</v>
      </c>
      <c r="D481" s="38">
        <f t="shared" si="581"/>
        <v>45.936183861876081</v>
      </c>
      <c r="E481" s="92"/>
      <c r="F481">
        <v>45.93</v>
      </c>
      <c r="G481" s="42">
        <f t="shared" ref="G481" si="694">+B481/D481-1</f>
        <v>-1.2230850965987417E-3</v>
      </c>
      <c r="H481" s="92"/>
      <c r="I481" s="93">
        <f t="shared" si="316"/>
        <v>-1.0886131069017813E-3</v>
      </c>
      <c r="J481">
        <v>20394.439999999999</v>
      </c>
      <c r="K481">
        <v>20260.439999999999</v>
      </c>
      <c r="L481" s="93">
        <f t="shared" ref="L481" si="695">+K481/J481-1</f>
        <v>-6.570418212022533E-3</v>
      </c>
      <c r="M481" s="92">
        <f t="shared" ref="M481" si="696">WEEKDAY(A481,2)</f>
        <v>2</v>
      </c>
    </row>
    <row r="482" spans="1:15" x14ac:dyDescent="0.15">
      <c r="A482" s="90">
        <v>43075</v>
      </c>
      <c r="B482">
        <v>44.86</v>
      </c>
      <c r="C482" s="93">
        <f t="shared" ref="C482" si="697">B482/B481-1</f>
        <v>-2.2231909328683575E-2</v>
      </c>
      <c r="D482" s="38">
        <f t="shared" si="581"/>
        <v>44.602298178124471</v>
      </c>
      <c r="E482" s="92"/>
      <c r="F482">
        <v>44.6</v>
      </c>
      <c r="G482" s="42">
        <f t="shared" ref="G482" si="698">+B482/D482-1</f>
        <v>5.7777700343235594E-3</v>
      </c>
      <c r="H482" s="92"/>
      <c r="I482" s="93">
        <f t="shared" si="316"/>
        <v>5.8295964125560928E-3</v>
      </c>
      <c r="J482">
        <v>20260.439999999999</v>
      </c>
      <c r="K482">
        <v>19674.77</v>
      </c>
      <c r="L482" s="93">
        <f t="shared" ref="L482" si="699">+K482/J482-1</f>
        <v>-2.8907072107022258E-2</v>
      </c>
      <c r="M482" s="92">
        <f t="shared" ref="M482" si="700">WEEKDAY(A482,2)</f>
        <v>3</v>
      </c>
    </row>
    <row r="483" spans="1:15" x14ac:dyDescent="0.15">
      <c r="A483" s="90">
        <v>43076</v>
      </c>
      <c r="B483">
        <v>44.79</v>
      </c>
      <c r="C483" s="93">
        <f t="shared" ref="C483" si="701">B483/B482-1</f>
        <v>-1.5604101649576707E-3</v>
      </c>
      <c r="D483" s="38">
        <f t="shared" si="581"/>
        <v>44.616434753748074</v>
      </c>
      <c r="E483" s="92"/>
      <c r="F483">
        <v>44.62</v>
      </c>
      <c r="G483" s="42">
        <f t="shared" ref="G483" si="702">+B483/D483-1</f>
        <v>3.8901639543789113E-3</v>
      </c>
      <c r="H483" s="92"/>
      <c r="I483" s="93">
        <f t="shared" si="316"/>
        <v>3.8099506947557593E-3</v>
      </c>
      <c r="J483">
        <v>19674.77</v>
      </c>
      <c r="K483">
        <v>19682.02</v>
      </c>
      <c r="L483" s="93">
        <f t="shared" ref="L483" si="703">+K483/J483-1</f>
        <v>3.684922365039256E-4</v>
      </c>
      <c r="M483" s="92">
        <f t="shared" ref="M483" si="704">WEEKDAY(A483,2)</f>
        <v>4</v>
      </c>
    </row>
    <row r="484" spans="1:15" x14ac:dyDescent="0.15">
      <c r="A484" s="90">
        <v>43077</v>
      </c>
      <c r="B484">
        <v>45.54</v>
      </c>
      <c r="C484" s="93">
        <f t="shared" ref="C484" si="705">B484/B483-1</f>
        <v>1.6744809109176195E-2</v>
      </c>
      <c r="D484" s="38">
        <f t="shared" si="581"/>
        <v>45.343572346740828</v>
      </c>
      <c r="E484" s="92"/>
      <c r="F484">
        <v>45.34</v>
      </c>
      <c r="G484" s="42">
        <f t="shared" ref="G484" si="706">+B484/D484-1</f>
        <v>4.3319845149627501E-3</v>
      </c>
      <c r="H484" s="92"/>
      <c r="I484" s="93">
        <f t="shared" si="316"/>
        <v>4.4111160123510018E-3</v>
      </c>
      <c r="J484">
        <v>19682.02</v>
      </c>
      <c r="K484">
        <v>20001.189999999999</v>
      </c>
      <c r="L484" s="93">
        <f t="shared" ref="L484" si="707">+K484/J484-1</f>
        <v>1.6216323324536708E-2</v>
      </c>
      <c r="M484" s="92">
        <f t="shared" ref="M484" si="708">WEEKDAY(A484,2)</f>
        <v>5</v>
      </c>
    </row>
    <row r="485" spans="1:15" x14ac:dyDescent="0.15">
      <c r="A485" s="90">
        <v>43080</v>
      </c>
      <c r="B485">
        <v>45.93</v>
      </c>
      <c r="C485" s="93">
        <f t="shared" ref="C485" si="709">B485/B484-1</f>
        <v>8.5638998682477929E-3</v>
      </c>
      <c r="D485" s="38">
        <f t="shared" si="581"/>
        <v>45.858318710036762</v>
      </c>
      <c r="E485" s="92"/>
      <c r="F485">
        <v>45.86</v>
      </c>
      <c r="G485" s="42">
        <f t="shared" ref="G485" si="710">+B485/D485-1</f>
        <v>1.5631033142859962E-3</v>
      </c>
      <c r="H485" s="92"/>
      <c r="I485" s="93">
        <f t="shared" si="316"/>
        <v>1.5263846489315114E-3</v>
      </c>
      <c r="J485">
        <v>20001.189999999999</v>
      </c>
      <c r="K485">
        <v>20229.84</v>
      </c>
      <c r="L485" s="93">
        <f t="shared" ref="L485" si="711">+K485/J485-1</f>
        <v>1.1431819806721588E-2</v>
      </c>
      <c r="M485" s="92">
        <f t="shared" ref="M485" si="712">WEEKDAY(A485,2)</f>
        <v>1</v>
      </c>
    </row>
    <row r="486" spans="1:15" x14ac:dyDescent="0.15">
      <c r="A486" s="90">
        <v>43081</v>
      </c>
      <c r="B486">
        <v>45.45</v>
      </c>
      <c r="C486" s="93">
        <f t="shared" ref="C486" si="713">B486/B485-1</f>
        <v>-1.04506858262573E-2</v>
      </c>
      <c r="D486" s="38">
        <f t="shared" si="581"/>
        <v>45.414862045374555</v>
      </c>
      <c r="E486" s="92"/>
      <c r="F486">
        <v>45.41</v>
      </c>
      <c r="G486" s="42">
        <f t="shared" ref="G486" si="714">+B486/D486-1</f>
        <v>7.7371047808849625E-4</v>
      </c>
      <c r="H486" s="92"/>
      <c r="I486" s="93">
        <f t="shared" si="316"/>
        <v>8.8086324598113386E-4</v>
      </c>
      <c r="J486">
        <v>20229.84</v>
      </c>
      <c r="K486">
        <v>20033.48</v>
      </c>
      <c r="L486" s="93">
        <f t="shared" ref="L486" si="715">+K486/J486-1</f>
        <v>-9.7064534371008593E-3</v>
      </c>
      <c r="M486" s="92">
        <f t="shared" ref="M486" si="716">WEEKDAY(A486,2)</f>
        <v>2</v>
      </c>
    </row>
    <row r="487" spans="1:15" x14ac:dyDescent="0.15">
      <c r="A487" s="90">
        <v>43082</v>
      </c>
      <c r="B487">
        <v>46.44</v>
      </c>
      <c r="C487" s="93">
        <f t="shared" ref="C487" si="717">B487/B486-1</f>
        <v>2.1782178217821579E-2</v>
      </c>
      <c r="D487" s="38">
        <f t="shared" si="581"/>
        <v>46.093706390502305</v>
      </c>
      <c r="E487" s="92"/>
      <c r="F487">
        <v>46.09</v>
      </c>
      <c r="G487" s="42">
        <f t="shared" ref="G487" si="718">+B487/D487-1</f>
        <v>7.5128176190457641E-3</v>
      </c>
      <c r="H487" s="92"/>
      <c r="I487" s="93">
        <f t="shared" si="316"/>
        <v>7.5938381427640422E-3</v>
      </c>
      <c r="J487">
        <v>20033.48</v>
      </c>
      <c r="K487">
        <v>20335.11</v>
      </c>
      <c r="L487" s="93">
        <f t="shared" ref="L487" si="719">+K487/J487-1</f>
        <v>1.5056295760896399E-2</v>
      </c>
      <c r="M487" s="92">
        <f t="shared" ref="M487" si="720">WEEKDAY(A487,2)</f>
        <v>3</v>
      </c>
    </row>
    <row r="488" spans="1:15" x14ac:dyDescent="0.15">
      <c r="A488" s="90">
        <v>43083</v>
      </c>
      <c r="B488">
        <v>46.01</v>
      </c>
      <c r="C488" s="93">
        <f t="shared" ref="C488" si="721">B488/B487-1</f>
        <v>-9.2592592592593004E-3</v>
      </c>
      <c r="D488" s="38">
        <f t="shared" si="581"/>
        <v>46.217945238555394</v>
      </c>
      <c r="E488" s="92"/>
      <c r="F488">
        <v>46.22</v>
      </c>
      <c r="G488" s="42">
        <f t="shared" ref="G488" si="722">+B488/D488-1</f>
        <v>-4.4992315751398726E-3</v>
      </c>
      <c r="H488" s="92"/>
      <c r="I488" s="93">
        <f t="shared" si="316"/>
        <v>-4.5434876676763158E-3</v>
      </c>
      <c r="J488">
        <v>20335.11</v>
      </c>
      <c r="K488">
        <v>20391.560000000001</v>
      </c>
      <c r="L488" s="93">
        <f t="shared" ref="L488" si="723">+K488/J488-1</f>
        <v>2.7759869506485124E-3</v>
      </c>
      <c r="M488" s="92">
        <f t="shared" ref="M488" si="724">WEEKDAY(A488,2)</f>
        <v>4</v>
      </c>
    </row>
    <row r="489" spans="1:15" x14ac:dyDescent="0.15">
      <c r="A489" s="90">
        <v>43084</v>
      </c>
      <c r="B489">
        <v>45.75</v>
      </c>
      <c r="C489" s="93">
        <f t="shared" ref="C489" si="725">B489/B488-1</f>
        <v>-5.6509454466420195E-3</v>
      </c>
      <c r="D489" s="38">
        <f t="shared" si="581"/>
        <v>45.468931459878497</v>
      </c>
      <c r="E489" s="92"/>
      <c r="F489">
        <v>45.47</v>
      </c>
      <c r="G489" s="42">
        <f t="shared" ref="G489" si="726">+B489/D489-1</f>
        <v>6.181551470359814E-3</v>
      </c>
      <c r="H489" s="92"/>
      <c r="I489" s="93">
        <f t="shared" si="316"/>
        <v>6.1579063118539779E-3</v>
      </c>
      <c r="J489">
        <v>20391.560000000001</v>
      </c>
      <c r="K489">
        <v>20060.2</v>
      </c>
      <c r="L489" s="93">
        <f t="shared" ref="L489" si="727">+K489/J489-1</f>
        <v>-1.6249860236293823E-2</v>
      </c>
      <c r="M489" s="92">
        <f t="shared" ref="M489" si="728">WEEKDAY(A489,2)</f>
        <v>5</v>
      </c>
    </row>
    <row r="490" spans="1:15" x14ac:dyDescent="0.15">
      <c r="A490" s="90">
        <v>43087</v>
      </c>
      <c r="B490">
        <v>45.98</v>
      </c>
      <c r="C490" s="93">
        <f t="shared" ref="C490" si="729">B490/B489-1</f>
        <v>5.027322404371537E-3</v>
      </c>
      <c r="D490" s="38">
        <f t="shared" si="581"/>
        <v>45.625040727410493</v>
      </c>
      <c r="E490" s="92"/>
      <c r="F490">
        <v>45.62</v>
      </c>
      <c r="G490" s="42">
        <f t="shared" ref="G490" si="730">+B490/D490-1</f>
        <v>7.7799223174446208E-3</v>
      </c>
      <c r="H490" s="92"/>
      <c r="I490" s="93">
        <f t="shared" si="316"/>
        <v>7.8912757562472624E-3</v>
      </c>
      <c r="J490">
        <v>20060.2</v>
      </c>
      <c r="K490">
        <v>20128.599999999999</v>
      </c>
      <c r="L490" s="93">
        <f t="shared" ref="L490" si="731">+K490/J490-1</f>
        <v>3.4097366925553985E-3</v>
      </c>
      <c r="M490" s="92">
        <f t="shared" ref="M490" si="732">WEEKDAY(A490,2)</f>
        <v>1</v>
      </c>
    </row>
    <row r="491" spans="1:15" x14ac:dyDescent="0.15">
      <c r="A491" s="90">
        <v>43088</v>
      </c>
      <c r="B491">
        <v>45.88</v>
      </c>
      <c r="C491" s="93">
        <f t="shared" ref="C491" si="733">B491/B490-1</f>
        <v>-2.1748586341886478E-3</v>
      </c>
      <c r="D491" s="38">
        <f t="shared" si="581"/>
        <v>46.032738998241307</v>
      </c>
      <c r="E491" s="92"/>
      <c r="F491">
        <v>46.03</v>
      </c>
      <c r="G491" s="42">
        <f t="shared" ref="G491" si="734">+B491/D491-1</f>
        <v>-3.3180514904216363E-3</v>
      </c>
      <c r="H491" s="92"/>
      <c r="I491" s="93">
        <f t="shared" si="316"/>
        <v>-3.2587442971974134E-3</v>
      </c>
      <c r="J491">
        <v>20128.599999999999</v>
      </c>
      <c r="K491">
        <v>20310.71</v>
      </c>
      <c r="L491" s="93">
        <f t="shared" ref="L491" si="735">+K491/J491-1</f>
        <v>9.0473256957761539E-3</v>
      </c>
      <c r="M491" s="92">
        <f t="shared" ref="M491" si="736">WEEKDAY(A491,2)</f>
        <v>2</v>
      </c>
    </row>
    <row r="492" spans="1:15" x14ac:dyDescent="0.15">
      <c r="A492" s="90">
        <v>43089</v>
      </c>
      <c r="B492">
        <v>45.76</v>
      </c>
      <c r="C492" s="93">
        <f t="shared" ref="C492" si="737">B492/B491-1</f>
        <v>-2.6155187445511263E-3</v>
      </c>
      <c r="D492" s="38">
        <f t="shared" si="581"/>
        <v>45.797501101635547</v>
      </c>
      <c r="E492" s="92"/>
      <c r="F492">
        <v>45.8</v>
      </c>
      <c r="G492" s="42">
        <f t="shared" ref="G492" si="738">+B492/D492-1</f>
        <v>-8.1884602289383768E-4</v>
      </c>
      <c r="H492" s="92"/>
      <c r="I492" s="93">
        <f t="shared" si="316"/>
        <v>-8.7336244541480479E-4</v>
      </c>
      <c r="J492">
        <v>20310.71</v>
      </c>
      <c r="K492">
        <v>20208.12</v>
      </c>
      <c r="L492" s="93">
        <f t="shared" ref="L492" si="739">+K492/J492-1</f>
        <v>-5.0510297276658012E-3</v>
      </c>
      <c r="M492" s="92">
        <f t="shared" ref="M492" si="740">WEEKDAY(A492,2)</f>
        <v>3</v>
      </c>
    </row>
    <row r="493" spans="1:15" x14ac:dyDescent="0.15">
      <c r="A493" s="90">
        <v>43090</v>
      </c>
      <c r="B493">
        <v>45.71</v>
      </c>
      <c r="C493" s="93">
        <f t="shared" ref="C493" si="741">B493/B492-1</f>
        <v>-1.0926573426572883E-3</v>
      </c>
      <c r="D493" s="38">
        <f t="shared" si="581"/>
        <v>46.224454328260123</v>
      </c>
      <c r="E493" s="92"/>
      <c r="F493">
        <v>46.22</v>
      </c>
      <c r="G493" s="42">
        <f t="shared" ref="G493" si="742">+B493/D493-1</f>
        <v>-1.1129484073662765E-2</v>
      </c>
      <c r="H493" s="92"/>
      <c r="I493" s="93">
        <f t="shared" si="316"/>
        <v>-1.1034184335785291E-2</v>
      </c>
      <c r="J493">
        <v>20208.12</v>
      </c>
      <c r="K493">
        <v>20395.400000000001</v>
      </c>
      <c r="L493" s="93">
        <f t="shared" ref="L493" si="743">+K493/J493-1</f>
        <v>9.2675617524045073E-3</v>
      </c>
      <c r="M493" s="92">
        <f t="shared" ref="M493" si="744">WEEKDAY(A493,2)</f>
        <v>4</v>
      </c>
    </row>
    <row r="494" spans="1:15" ht="27" x14ac:dyDescent="0.15">
      <c r="A494" s="90">
        <v>43091</v>
      </c>
      <c r="B494">
        <v>45.98</v>
      </c>
      <c r="C494" s="93">
        <f t="shared" ref="C494" si="745">B494/B493-1</f>
        <v>5.9068037628526859E-3</v>
      </c>
      <c r="D494" s="38">
        <f t="shared" si="581"/>
        <v>45.681428571651445</v>
      </c>
      <c r="E494" s="92"/>
      <c r="F494">
        <v>45.68</v>
      </c>
      <c r="G494" s="42">
        <f t="shared" ref="G494" si="746">+B494/D494-1</f>
        <v>6.535947707507539E-3</v>
      </c>
      <c r="H494" s="92"/>
      <c r="I494" s="93">
        <f t="shared" si="316"/>
        <v>6.5674255691767769E-3</v>
      </c>
      <c r="J494">
        <v>20395.400000000001</v>
      </c>
      <c r="K494">
        <v>20554.34</v>
      </c>
      <c r="L494" s="93">
        <f t="shared" ref="L494" si="747">+K494/J494-1</f>
        <v>7.7929337007363042E-3</v>
      </c>
      <c r="M494" s="92">
        <f t="shared" ref="M494" si="748">WEEKDAY(A494,2)</f>
        <v>5</v>
      </c>
      <c r="N494" s="50" t="s">
        <v>637</v>
      </c>
      <c r="O494" s="50">
        <v>0.89181100000000002</v>
      </c>
    </row>
    <row r="495" spans="1:15" x14ac:dyDescent="0.15">
      <c r="A495" s="90">
        <v>43094</v>
      </c>
      <c r="B495">
        <v>45.98</v>
      </c>
      <c r="C495" s="93">
        <f t="shared" ref="C495" si="749">B495/B494-1</f>
        <v>0</v>
      </c>
      <c r="D495" s="38">
        <f t="shared" ref="D495" si="750">+(F494-O495)*(1+L495)</f>
        <v>45.68</v>
      </c>
      <c r="E495" s="92"/>
      <c r="F495">
        <v>45.68</v>
      </c>
      <c r="G495" s="42">
        <f t="shared" ref="G495" si="751">+B495/D495-1</f>
        <v>6.5674255691767769E-3</v>
      </c>
      <c r="H495" s="92"/>
      <c r="I495" s="93">
        <f t="shared" si="316"/>
        <v>6.5674255691767769E-3</v>
      </c>
      <c r="J495">
        <v>20554.34</v>
      </c>
      <c r="K495">
        <v>20554.34</v>
      </c>
      <c r="L495" s="93">
        <f t="shared" ref="L495" si="752">+K495/J495-1</f>
        <v>0</v>
      </c>
      <c r="M495" s="92">
        <f t="shared" ref="M495" si="753">WEEKDAY(A495,2)</f>
        <v>1</v>
      </c>
    </row>
    <row r="496" spans="1:15" x14ac:dyDescent="0.15">
      <c r="A496" s="90">
        <v>43095</v>
      </c>
      <c r="B496">
        <v>45.98</v>
      </c>
      <c r="C496" s="93">
        <f t="shared" ref="C496" si="754">B496/B495-1</f>
        <v>0</v>
      </c>
      <c r="D496" s="38">
        <f t="shared" ref="D496" si="755">+(F495-O496)*(1+L496)</f>
        <v>45.68</v>
      </c>
      <c r="E496" s="92"/>
      <c r="F496">
        <v>45.69</v>
      </c>
      <c r="G496" s="42">
        <f t="shared" ref="G496:G501" si="756">+B496/D496-1</f>
        <v>6.5674255691767769E-3</v>
      </c>
      <c r="H496" s="92"/>
      <c r="I496" s="93">
        <f t="shared" si="316"/>
        <v>6.3471219085138308E-3</v>
      </c>
      <c r="J496">
        <v>20554.34</v>
      </c>
      <c r="K496">
        <v>20554.34</v>
      </c>
      <c r="L496" s="93">
        <f t="shared" ref="L496" si="757">+K496/J496-1</f>
        <v>0</v>
      </c>
      <c r="M496" s="92">
        <f t="shared" ref="M496" si="758">WEEKDAY(A496,2)</f>
        <v>2</v>
      </c>
    </row>
    <row r="497" spans="1:13" x14ac:dyDescent="0.15">
      <c r="A497" s="90">
        <v>43096</v>
      </c>
      <c r="B497">
        <v>45.69</v>
      </c>
      <c r="C497" s="93">
        <f t="shared" ref="C497" si="759">B497/B496-1</f>
        <v>-6.3070900391474227E-3</v>
      </c>
      <c r="D497" s="38">
        <f t="shared" ref="D497" si="760">+(F496-O497)*(1+L497)</f>
        <v>45.710094909396261</v>
      </c>
      <c r="E497" s="92"/>
      <c r="F497">
        <v>45.7</v>
      </c>
      <c r="G497" s="42">
        <f t="shared" si="756"/>
        <v>-4.3961644437828795E-4</v>
      </c>
      <c r="H497" s="92"/>
      <c r="I497" s="93">
        <f t="shared" si="316"/>
        <v>-2.1881838074411242E-4</v>
      </c>
      <c r="J497">
        <v>20554.34</v>
      </c>
      <c r="K497">
        <v>20563.38</v>
      </c>
      <c r="L497" s="93">
        <f t="shared" ref="L497" si="761">+K497/J497-1</f>
        <v>4.3980979199531589E-4</v>
      </c>
      <c r="M497" s="92">
        <f t="shared" ref="M497" si="762">WEEKDAY(A497,2)</f>
        <v>3</v>
      </c>
    </row>
    <row r="498" spans="1:13" x14ac:dyDescent="0.15">
      <c r="A498" s="90">
        <v>43097</v>
      </c>
      <c r="B498">
        <v>46.07</v>
      </c>
      <c r="C498" s="93">
        <f t="shared" ref="C498" si="763">B498/B497-1</f>
        <v>8.3169183628803989E-3</v>
      </c>
      <c r="D498" s="38">
        <f t="shared" ref="D498" si="764">+(F497-O498)*(1+L498)</f>
        <v>46.116166116659805</v>
      </c>
      <c r="E498" s="92"/>
      <c r="F498">
        <v>46.11</v>
      </c>
      <c r="G498" s="42">
        <f t="shared" si="756"/>
        <v>-1.0010831460494085E-3</v>
      </c>
      <c r="H498" s="92"/>
      <c r="I498" s="93">
        <f t="shared" si="316"/>
        <v>-8.6749078291037396E-4</v>
      </c>
      <c r="J498">
        <v>20563.38</v>
      </c>
      <c r="K498">
        <v>20750.64</v>
      </c>
      <c r="L498" s="93">
        <f t="shared" ref="L498" si="765">+K498/J498-1</f>
        <v>9.1064795768009965E-3</v>
      </c>
      <c r="M498" s="92">
        <f t="shared" ref="M498" si="766">WEEKDAY(A498,2)</f>
        <v>4</v>
      </c>
    </row>
    <row r="499" spans="1:13" x14ac:dyDescent="0.15">
      <c r="A499" s="90">
        <v>43098</v>
      </c>
      <c r="B499">
        <v>46.17</v>
      </c>
      <c r="C499" s="93">
        <f t="shared" ref="C499" si="767">B499/B498-1</f>
        <v>2.1706099413936197E-3</v>
      </c>
      <c r="D499" s="38">
        <f t="shared" ref="D499" si="768">+(F498-O499)*(1+L499)</f>
        <v>46.181596066434579</v>
      </c>
      <c r="E499" s="92"/>
      <c r="F499">
        <v>46.18</v>
      </c>
      <c r="G499" s="42">
        <f t="shared" si="756"/>
        <v>-2.5109713440596426E-4</v>
      </c>
      <c r="H499" s="92"/>
      <c r="I499" s="93">
        <f t="shared" si="316"/>
        <v>-2.165439584235207E-4</v>
      </c>
      <c r="J499">
        <v>20750.64</v>
      </c>
      <c r="K499">
        <v>20782.86</v>
      </c>
      <c r="L499" s="93">
        <f t="shared" ref="L499" si="769">+K499/J499-1</f>
        <v>1.5527231931160568E-3</v>
      </c>
      <c r="M499" s="92">
        <f t="shared" ref="M499" si="770">WEEKDAY(A499,2)</f>
        <v>5</v>
      </c>
    </row>
    <row r="500" spans="1:13" x14ac:dyDescent="0.15">
      <c r="A500" s="90">
        <v>43102</v>
      </c>
      <c r="B500">
        <v>47.77</v>
      </c>
      <c r="C500" s="93">
        <f t="shared" ref="C500" si="771">B500/B499-1</f>
        <v>3.4654537578514111E-2</v>
      </c>
      <c r="D500" s="38">
        <f t="shared" ref="D500" si="772">+(F499-O500)*(1+L500)</f>
        <v>47.546233271070484</v>
      </c>
      <c r="E500" s="92"/>
      <c r="F500">
        <v>47.54</v>
      </c>
      <c r="G500" s="42">
        <f t="shared" si="756"/>
        <v>4.7062977135072792E-3</v>
      </c>
      <c r="H500" s="92"/>
      <c r="I500" s="93">
        <f t="shared" si="316"/>
        <v>4.8380311316786884E-3</v>
      </c>
      <c r="J500">
        <v>20782.86</v>
      </c>
      <c r="K500">
        <v>21397.72</v>
      </c>
      <c r="L500" s="93">
        <f t="shared" ref="L500" si="773">+K500/J500-1</f>
        <v>2.9584956064757195E-2</v>
      </c>
      <c r="M500" s="92">
        <f t="shared" ref="M500" si="774">WEEKDAY(A500,2)</f>
        <v>2</v>
      </c>
    </row>
    <row r="501" spans="1:13" x14ac:dyDescent="0.15">
      <c r="A501" s="90">
        <v>43103</v>
      </c>
      <c r="B501">
        <v>48.18</v>
      </c>
      <c r="C501" s="93">
        <f t="shared" ref="C501" si="775">B501/B500-1</f>
        <v>8.582792547624063E-3</v>
      </c>
      <c r="D501" s="38">
        <f t="shared" ref="D501" si="776">+(F500-O501)*(1+L501)</f>
        <v>47.670904451502302</v>
      </c>
      <c r="E501" s="92"/>
      <c r="F501">
        <v>47.67</v>
      </c>
      <c r="G501" s="42">
        <f t="shared" si="756"/>
        <v>1.0679376746787428E-2</v>
      </c>
      <c r="H501" s="92"/>
      <c r="I501" s="93">
        <f t="shared" si="316"/>
        <v>1.0698552548772833E-2</v>
      </c>
      <c r="J501">
        <v>21397.72</v>
      </c>
      <c r="K501">
        <v>21456.639999999999</v>
      </c>
      <c r="L501" s="93">
        <f t="shared" ref="L501" si="777">+K501/J501-1</f>
        <v>2.7535643984497593E-3</v>
      </c>
      <c r="M501" s="92">
        <f t="shared" ref="M501" si="778">WEEKDAY(A501,2)</f>
        <v>3</v>
      </c>
    </row>
    <row r="502" spans="1:13" x14ac:dyDescent="0.15">
      <c r="A502" s="90">
        <v>43104</v>
      </c>
      <c r="B502">
        <v>48.34</v>
      </c>
      <c r="C502" s="93">
        <f t="shared" ref="C502" si="779">B502/B501-1</f>
        <v>3.3208800332089616E-3</v>
      </c>
      <c r="D502" s="38">
        <f t="shared" ref="D502" si="780">+(F501-O502)*(1+L502)</f>
        <v>48.101763211761025</v>
      </c>
      <c r="E502" s="92"/>
      <c r="F502">
        <v>48.1</v>
      </c>
      <c r="G502" s="42">
        <f t="shared" ref="G502" si="781">+B502/D502-1</f>
        <v>4.9527662258486149E-3</v>
      </c>
      <c r="H502" s="92"/>
      <c r="I502" s="93">
        <f t="shared" si="316"/>
        <v>4.9896049896049899E-3</v>
      </c>
      <c r="J502">
        <v>21456.639999999999</v>
      </c>
      <c r="K502">
        <v>21650.98</v>
      </c>
      <c r="L502" s="93">
        <f t="shared" ref="L502" si="782">+K502/J502-1</f>
        <v>9.0573360973573713E-3</v>
      </c>
      <c r="M502" s="92">
        <f t="shared" ref="M502" si="783">WEEKDAY(A502,2)</f>
        <v>4</v>
      </c>
    </row>
    <row r="503" spans="1:13" x14ac:dyDescent="0.15">
      <c r="A503" s="90">
        <v>43105</v>
      </c>
      <c r="B503">
        <v>48.54</v>
      </c>
      <c r="C503" s="93">
        <f t="shared" ref="C503" si="784">B503/B502-1</f>
        <v>4.1373603640875167E-3</v>
      </c>
      <c r="D503" s="38">
        <f t="shared" ref="D503" si="785">+(F502-O503)*(1+L503)</f>
        <v>48.255334862440407</v>
      </c>
      <c r="E503" s="92"/>
      <c r="F503">
        <v>48.26</v>
      </c>
      <c r="G503" s="42">
        <f t="shared" ref="G503" si="786">+B503/D503-1</f>
        <v>5.8991433459341103E-3</v>
      </c>
      <c r="H503" s="92"/>
      <c r="I503" s="93">
        <f t="shared" si="316"/>
        <v>5.8019063406549165E-3</v>
      </c>
      <c r="J503">
        <v>21650.98</v>
      </c>
      <c r="K503">
        <v>21720.9</v>
      </c>
      <c r="L503" s="93">
        <f t="shared" ref="L503" si="787">+K503/J503-1</f>
        <v>3.2294150195510962E-3</v>
      </c>
      <c r="M503" s="92">
        <f t="shared" ref="M503" si="788">WEEKDAY(A503,2)</f>
        <v>5</v>
      </c>
    </row>
    <row r="504" spans="1:13" x14ac:dyDescent="0.15">
      <c r="A504" s="90">
        <v>43108</v>
      </c>
      <c r="B504">
        <v>48.71</v>
      </c>
      <c r="C504" s="93">
        <f t="shared" ref="C504" si="789">B504/B503-1</f>
        <v>3.5022661722290405E-3</v>
      </c>
      <c r="D504" s="38">
        <f t="shared" ref="D504" si="790">+(F503-O504)*(1+L504)</f>
        <v>48.571832889060765</v>
      </c>
      <c r="E504" s="92"/>
      <c r="F504">
        <v>48.57</v>
      </c>
      <c r="G504" s="42">
        <f t="shared" ref="G504" si="791">+B504/D504-1</f>
        <v>2.8445933110001764E-3</v>
      </c>
      <c r="H504" s="92"/>
      <c r="I504" s="93">
        <f t="shared" si="316"/>
        <v>2.8824377187564032E-3</v>
      </c>
      <c r="J504">
        <v>21720.9</v>
      </c>
      <c r="K504">
        <v>21861.25</v>
      </c>
      <c r="L504" s="93">
        <f t="shared" ref="L504" si="792">+K504/J504-1</f>
        <v>6.4615186295227112E-3</v>
      </c>
      <c r="M504" s="92">
        <f t="shared" ref="M504" si="793">WEEKDAY(A504,2)</f>
        <v>1</v>
      </c>
    </row>
    <row r="505" spans="1:13" x14ac:dyDescent="0.15">
      <c r="A505" s="90">
        <v>43109</v>
      </c>
      <c r="B505">
        <v>48.57</v>
      </c>
      <c r="C505" s="93">
        <f t="shared" ref="C505" si="794">B505/B504-1</f>
        <v>-2.8741531513036822E-3</v>
      </c>
      <c r="D505" s="38">
        <f t="shared" ref="D505" si="795">+(F504-O505)*(1+L505)</f>
        <v>48.628853876150728</v>
      </c>
      <c r="E505" s="92"/>
      <c r="F505">
        <v>48.62</v>
      </c>
      <c r="G505" s="42">
        <f t="shared" ref="G505" si="796">+B505/D505-1</f>
        <v>-1.2102665693215497E-3</v>
      </c>
      <c r="H505" s="92"/>
      <c r="I505" s="93">
        <f t="shared" si="316"/>
        <v>-1.0283833813244936E-3</v>
      </c>
      <c r="J505">
        <v>21861.25</v>
      </c>
      <c r="K505">
        <v>21887.74</v>
      </c>
      <c r="L505" s="93">
        <f t="shared" ref="L505" si="797">+K505/J505-1</f>
        <v>1.2117330893706146E-3</v>
      </c>
      <c r="M505" s="92">
        <f t="shared" ref="M505" si="798">WEEKDAY(A505,2)</f>
        <v>2</v>
      </c>
    </row>
    <row r="506" spans="1:13" x14ac:dyDescent="0.15">
      <c r="A506" s="90">
        <v>43110</v>
      </c>
      <c r="B506">
        <v>48.62</v>
      </c>
      <c r="C506" s="93">
        <f t="shared" ref="C506" si="799">B506/B505-1</f>
        <v>1.0294420424130646E-3</v>
      </c>
      <c r="D506" s="38">
        <f t="shared" ref="D506" si="800">+(F505-O506)*(1+L506)</f>
        <v>48.785422807471214</v>
      </c>
      <c r="E506" s="92"/>
      <c r="F506">
        <v>48.79</v>
      </c>
      <c r="G506" s="42">
        <f t="shared" ref="G506" si="801">+B506/D506-1</f>
        <v>-3.3908245117408864E-3</v>
      </c>
      <c r="H506" s="92"/>
      <c r="I506" s="93">
        <f t="shared" si="316"/>
        <v>-3.4843205574913716E-3</v>
      </c>
      <c r="J506">
        <v>21887.74</v>
      </c>
      <c r="K506">
        <v>21962.21</v>
      </c>
      <c r="L506" s="93">
        <f t="shared" ref="L506" si="802">+K506/J506-1</f>
        <v>3.4023613219089643E-3</v>
      </c>
      <c r="M506" s="92">
        <f t="shared" ref="M506" si="803">WEEKDAY(A506,2)</f>
        <v>3</v>
      </c>
    </row>
    <row r="507" spans="1:13" x14ac:dyDescent="0.15">
      <c r="A507" s="90">
        <v>43111</v>
      </c>
      <c r="B507">
        <v>48.96</v>
      </c>
      <c r="C507" s="93">
        <f t="shared" ref="C507" si="804">B507/B506-1</f>
        <v>6.9930069930070893E-3</v>
      </c>
      <c r="D507" s="38">
        <f t="shared" ref="D507" si="805">+(F506-O507)*(1+L507)</f>
        <v>48.64762129129992</v>
      </c>
      <c r="E507" s="92"/>
      <c r="G507" s="42">
        <f t="shared" ref="G507" si="806">+B507/D507-1</f>
        <v>6.4212535044534391E-3</v>
      </c>
      <c r="H507" s="92"/>
      <c r="J507">
        <v>21962.21</v>
      </c>
      <c r="K507">
        <v>21898.12</v>
      </c>
      <c r="L507" s="93">
        <f t="shared" ref="L507" si="807">+K507/J507-1</f>
        <v>-2.9181944804279603E-3</v>
      </c>
      <c r="M507" s="92">
        <f t="shared" ref="M507" si="808">WEEKDAY(A507,2)</f>
        <v>4</v>
      </c>
    </row>
    <row r="508" spans="1:13" x14ac:dyDescent="0.15">
      <c r="A508" s="90">
        <v>43112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508"/>
  <sheetViews>
    <sheetView zoomScale="115" zoomScaleNormal="115" workbookViewId="0">
      <pane xSplit="1" ySplit="2" topLeftCell="B481" activePane="bottomRight" state="frozen"/>
      <selection pane="topRight" activeCell="B1" sqref="B1"/>
      <selection pane="bottomLeft" activeCell="A3" sqref="A3"/>
      <selection pane="bottomRight" activeCell="B503" sqref="B503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23.5" customWidth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506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7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7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1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3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15">
      <c r="A406" s="1">
        <v>42969</v>
      </c>
      <c r="B406">
        <v>32.54</v>
      </c>
      <c r="C406" s="93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3">
        <f>(B406/(D406*(1-VLOOKUP(A406,FX!A:M,13,0))))-1</f>
        <v>1.6654066435117798E-4</v>
      </c>
      <c r="I406" s="93">
        <f t="shared" si="272"/>
        <v>-4.8929663608563434E-3</v>
      </c>
      <c r="J406">
        <v>1829.2170000000001</v>
      </c>
      <c r="K406" s="92">
        <v>1814.92</v>
      </c>
      <c r="L406" s="93">
        <f t="shared" ref="L406" si="488">+K406/J406-1</f>
        <v>-7.8159124915195832E-3</v>
      </c>
      <c r="M406" s="92">
        <f t="shared" ref="M406" si="489">WEEKDAY(A406,2)</f>
        <v>2</v>
      </c>
      <c r="N406" s="50"/>
    </row>
    <row r="407" spans="1:14" ht="40.5" x14ac:dyDescent="0.15">
      <c r="A407" s="1">
        <v>42970</v>
      </c>
      <c r="B407">
        <v>32.46</v>
      </c>
      <c r="C407" s="93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3">
        <f>(B407/(D407*(1-VLOOKUP(A407,FX!A:M,13,0))))-1</f>
        <v>-3.9697683339895429E-3</v>
      </c>
      <c r="I407" s="93">
        <f t="shared" si="272"/>
        <v>-3.5303146584805267E-3</v>
      </c>
      <c r="J407">
        <v>1814.92</v>
      </c>
      <c r="K407">
        <v>1807.37</v>
      </c>
      <c r="L407" s="93">
        <f t="shared" ref="L407" si="493">+K407/J407-1</f>
        <v>-4.1599629735746824E-3</v>
      </c>
      <c r="M407" s="92">
        <f t="shared" ref="M407" si="494">WEEKDAY(A407,2)</f>
        <v>3</v>
      </c>
      <c r="N407" s="50" t="s">
        <v>417</v>
      </c>
    </row>
    <row r="408" spans="1:14" x14ac:dyDescent="0.15">
      <c r="A408" s="1">
        <v>42971</v>
      </c>
      <c r="B408">
        <v>32.15</v>
      </c>
      <c r="C408" s="93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3">
        <f>(B408/(D408*(1-VLOOKUP(A408,FX!A:M,13,0))))-1</f>
        <v>-7.0180049919129628E-3</v>
      </c>
      <c r="I408" s="93">
        <f t="shared" si="272"/>
        <v>-5.5983421484026019E-3</v>
      </c>
      <c r="J408" s="92">
        <v>1807.37</v>
      </c>
      <c r="K408">
        <v>1795.739</v>
      </c>
      <c r="L408" s="93">
        <f t="shared" ref="L408" si="498">+K408/J408-1</f>
        <v>-6.4353176162046388E-3</v>
      </c>
      <c r="M408" s="92">
        <f t="shared" ref="M408" si="499">WEEKDAY(A408,2)</f>
        <v>4</v>
      </c>
      <c r="N408" s="50"/>
    </row>
    <row r="409" spans="1:14" x14ac:dyDescent="0.15">
      <c r="A409" s="1">
        <v>42972</v>
      </c>
      <c r="B409">
        <v>32.829000000000001</v>
      </c>
      <c r="C409" s="93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3">
        <f>(B409/(D409*(1-VLOOKUP(A409,FX!A:M,13,0))))-1</f>
        <v>3.2156366101547817E-3</v>
      </c>
      <c r="I409" s="93">
        <f t="shared" si="272"/>
        <v>2.6203215073561381E-4</v>
      </c>
      <c r="J409">
        <v>1795.739</v>
      </c>
      <c r="K409">
        <v>1812.8779999999999</v>
      </c>
      <c r="L409" s="93">
        <f t="shared" ref="L409" si="503">+K409/J409-1</f>
        <v>9.5442600511543851E-3</v>
      </c>
      <c r="M409" s="92">
        <f t="shared" ref="M409" si="504">WEEKDAY(A409,2)</f>
        <v>5</v>
      </c>
      <c r="N409" s="50"/>
    </row>
    <row r="410" spans="1:14" x14ac:dyDescent="0.15">
      <c r="A410" s="90">
        <v>42975</v>
      </c>
      <c r="B410">
        <v>33.563899999999997</v>
      </c>
      <c r="C410" s="93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3">
        <f>(B410/(D410*(1-VLOOKUP(A410,FX!A:M,13,0))))-1</f>
        <v>2.2568953308803597E-3</v>
      </c>
      <c r="I410" s="93">
        <f t="shared" si="272"/>
        <v>8.6477073138713223E-4</v>
      </c>
      <c r="J410">
        <v>1812.8779999999999</v>
      </c>
      <c r="K410">
        <v>1842.828</v>
      </c>
      <c r="L410" s="93">
        <f t="shared" ref="L410" si="508">+K410/J410-1</f>
        <v>1.6520692512127066E-2</v>
      </c>
      <c r="M410" s="92">
        <f t="shared" ref="M410" si="509">WEEKDAY(A410,2)</f>
        <v>1</v>
      </c>
      <c r="N410" s="50"/>
    </row>
    <row r="411" spans="1:14" x14ac:dyDescent="0.15">
      <c r="A411" s="90">
        <v>42976</v>
      </c>
      <c r="B411">
        <v>33.5</v>
      </c>
      <c r="C411" s="93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3">
        <f>(B411/(D411*(1-VLOOKUP(A411,FX!A:M,13,0))))-1</f>
        <v>3.4727941449705924E-3</v>
      </c>
      <c r="I411" s="93">
        <f t="shared" si="272"/>
        <v>6.2128127314875492E-4</v>
      </c>
      <c r="J411">
        <v>1842.828</v>
      </c>
      <c r="K411">
        <v>1831.5909999999999</v>
      </c>
      <c r="L411" s="93">
        <f t="shared" ref="L411" si="513">+K411/J411-1</f>
        <v>-6.0976933278634737E-3</v>
      </c>
      <c r="M411" s="92">
        <f t="shared" ref="M411" si="514">WEEKDAY(A411,2)</f>
        <v>2</v>
      </c>
      <c r="N411" s="50"/>
    </row>
    <row r="412" spans="1:14" x14ac:dyDescent="0.15">
      <c r="A412" s="90">
        <v>42977</v>
      </c>
      <c r="B412">
        <v>33.646599999999999</v>
      </c>
      <c r="C412" s="93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3">
        <f>(B412/(D412*(1-VLOOKUP(A412,FX!A:M,13,0))))-1</f>
        <v>-1.969690990130113E-4</v>
      </c>
      <c r="I412" s="93">
        <f t="shared" si="272"/>
        <v>1.3970673475638407E-4</v>
      </c>
      <c r="J412">
        <v>1831.5909999999999</v>
      </c>
      <c r="K412">
        <v>1838.6310000000001</v>
      </c>
      <c r="L412" s="93">
        <f t="shared" ref="L412" si="518">+K412/J412-1</f>
        <v>3.8436528679166582E-3</v>
      </c>
      <c r="M412" s="92">
        <f t="shared" ref="M412" si="519">WEEKDAY(A412,2)</f>
        <v>3</v>
      </c>
      <c r="N412" s="50"/>
    </row>
    <row r="413" spans="1:14" x14ac:dyDescent="0.15">
      <c r="A413" s="90">
        <v>42978</v>
      </c>
      <c r="B413">
        <v>33.895000000000003</v>
      </c>
      <c r="C413" s="93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3">
        <f>(B413/(D413*(1-VLOOKUP(A413,FX!A:M,13,0))))-1</f>
        <v>1.2756557544415514E-3</v>
      </c>
      <c r="I413" s="93">
        <f t="shared" si="272"/>
        <v>2.3124600790140892E-3</v>
      </c>
      <c r="J413">
        <v>1838.6310000000001</v>
      </c>
      <c r="K413">
        <v>1849.3789999999999</v>
      </c>
      <c r="L413" s="93">
        <f t="shared" ref="L413" si="523">+K413/J413-1</f>
        <v>5.8456536412145876E-3</v>
      </c>
      <c r="M413" s="92">
        <f t="shared" ref="M413" si="524">WEEKDAY(A413,2)</f>
        <v>4</v>
      </c>
      <c r="N413" s="50"/>
    </row>
    <row r="414" spans="1:14" x14ac:dyDescent="0.15">
      <c r="A414" s="90">
        <v>42979</v>
      </c>
      <c r="B414">
        <v>34.505800000000001</v>
      </c>
      <c r="C414" s="93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3">
        <f>(B414/(D414*(1-VLOOKUP(A414,FX!A:M,13,0))))-1</f>
        <v>6.0785897077795248E-3</v>
      </c>
      <c r="I414" s="93">
        <f t="shared" si="272"/>
        <v>5.8885604510285905E-3</v>
      </c>
      <c r="J414">
        <v>1849.3789999999999</v>
      </c>
      <c r="K414">
        <v>1865.25</v>
      </c>
      <c r="L414" s="93">
        <f t="shared" ref="L414" si="528">+K414/J414-1</f>
        <v>8.5817996203050306E-3</v>
      </c>
      <c r="M414" s="92">
        <f t="shared" ref="M414" si="529">WEEKDAY(A414,2)</f>
        <v>5</v>
      </c>
      <c r="N414" s="50"/>
    </row>
    <row r="415" spans="1:14" x14ac:dyDescent="0.15">
      <c r="A415" s="90">
        <v>42982</v>
      </c>
      <c r="B415">
        <v>34.505800000000001</v>
      </c>
      <c r="C415" s="93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3">
        <f>(B415/(D415*(1-VLOOKUP(A415,FX!A:M,13,0))))-1</f>
        <v>-8.5922592398665065E-3</v>
      </c>
      <c r="I415" s="93">
        <f t="shared" si="272"/>
        <v>-8.4540229885056162E-3</v>
      </c>
      <c r="J415">
        <v>1865.25</v>
      </c>
      <c r="K415">
        <v>1883.6179999999999</v>
      </c>
      <c r="L415" s="93">
        <f t="shared" ref="L415" si="533">+K415/J415-1</f>
        <v>9.847473529017492E-3</v>
      </c>
      <c r="M415" s="92">
        <f t="shared" ref="M415" si="534">WEEKDAY(A415,2)</f>
        <v>1</v>
      </c>
      <c r="N415" s="50"/>
    </row>
    <row r="416" spans="1:14" x14ac:dyDescent="0.15">
      <c r="A416" s="90">
        <v>42983</v>
      </c>
      <c r="B416">
        <v>34.979999999999997</v>
      </c>
      <c r="C416" s="93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3">
        <f>(B416/(D416*(1-VLOOKUP(A416,FX!A:M,13,0))))-1</f>
        <v>5.959498100536198E-3</v>
      </c>
      <c r="I416" s="93">
        <f t="shared" si="272"/>
        <v>6.143863040176667E-3</v>
      </c>
      <c r="J416">
        <v>1883.6179999999999</v>
      </c>
      <c r="K416">
        <v>1885.162</v>
      </c>
      <c r="L416" s="93">
        <f t="shared" ref="L416" si="538">+K416/J416-1</f>
        <v>8.1969911096635428E-4</v>
      </c>
      <c r="M416" s="92">
        <f t="shared" ref="M416" si="539">WEEKDAY(A416,2)</f>
        <v>2</v>
      </c>
      <c r="N416" s="50"/>
    </row>
    <row r="417" spans="1:14" x14ac:dyDescent="0.15">
      <c r="A417" s="90">
        <v>42984</v>
      </c>
      <c r="B417">
        <v>34.99</v>
      </c>
      <c r="C417" s="93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3">
        <f>(B417/(D417*(1-VLOOKUP(A417,FX!A:M,13,0))))-1</f>
        <v>-2.7079031954174715E-3</v>
      </c>
      <c r="I417" s="93">
        <f t="shared" si="272"/>
        <v>1.5944215284120489E-3</v>
      </c>
      <c r="J417">
        <v>1885.162</v>
      </c>
      <c r="K417">
        <v>1902.857</v>
      </c>
      <c r="L417" s="93">
        <f t="shared" ref="L417" si="543">+K417/J417-1</f>
        <v>9.3864612165956984E-3</v>
      </c>
      <c r="M417" s="92">
        <f t="shared" ref="M417" si="544">WEEKDAY(A417,2)</f>
        <v>3</v>
      </c>
      <c r="N417" s="50"/>
    </row>
    <row r="418" spans="1:14" x14ac:dyDescent="0.15">
      <c r="A418" s="90">
        <v>42985</v>
      </c>
      <c r="B418">
        <v>35.07</v>
      </c>
      <c r="C418" s="93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3">
        <f>(B418/(D418*(1-VLOOKUP(A418,FX!A:M,13,0))))-1</f>
        <v>2.1527023819258861E-3</v>
      </c>
      <c r="I418" s="93">
        <f t="shared" si="272"/>
        <v>2.286367533580913E-3</v>
      </c>
      <c r="J418">
        <v>1902.857</v>
      </c>
      <c r="K418">
        <v>1890.3820000000001</v>
      </c>
      <c r="L418" s="93">
        <f t="shared" ref="L418" si="548">+K418/J418-1</f>
        <v>-6.5559314231179444E-3</v>
      </c>
      <c r="M418" s="92">
        <f t="shared" ref="M418" si="549">WEEKDAY(A418,2)</f>
        <v>4</v>
      </c>
      <c r="N418" s="50"/>
    </row>
    <row r="419" spans="1:14" x14ac:dyDescent="0.15">
      <c r="A419" s="90">
        <v>42986</v>
      </c>
      <c r="B419">
        <v>35.01</v>
      </c>
      <c r="C419" s="93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3">
        <f>(B419/(D419*(1-VLOOKUP(A419,FX!A:M,13,0))))-1</f>
        <v>5.0860993861654435E-3</v>
      </c>
      <c r="I419" s="93">
        <f t="shared" si="272"/>
        <v>6.6506223636879636E-3</v>
      </c>
      <c r="J419">
        <v>1890.3820000000001</v>
      </c>
      <c r="K419">
        <v>1885.2739999999999</v>
      </c>
      <c r="L419" s="93">
        <f t="shared" ref="L419" si="553">+K419/J419-1</f>
        <v>-2.702099364043975E-3</v>
      </c>
      <c r="M419" s="92">
        <f t="shared" ref="M419" si="554">WEEKDAY(A419,2)</f>
        <v>5</v>
      </c>
      <c r="N419" s="50"/>
    </row>
    <row r="420" spans="1:14" x14ac:dyDescent="0.15">
      <c r="A420" s="90">
        <v>42989</v>
      </c>
      <c r="B420">
        <v>35.270000000000003</v>
      </c>
      <c r="C420" s="93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3">
        <f>(B420/(D420*(1-VLOOKUP(A420,FX!A:M,13,0))))-1</f>
        <v>1.4571229895749438E-2</v>
      </c>
      <c r="I420" s="93">
        <f t="shared" si="272"/>
        <v>6.1159985851049203E-3</v>
      </c>
      <c r="J420">
        <v>1885.2739999999999</v>
      </c>
      <c r="K420">
        <v>1896.375</v>
      </c>
      <c r="L420" s="93">
        <f t="shared" ref="L420" si="558">+K420/J420-1</f>
        <v>5.8882687609334017E-3</v>
      </c>
      <c r="M420" s="92">
        <f t="shared" ref="M420" si="559">WEEKDAY(A420,2)</f>
        <v>1</v>
      </c>
      <c r="N420" s="50"/>
    </row>
    <row r="421" spans="1:14" x14ac:dyDescent="0.15">
      <c r="A421" s="90">
        <v>42990</v>
      </c>
      <c r="B421">
        <v>35.1</v>
      </c>
      <c r="C421" s="93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3">
        <f>(B421/(D421*(1-VLOOKUP(A421,FX!A:M,13,0))))-1</f>
        <v>6.9737449501305893E-3</v>
      </c>
      <c r="I421" s="93">
        <f t="shared" si="272"/>
        <v>5.5808303633841927E-3</v>
      </c>
      <c r="J421">
        <v>1896.375</v>
      </c>
      <c r="K421">
        <v>1884.4839999999999</v>
      </c>
      <c r="L421" s="93">
        <f t="shared" ref="L421" si="563">+K421/J421-1</f>
        <v>-6.2703842858085057E-3</v>
      </c>
      <c r="M421" s="92">
        <f t="shared" ref="M421" si="564">WEEKDAY(A421,2)</f>
        <v>2</v>
      </c>
      <c r="N421" s="50"/>
    </row>
    <row r="422" spans="1:14" x14ac:dyDescent="0.15">
      <c r="A422" s="90">
        <v>42991</v>
      </c>
      <c r="B422">
        <v>35.1</v>
      </c>
      <c r="C422" s="93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3">
        <f>(B422/(D422*(1-VLOOKUP(A422,FX!A:M,13,0))))-1</f>
        <v>5.40127651495248E-3</v>
      </c>
      <c r="I422" s="93">
        <f t="shared" si="272"/>
        <v>3.2010975191494317E-3</v>
      </c>
      <c r="J422">
        <v>1884.4839999999999</v>
      </c>
      <c r="K422">
        <v>1888.432</v>
      </c>
      <c r="L422" s="93">
        <f t="shared" ref="L422" si="568">+K422/J422-1</f>
        <v>2.0950031945083936E-3</v>
      </c>
      <c r="M422" s="92">
        <f t="shared" ref="M422" si="569">WEEKDAY(A422,2)</f>
        <v>3</v>
      </c>
      <c r="N422" s="50"/>
    </row>
    <row r="423" spans="1:14" x14ac:dyDescent="0.15">
      <c r="A423" s="90">
        <v>42992</v>
      </c>
      <c r="B423">
        <v>34.71</v>
      </c>
      <c r="C423" s="93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3">
        <f>(B423/(D423*(1-VLOOKUP(A423,FX!A:M,13,0))))-1</f>
        <v>-3.9372614057051614E-3</v>
      </c>
      <c r="I423" s="93">
        <f t="shared" si="272"/>
        <v>1.445474453186657E-3</v>
      </c>
      <c r="J423">
        <v>1888.432</v>
      </c>
      <c r="K423">
        <v>1879.252</v>
      </c>
      <c r="L423" s="93">
        <f t="shared" ref="L423" si="573">+K423/J423-1</f>
        <v>-4.8611758326484455E-3</v>
      </c>
      <c r="M423" s="92">
        <f t="shared" ref="M423" si="574">WEEKDAY(A423,2)</f>
        <v>4</v>
      </c>
      <c r="N423" s="50"/>
    </row>
    <row r="424" spans="1:14" x14ac:dyDescent="0.15">
      <c r="A424" s="90">
        <v>42993</v>
      </c>
      <c r="B424">
        <v>34.816499999999998</v>
      </c>
      <c r="C424" s="93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3">
        <f>(B424/(D424*(1-VLOOKUP(A424,FX!A:M,13,0))))-1</f>
        <v>7.6128541175977116E-3</v>
      </c>
      <c r="I424" s="93">
        <f t="shared" si="272"/>
        <v>6.667456969458474E-3</v>
      </c>
      <c r="J424">
        <v>1879.252</v>
      </c>
      <c r="K424">
        <v>1875.635</v>
      </c>
      <c r="L424" s="93">
        <f t="shared" ref="L424" si="578">+K424/J424-1</f>
        <v>-1.9247019558845668E-3</v>
      </c>
      <c r="M424" s="92">
        <f t="shared" ref="M424" si="579">WEEKDAY(A424,2)</f>
        <v>5</v>
      </c>
      <c r="N424" s="50"/>
    </row>
    <row r="425" spans="1:14" x14ac:dyDescent="0.15">
      <c r="A425" s="90">
        <v>42996</v>
      </c>
      <c r="B425">
        <v>34.966500000000003</v>
      </c>
      <c r="C425" s="93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3">
        <f>(B425/(D425*(1-VLOOKUP(A425,FX!A:M,13,0))))-1</f>
        <v>4.5242846775528367E-3</v>
      </c>
      <c r="I425" s="93">
        <f t="shared" si="272"/>
        <v>5.853925150303585E-3</v>
      </c>
      <c r="J425">
        <v>1875.635</v>
      </c>
      <c r="K425">
        <v>1894.8019999999999</v>
      </c>
      <c r="L425" s="93">
        <f t="shared" ref="L425" si="583">+K425/J425-1</f>
        <v>1.0218939185929088E-2</v>
      </c>
      <c r="M425" s="92">
        <f t="shared" ref="M425" si="584">WEEKDAY(A425,2)</f>
        <v>1</v>
      </c>
      <c r="N425" s="50"/>
    </row>
    <row r="426" spans="1:14" x14ac:dyDescent="0.15">
      <c r="A426" s="90">
        <v>42997</v>
      </c>
      <c r="B426">
        <v>34.49</v>
      </c>
      <c r="C426" s="93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3">
        <f>(B426/(D426*(1-VLOOKUP(A426,FX!A:M,13,0))))-1</f>
        <v>1.2856084424399672E-3</v>
      </c>
      <c r="I426" s="93">
        <f t="shared" si="272"/>
        <v>1.4401691037271291E-3</v>
      </c>
      <c r="J426">
        <v>1894.8019999999999</v>
      </c>
      <c r="K426">
        <v>1880.296</v>
      </c>
      <c r="L426" s="93">
        <f t="shared" ref="L426" si="588">+K426/J426-1</f>
        <v>-7.6556811740751129E-3</v>
      </c>
      <c r="M426" s="92">
        <f t="shared" ref="M426" si="589">WEEKDAY(A426,2)</f>
        <v>2</v>
      </c>
      <c r="N426" s="50"/>
    </row>
    <row r="427" spans="1:14" x14ac:dyDescent="0.15">
      <c r="A427" s="90">
        <v>42998</v>
      </c>
      <c r="B427">
        <v>34.89</v>
      </c>
      <c r="C427" s="93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3">
        <f>(B427/(D427*(1-VLOOKUP(A427,FX!A:M,13,0))))-1</f>
        <v>6.8866282023389847E-3</v>
      </c>
      <c r="I427" s="93">
        <f t="shared" si="272"/>
        <v>1.6053020834538856E-4</v>
      </c>
      <c r="J427">
        <v>1880.296</v>
      </c>
      <c r="K427">
        <v>1892.6690000000001</v>
      </c>
      <c r="L427" s="93">
        <f t="shared" ref="L427" si="593">+K427/J427-1</f>
        <v>6.5803469241012547E-3</v>
      </c>
      <c r="M427" s="92">
        <f t="shared" ref="M427" si="594">WEEKDAY(A427,2)</f>
        <v>3</v>
      </c>
      <c r="N427" s="50"/>
    </row>
    <row r="428" spans="1:14" x14ac:dyDescent="0.15">
      <c r="A428" s="90">
        <v>42999</v>
      </c>
      <c r="B428">
        <v>34.840000000000003</v>
      </c>
      <c r="C428" s="93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3">
        <f>(B428/(D428*(1-VLOOKUP(A428,FX!A:M,13,0))))-1</f>
        <v>6.4815665618656038E-3</v>
      </c>
      <c r="I428" s="93">
        <f t="shared" si="272"/>
        <v>7.0848593289762896E-3</v>
      </c>
      <c r="J428">
        <v>1892.6690000000001</v>
      </c>
      <c r="K428">
        <v>1872.77</v>
      </c>
      <c r="L428" s="93">
        <f t="shared" ref="L428" si="598">+K428/J428-1</f>
        <v>-1.0513724269801017E-2</v>
      </c>
      <c r="M428" s="92">
        <f t="shared" ref="M428" si="599">WEEKDAY(A428,2)</f>
        <v>4</v>
      </c>
      <c r="N428" s="50"/>
    </row>
    <row r="429" spans="1:14" x14ac:dyDescent="0.15">
      <c r="A429" s="90">
        <v>43000</v>
      </c>
      <c r="B429">
        <v>34.535200000000003</v>
      </c>
      <c r="C429" s="93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3">
        <f>(B429/(D429*(1-VLOOKUP(A429,FX!A:M,13,0))))-1</f>
        <v>3.4171744396753745E-3</v>
      </c>
      <c r="I429" s="93">
        <f t="shared" si="272"/>
        <v>2.0833696036957061E-3</v>
      </c>
      <c r="J429">
        <v>1872.77</v>
      </c>
      <c r="K429">
        <v>1866.425</v>
      </c>
      <c r="L429" s="93">
        <f t="shared" ref="L429" si="603">+K429/J429-1</f>
        <v>-3.3880294964143687E-3</v>
      </c>
      <c r="M429" s="92">
        <f t="shared" ref="M429" si="604">WEEKDAY(A429,2)</f>
        <v>5</v>
      </c>
      <c r="N429" s="50" t="s">
        <v>451</v>
      </c>
    </row>
    <row r="430" spans="1:14" x14ac:dyDescent="0.15">
      <c r="A430" s="90">
        <v>43003</v>
      </c>
      <c r="B430">
        <v>33.840000000000003</v>
      </c>
      <c r="C430" s="93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3">
        <f>(B430/(D430*(1-VLOOKUP(A430,FX!A:M,13,0))))-1</f>
        <v>-8.4729907076674937E-4</v>
      </c>
      <c r="I430" s="93">
        <f t="shared" si="272"/>
        <v>1.2841528437772531E-3</v>
      </c>
      <c r="J430">
        <v>1866.425</v>
      </c>
      <c r="K430">
        <v>1843.6210000000001</v>
      </c>
      <c r="L430" s="93">
        <f t="shared" ref="L430" si="608">+K430/J430-1</f>
        <v>-1.2218010367413545E-2</v>
      </c>
      <c r="M430" s="92">
        <f t="shared" ref="M430" si="609">WEEKDAY(A430,2)</f>
        <v>1</v>
      </c>
      <c r="N430" s="50"/>
    </row>
    <row r="431" spans="1:14" x14ac:dyDescent="0.15">
      <c r="A431" s="90">
        <v>43004</v>
      </c>
      <c r="B431">
        <v>33.92</v>
      </c>
      <c r="C431" s="93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3">
        <f>(B431/(D431*(1-VLOOKUP(A431,FX!A:M,13,0))))-1</f>
        <v>8.2702202591815599E-3</v>
      </c>
      <c r="I431" s="93">
        <f t="shared" si="272"/>
        <v>5.9848983634951392E-3</v>
      </c>
      <c r="J431">
        <v>1843.6210000000001</v>
      </c>
      <c r="K431">
        <v>1839.4549999999999</v>
      </c>
      <c r="L431" s="93">
        <f t="shared" ref="L431" si="613">+K431/J431-1</f>
        <v>-2.259683524976186E-3</v>
      </c>
      <c r="M431" s="92">
        <f t="shared" ref="M431" si="614">WEEKDAY(A431,2)</f>
        <v>2</v>
      </c>
      <c r="N431" s="50"/>
    </row>
    <row r="432" spans="1:14" x14ac:dyDescent="0.15">
      <c r="A432" s="90">
        <v>43005</v>
      </c>
      <c r="B432">
        <v>34.15</v>
      </c>
      <c r="C432" s="93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3">
        <f>(B432/(D432*(1-VLOOKUP(A432,FX!A:M,13,0))))-1</f>
        <v>6.0199346750318128E-3</v>
      </c>
      <c r="I432" s="93">
        <f t="shared" si="272"/>
        <v>2.418720426446308E-3</v>
      </c>
      <c r="J432">
        <v>1839.4549999999999</v>
      </c>
      <c r="K432">
        <v>1854.943</v>
      </c>
      <c r="L432" s="93">
        <f t="shared" ref="L432" si="618">+K432/J432-1</f>
        <v>8.4198852377470601E-3</v>
      </c>
      <c r="M432" s="92">
        <f t="shared" ref="M432" si="619">WEEKDAY(A432,2)</f>
        <v>3</v>
      </c>
      <c r="N432" s="50"/>
    </row>
    <row r="433" spans="1:14" x14ac:dyDescent="0.15">
      <c r="A433" s="90">
        <v>43006</v>
      </c>
      <c r="B433">
        <v>34.14</v>
      </c>
      <c r="C433" s="93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3">
        <f>(B433/(D433*(1-VLOOKUP(A433,FX!A:M,13,0))))-1</f>
        <v>4.4458257708612781E-3</v>
      </c>
      <c r="I433" s="93">
        <f t="shared" si="272"/>
        <v>3.604037933528037E-3</v>
      </c>
      <c r="J433">
        <v>1854.943</v>
      </c>
      <c r="K433">
        <v>1854.7339999999999</v>
      </c>
      <c r="L433" s="93">
        <f t="shared" ref="L433" si="623">+K433/J433-1</f>
        <v>-1.1267192576813745E-4</v>
      </c>
      <c r="M433" s="92">
        <f t="shared" ref="M433" si="624">WEEKDAY(A433,2)</f>
        <v>4</v>
      </c>
      <c r="N433" s="50"/>
    </row>
    <row r="434" spans="1:14" x14ac:dyDescent="0.15">
      <c r="A434" s="90">
        <v>43007</v>
      </c>
      <c r="B434">
        <v>34.325000000000003</v>
      </c>
      <c r="C434" s="93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3">
        <f>(B434/(D434*(1-VLOOKUP(A434,FX!A:M,13,0))))-1</f>
        <v>2.1479094762453244E-3</v>
      </c>
      <c r="I434" s="93">
        <f t="shared" si="272"/>
        <v>2.7196854396045467E-3</v>
      </c>
      <c r="J434">
        <v>1854.7339999999999</v>
      </c>
      <c r="K434">
        <v>1866.982</v>
      </c>
      <c r="L434" s="93">
        <f t="shared" ref="L434" si="628">+K434/J434-1</f>
        <v>6.6036423551840695E-3</v>
      </c>
      <c r="M434" s="92">
        <f t="shared" ref="M434" si="629">WEEKDAY(A434,2)</f>
        <v>5</v>
      </c>
      <c r="N434" s="50"/>
    </row>
    <row r="435" spans="1:14" x14ac:dyDescent="0.15">
      <c r="A435" s="90">
        <v>43010</v>
      </c>
      <c r="B435">
        <v>34.469900000000003</v>
      </c>
      <c r="C435" s="93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3">
        <f>(B435/(D435*(1-VLOOKUP(A435,FX!A:M,13,0))))-1</f>
        <v>1.0056498266327596E-2</v>
      </c>
      <c r="I435" s="93">
        <f t="shared" si="272"/>
        <v>9.3645406602029801E-3</v>
      </c>
      <c r="J435">
        <v>1866.982</v>
      </c>
      <c r="K435">
        <v>1866.982</v>
      </c>
      <c r="L435" s="93">
        <f t="shared" ref="L435" si="633">+K435/J435-1</f>
        <v>0</v>
      </c>
      <c r="M435" s="92">
        <f t="shared" ref="M435" si="634">WEEKDAY(A435,2)</f>
        <v>1</v>
      </c>
      <c r="N435" s="50"/>
    </row>
    <row r="436" spans="1:14" x14ac:dyDescent="0.15">
      <c r="A436" s="90">
        <v>43011</v>
      </c>
      <c r="B436">
        <v>35.07</v>
      </c>
      <c r="C436" s="93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3">
        <f>(B436/(D436*(1-VLOOKUP(A436,FX!A:M,13,0))))-1</f>
        <v>2.5771120451136609E-2</v>
      </c>
      <c r="I436" s="93">
        <f t="shared" si="272"/>
        <v>2.2332737677057235E-2</v>
      </c>
      <c r="J436">
        <v>1866.982</v>
      </c>
      <c r="K436">
        <v>1866.982</v>
      </c>
      <c r="L436" s="93">
        <f t="shared" ref="L436" si="638">+K436/J436-1</f>
        <v>0</v>
      </c>
      <c r="M436" s="92">
        <f t="shared" ref="M436" si="639">WEEKDAY(A436,2)</f>
        <v>2</v>
      </c>
      <c r="N436" s="50"/>
    </row>
    <row r="437" spans="1:14" x14ac:dyDescent="0.15">
      <c r="A437" s="90">
        <v>43012</v>
      </c>
      <c r="B437">
        <v>35.305</v>
      </c>
      <c r="C437" s="93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3">
        <f>(B437/(D437*(1-VLOOKUP(A437,FX!A:M,13,0))))-1</f>
        <v>2.6532473822897584E-2</v>
      </c>
      <c r="I437" s="93">
        <f t="shared" si="272"/>
        <v>2.5574734346949679E-2</v>
      </c>
      <c r="J437">
        <v>1866.982</v>
      </c>
      <c r="K437">
        <v>1866.982</v>
      </c>
      <c r="L437" s="93">
        <f t="shared" ref="L437" si="643">+K437/J437-1</f>
        <v>0</v>
      </c>
      <c r="M437" s="92">
        <f t="shared" ref="M437" si="644">WEEKDAY(A437,2)</f>
        <v>3</v>
      </c>
      <c r="N437" s="50"/>
    </row>
    <row r="438" spans="1:14" ht="27" x14ac:dyDescent="0.15">
      <c r="A438" s="90">
        <v>43013</v>
      </c>
      <c r="B438">
        <v>35.394799999999996</v>
      </c>
      <c r="C438" s="93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3">
        <f>(B438/(D438*(1-VLOOKUP(A438,FX!A:M,13,0))))-1</f>
        <v>2.9026540363053854E-2</v>
      </c>
      <c r="I438" s="93">
        <f t="shared" si="272"/>
        <v>2.6513459742579792E-2</v>
      </c>
      <c r="J438">
        <v>1866.982</v>
      </c>
      <c r="K438">
        <v>1866.982</v>
      </c>
      <c r="L438" s="93">
        <f t="shared" ref="L438" si="648">+K438/J438-1</f>
        <v>0</v>
      </c>
      <c r="M438" s="92">
        <f t="shared" ref="M438" si="649">WEEKDAY(A438,2)</f>
        <v>4</v>
      </c>
      <c r="N438" s="50" t="s">
        <v>468</v>
      </c>
    </row>
    <row r="439" spans="1:14" ht="27" x14ac:dyDescent="0.15">
      <c r="A439" s="90">
        <v>43014</v>
      </c>
      <c r="B439">
        <v>35.331000000000003</v>
      </c>
      <c r="C439" s="93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3">
        <f>(B439/(D439*(1-VLOOKUP(A439,FX!A:M,13,0))))-1</f>
        <v>2.4292076866802459E-2</v>
      </c>
      <c r="I439" s="93">
        <f t="shared" si="272"/>
        <v>2.6109433085501843E-2</v>
      </c>
      <c r="J439">
        <v>1866.982</v>
      </c>
      <c r="K439">
        <v>1866.982</v>
      </c>
      <c r="L439" s="93">
        <f t="shared" ref="L439" si="653">+K439/J439-1</f>
        <v>0</v>
      </c>
      <c r="M439" s="92">
        <f t="shared" ref="M439" si="654">WEEKDAY(A439,2)</f>
        <v>5</v>
      </c>
      <c r="N439" s="50" t="s">
        <v>472</v>
      </c>
    </row>
    <row r="440" spans="1:14" ht="40.5" x14ac:dyDescent="0.15">
      <c r="A440" s="90">
        <v>43017</v>
      </c>
      <c r="B440">
        <v>35.020000000000003</v>
      </c>
      <c r="C440" s="93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3">
        <f>(B440/(D440*(1-VLOOKUP(A440,FX!A:M,13,0))))-1</f>
        <v>-6.1412182300280005E-4</v>
      </c>
      <c r="I440" s="93">
        <f t="shared" si="272"/>
        <v>6.2553336992094977E-3</v>
      </c>
      <c r="J440">
        <v>1866.982</v>
      </c>
      <c r="K440">
        <v>1889.838</v>
      </c>
      <c r="L440" s="93">
        <f t="shared" ref="L440" si="658">+K440/J440-1</f>
        <v>1.2242217653946286E-2</v>
      </c>
      <c r="M440" s="92">
        <f t="shared" ref="M440" si="659">WEEKDAY(A440,2)</f>
        <v>1</v>
      </c>
      <c r="N440" s="50" t="s">
        <v>477</v>
      </c>
    </row>
    <row r="441" spans="1:14" x14ac:dyDescent="0.15">
      <c r="A441" s="90">
        <v>43018</v>
      </c>
      <c r="B441">
        <v>35.549999999999997</v>
      </c>
      <c r="C441" s="93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3">
        <f>(B441/(D441*(1-VLOOKUP(A441,FX!A:M,13,0))))-1</f>
        <v>-6.5162618440628428E-4</v>
      </c>
      <c r="I441" s="93">
        <f t="shared" si="272"/>
        <v>4.0529281346644019E-3</v>
      </c>
      <c r="J441">
        <v>1889.838</v>
      </c>
      <c r="K441">
        <v>1917.4580000000001</v>
      </c>
      <c r="L441" s="93">
        <f t="shared" ref="L441" si="663">+K441/J441-1</f>
        <v>1.4615009328841966E-2</v>
      </c>
      <c r="M441" s="92">
        <f t="shared" ref="M441" si="664">WEEKDAY(A441,2)</f>
        <v>2</v>
      </c>
      <c r="N441" s="50"/>
    </row>
    <row r="442" spans="1:14" x14ac:dyDescent="0.15">
      <c r="A442" s="90">
        <v>43019</v>
      </c>
      <c r="B442">
        <v>35.53</v>
      </c>
      <c r="C442" s="93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3">
        <f>(B442/(D442*(1-VLOOKUP(A442,FX!A:M,13,0))))-1</f>
        <v>1.3005719595583054E-2</v>
      </c>
      <c r="I442" s="93">
        <f t="shared" si="272"/>
        <v>2.2764906500269966E-3</v>
      </c>
      <c r="J442">
        <v>1917.4580000000001</v>
      </c>
      <c r="K442">
        <v>1901.5509999999999</v>
      </c>
      <c r="L442" s="93">
        <f t="shared" ref="L442" si="668">+K442/J442-1</f>
        <v>-8.295879231774661E-3</v>
      </c>
      <c r="M442" s="92">
        <f t="shared" ref="M442" si="669">WEEKDAY(A442,2)</f>
        <v>3</v>
      </c>
      <c r="N442" s="50" t="s">
        <v>484</v>
      </c>
    </row>
    <row r="443" spans="1:14" x14ac:dyDescent="0.15">
      <c r="A443" s="90">
        <v>43020</v>
      </c>
      <c r="B443">
        <v>35.49</v>
      </c>
      <c r="C443" s="93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3">
        <f>(B443/(D443*(1-VLOOKUP(A443,FX!A:M,13,0))))-1</f>
        <v>2.653526233468817E-3</v>
      </c>
      <c r="I443" s="93">
        <f t="shared" si="272"/>
        <v>3.2735722645318432E-3</v>
      </c>
      <c r="J443">
        <v>1901.5509999999999</v>
      </c>
      <c r="K443">
        <v>1899.9860000000001</v>
      </c>
      <c r="L443" s="93">
        <f t="shared" ref="L443" si="673">+K443/J443-1</f>
        <v>-8.23012372531573E-4</v>
      </c>
      <c r="M443" s="92">
        <f t="shared" ref="M443" si="674">WEEKDAY(A443,2)</f>
        <v>4</v>
      </c>
      <c r="N443" s="50"/>
    </row>
    <row r="444" spans="1:14" x14ac:dyDescent="0.15">
      <c r="A444" s="90">
        <v>43021</v>
      </c>
      <c r="B444">
        <v>36.084499999999998</v>
      </c>
      <c r="C444" s="93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3">
        <f>(B444/(D444*(1-VLOOKUP(A444,FX!A:M,13,0))))-1</f>
        <v>4.6434147906555534E-3</v>
      </c>
      <c r="I444" s="93">
        <f t="shared" si="272"/>
        <v>5.4725661152303928E-3</v>
      </c>
      <c r="J444">
        <v>1899.9860000000001</v>
      </c>
      <c r="K444">
        <v>1926.07</v>
      </c>
      <c r="L444" s="93">
        <f t="shared" ref="L444" si="678">+K444/J444-1</f>
        <v>1.3728522210163518E-2</v>
      </c>
      <c r="M444" s="92">
        <f t="shared" ref="M444" si="679">WEEKDAY(A444,2)</f>
        <v>5</v>
      </c>
      <c r="N444" s="50"/>
    </row>
    <row r="445" spans="1:14" x14ac:dyDescent="0.15">
      <c r="A445" s="90">
        <v>43024</v>
      </c>
      <c r="B445">
        <v>35.47</v>
      </c>
      <c r="C445" s="93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3">
        <f>(B445/(D445*(1-VLOOKUP(A445,FX!A:M,13,0))))-1</f>
        <v>1.3494299518266306E-2</v>
      </c>
      <c r="I445" s="93">
        <f t="shared" si="272"/>
        <v>-9.5846465238746958E-5</v>
      </c>
      <c r="J445">
        <v>1926.07</v>
      </c>
      <c r="K445">
        <v>1882.69</v>
      </c>
      <c r="L445" s="93">
        <f t="shared" ref="L445" si="683">+K445/J445-1</f>
        <v>-2.2522545909546277E-2</v>
      </c>
      <c r="M445" s="92">
        <f t="shared" ref="M445" si="684">WEEKDAY(A445,2)</f>
        <v>1</v>
      </c>
      <c r="N445" s="50"/>
    </row>
    <row r="446" spans="1:14" x14ac:dyDescent="0.15">
      <c r="A446" s="90">
        <v>43025</v>
      </c>
      <c r="B446">
        <v>35.283999999999999</v>
      </c>
      <c r="C446" s="93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3">
        <f>(B446/(D446*(1-VLOOKUP(A446,FX!A:M,13,0))))-1</f>
        <v>1.2202709333977158E-3</v>
      </c>
      <c r="I446" s="93">
        <f t="shared" si="272"/>
        <v>2.6940083889375188E-3</v>
      </c>
      <c r="J446">
        <v>1882.69</v>
      </c>
      <c r="K446">
        <v>1876.99</v>
      </c>
      <c r="L446" s="93">
        <f t="shared" ref="L446" si="688">+K446/J446-1</f>
        <v>-3.0275828734417365E-3</v>
      </c>
      <c r="M446" s="92">
        <f t="shared" ref="M446" si="689">WEEKDAY(A446,2)</f>
        <v>2</v>
      </c>
      <c r="N446" s="50"/>
    </row>
    <row r="447" spans="1:14" x14ac:dyDescent="0.15">
      <c r="A447" s="90">
        <v>43026</v>
      </c>
      <c r="B447">
        <v>35.36</v>
      </c>
      <c r="C447" s="93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3">
        <f>(B447/(D447*(1-VLOOKUP(A447,FX!A:M,13,0))))-1</f>
        <v>1.1716708402305098E-2</v>
      </c>
      <c r="I447" s="93">
        <f t="shared" si="272"/>
        <v>3.0949564408284669E-3</v>
      </c>
      <c r="J447">
        <v>1876.99</v>
      </c>
      <c r="K447">
        <v>1868.16</v>
      </c>
      <c r="L447" s="93">
        <f t="shared" ref="L447" si="693">+K447/J447-1</f>
        <v>-4.704340459991796E-3</v>
      </c>
      <c r="M447" s="92">
        <f t="shared" ref="M447" si="694">WEEKDAY(A447,2)</f>
        <v>3</v>
      </c>
      <c r="N447" s="50"/>
    </row>
    <row r="448" spans="1:14" x14ac:dyDescent="0.15">
      <c r="A448" s="90">
        <v>43027</v>
      </c>
      <c r="B448">
        <v>35.06</v>
      </c>
      <c r="C448" s="93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3">
        <f>(B448/(D448*(1-VLOOKUP(A448,FX!A:M,13,0))))-1</f>
        <v>-4.6306358913618118E-3</v>
      </c>
      <c r="I448" s="93">
        <f t="shared" si="272"/>
        <v>-2.3305512792420879E-3</v>
      </c>
      <c r="J448">
        <v>1868.16</v>
      </c>
      <c r="K448">
        <v>1862.61</v>
      </c>
      <c r="L448" s="93">
        <f t="shared" ref="L448" si="698">+K448/J448-1</f>
        <v>-2.9708376156218907E-3</v>
      </c>
      <c r="M448" s="92">
        <f t="shared" ref="M448" si="699">WEEKDAY(A448,2)</f>
        <v>4</v>
      </c>
      <c r="N448" s="50"/>
    </row>
    <row r="449" spans="1:14" ht="54" x14ac:dyDescent="0.15">
      <c r="A449" s="90">
        <v>43028</v>
      </c>
      <c r="B449">
        <v>35.46</v>
      </c>
      <c r="C449" s="93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3">
        <f>(B449/(D449*(1-VLOOKUP(A449,FX!A:M,13,0))))-1</f>
        <v>2.307456782954409E-3</v>
      </c>
      <c r="I449" s="93">
        <f t="shared" si="272"/>
        <v>3.0776890176289484E-3</v>
      </c>
      <c r="J449">
        <v>1862.61</v>
      </c>
      <c r="K449">
        <v>1880.21</v>
      </c>
      <c r="L449" s="93">
        <f t="shared" ref="L449" si="703">+K449/J449-1</f>
        <v>9.4491063615036452E-3</v>
      </c>
      <c r="M449" s="92">
        <f t="shared" ref="M449" si="704">WEEKDAY(A449,2)</f>
        <v>5</v>
      </c>
      <c r="N449" s="50" t="s">
        <v>516</v>
      </c>
    </row>
    <row r="450" spans="1:14" x14ac:dyDescent="0.15">
      <c r="A450" s="90">
        <v>43031</v>
      </c>
      <c r="B450">
        <v>35.44</v>
      </c>
      <c r="C450" s="93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3">
        <f>(B450/(D450*(1-VLOOKUP(A450,FX!A:M,13,0))))-1</f>
        <v>-5.1884189883248943E-3</v>
      </c>
      <c r="I450" s="93">
        <f t="shared" si="272"/>
        <v>8.3873901096565007E-4</v>
      </c>
      <c r="J450">
        <v>1880.21</v>
      </c>
      <c r="K450">
        <v>1898.76</v>
      </c>
      <c r="L450" s="93">
        <f t="shared" ref="L450" si="708">+K450/J450-1</f>
        <v>9.8659192324261902E-3</v>
      </c>
      <c r="M450" s="92">
        <f t="shared" ref="M450" si="709">WEEKDAY(A450,2)</f>
        <v>1</v>
      </c>
    </row>
    <row r="451" spans="1:14" x14ac:dyDescent="0.15">
      <c r="A451" s="90">
        <v>43032</v>
      </c>
      <c r="B451">
        <v>35.82</v>
      </c>
      <c r="C451" s="93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3">
        <f>(B451/(D451*(1-VLOOKUP(A451,FX!A:M,13,0))))-1</f>
        <v>1.0789385046042987E-2</v>
      </c>
      <c r="I451" s="93">
        <f t="shared" si="272"/>
        <v>6.7849774864665591E-3</v>
      </c>
      <c r="J451">
        <v>1898.76</v>
      </c>
      <c r="K451">
        <v>1901.69</v>
      </c>
      <c r="L451" s="93">
        <f t="shared" ref="L451" si="713">+K451/J451-1</f>
        <v>1.5431123470055486E-3</v>
      </c>
      <c r="M451" s="92">
        <f t="shared" ref="M451" si="714">WEEKDAY(A451,2)</f>
        <v>2</v>
      </c>
    </row>
    <row r="452" spans="1:14" x14ac:dyDescent="0.15">
      <c r="A452" s="90">
        <v>43033</v>
      </c>
      <c r="B452">
        <v>35.79</v>
      </c>
      <c r="C452" s="93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3">
        <f>(B452/(D452*(1-VLOOKUP(A452,FX!A:M,13,0))))-1</f>
        <v>-9.148025134451121E-4</v>
      </c>
      <c r="I452" s="93">
        <f t="shared" si="272"/>
        <v>2.2234294579199787E-3</v>
      </c>
      <c r="J452">
        <v>1901.69</v>
      </c>
      <c r="K452">
        <v>1913.26</v>
      </c>
      <c r="L452" s="93">
        <f t="shared" ref="L452" si="718">+K452/J452-1</f>
        <v>6.084062071105123E-3</v>
      </c>
      <c r="M452" s="92">
        <f t="shared" ref="M452" si="719">WEEKDAY(A452,2)</f>
        <v>3</v>
      </c>
    </row>
    <row r="453" spans="1:14" x14ac:dyDescent="0.15">
      <c r="A453" s="90">
        <v>43034</v>
      </c>
      <c r="B453">
        <v>35.79</v>
      </c>
      <c r="C453" s="93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3">
        <f>(B453/(D453*(1-VLOOKUP(A453,FX!A:M,13,0))))-1</f>
        <v>5.999724622912872E-3</v>
      </c>
      <c r="I453" s="93">
        <f t="shared" si="272"/>
        <v>3.3979276005922099E-3</v>
      </c>
      <c r="J453">
        <v>1913.26</v>
      </c>
      <c r="K453">
        <v>1910.72</v>
      </c>
      <c r="L453" s="93">
        <f t="shared" ref="L453" si="723">+K453/J453-1</f>
        <v>-1.3275770151468524E-3</v>
      </c>
      <c r="M453" s="92">
        <f t="shared" ref="M453" si="724">WEEKDAY(A453,2)</f>
        <v>4</v>
      </c>
    </row>
    <row r="454" spans="1:14" x14ac:dyDescent="0.15">
      <c r="A454" s="90">
        <v>43035</v>
      </c>
      <c r="B454">
        <v>35.65</v>
      </c>
      <c r="C454" s="93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3">
        <f>(B454/(D454*(1-VLOOKUP(A454,FX!A:M,13,0))))-1</f>
        <v>6.1512196992894452E-3</v>
      </c>
      <c r="I454" s="93">
        <f t="shared" si="272"/>
        <v>2.9201433627223938E-3</v>
      </c>
      <c r="J454">
        <v>1910.72</v>
      </c>
      <c r="K454">
        <v>1896.22</v>
      </c>
      <c r="L454" s="93">
        <f t="shared" ref="L454" si="728">+K454/J454-1</f>
        <v>-7.5887623513649638E-3</v>
      </c>
      <c r="M454" s="92">
        <f t="shared" ref="M454" si="729">WEEKDAY(A454,2)</f>
        <v>5</v>
      </c>
    </row>
    <row r="455" spans="1:14" x14ac:dyDescent="0.15">
      <c r="A455" s="90">
        <v>43038</v>
      </c>
      <c r="B455">
        <v>35.049999999999997</v>
      </c>
      <c r="C455" s="93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3">
        <f>(B455/(D455*(1-VLOOKUP(A455,FX!A:M,13,0))))-1</f>
        <v>5.8654582546691092E-3</v>
      </c>
      <c r="I455" s="93">
        <f t="shared" si="272"/>
        <v>-1.6008568287084746E-3</v>
      </c>
      <c r="J455">
        <v>1896.22</v>
      </c>
      <c r="K455">
        <v>1855.99</v>
      </c>
      <c r="L455" s="93">
        <f t="shared" ref="L455" si="733">+K455/J455-1</f>
        <v>-2.1215892670681691E-2</v>
      </c>
      <c r="M455" s="92">
        <f t="shared" ref="M455" si="734">WEEKDAY(A455,2)</f>
        <v>1</v>
      </c>
    </row>
    <row r="456" spans="1:14" x14ac:dyDescent="0.15">
      <c r="A456" s="90">
        <v>43039</v>
      </c>
      <c r="B456">
        <v>35.54</v>
      </c>
      <c r="C456" s="93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3">
        <f>(B456/(D456*(1-VLOOKUP(A456,FX!A:M,13,0))))-1</f>
        <v>4.1782740729425782E-3</v>
      </c>
      <c r="I456" s="93">
        <f t="shared" si="272"/>
        <v>-1.127034494000978E-3</v>
      </c>
      <c r="J456">
        <v>1855.99</v>
      </c>
      <c r="K456">
        <v>1869.79</v>
      </c>
      <c r="L456" s="93">
        <f t="shared" ref="L456" si="738">+K456/J456-1</f>
        <v>7.4353848889272545E-3</v>
      </c>
      <c r="M456" s="92">
        <f t="shared" ref="M456" si="739">WEEKDAY(A456,2)</f>
        <v>2</v>
      </c>
    </row>
    <row r="457" spans="1:14" x14ac:dyDescent="0.15">
      <c r="A457" s="90">
        <v>43040</v>
      </c>
      <c r="B457">
        <v>35.64</v>
      </c>
      <c r="C457" s="93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3">
        <f>(B457/(D457*(1-VLOOKUP(A457,FX!A:M,13,0))))-1</f>
        <v>-3.4460081624012595E-3</v>
      </c>
      <c r="I457" s="93">
        <f t="shared" si="272"/>
        <v>1.1742166738768489E-3</v>
      </c>
      <c r="J457">
        <v>1869.79</v>
      </c>
      <c r="K457">
        <v>1872.75</v>
      </c>
      <c r="L457" s="93">
        <f t="shared" ref="L457" si="743">+K457/J457-1</f>
        <v>1.5830654779414033E-3</v>
      </c>
      <c r="M457" s="92">
        <f t="shared" ref="M457" si="744">WEEKDAY(A457,2)</f>
        <v>3</v>
      </c>
    </row>
    <row r="458" spans="1:14" x14ac:dyDescent="0.15">
      <c r="A458" s="90">
        <v>43041</v>
      </c>
      <c r="B458">
        <v>35.42</v>
      </c>
      <c r="C458" s="93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3">
        <f>(B458/(D458*(1-VLOOKUP(A458,FX!A:M,13,0))))-1</f>
        <v>8.2647070780732523E-3</v>
      </c>
      <c r="I458" s="93">
        <f t="shared" si="272"/>
        <v>-1.3702260591058613E-3</v>
      </c>
      <c r="J458">
        <v>1872.75</v>
      </c>
      <c r="K458">
        <v>1847.57</v>
      </c>
      <c r="L458" s="93">
        <f t="shared" ref="L458" si="748">+K458/J458-1</f>
        <v>-1.3445467894807162E-2</v>
      </c>
      <c r="M458" s="92">
        <f t="shared" ref="M458" si="749">WEEKDAY(A458,2)</f>
        <v>4</v>
      </c>
    </row>
    <row r="459" spans="1:14" x14ac:dyDescent="0.15">
      <c r="A459" s="90">
        <v>43042</v>
      </c>
      <c r="B459">
        <v>35.08</v>
      </c>
      <c r="C459" s="93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3">
        <f>(B459/(D459*(1-VLOOKUP(A459,FX!A:M,13,0))))-1</f>
        <v>1.4640795321325673E-3</v>
      </c>
      <c r="I459" s="93">
        <f t="shared" si="272"/>
        <v>-3.1088907455085746E-3</v>
      </c>
      <c r="J459">
        <v>1847.57</v>
      </c>
      <c r="K459">
        <v>1832.97</v>
      </c>
      <c r="L459" s="93">
        <f t="shared" ref="L459" si="753">+K459/J459-1</f>
        <v>-7.9022716324685938E-3</v>
      </c>
      <c r="M459" s="92">
        <f t="shared" ref="M459" si="754">WEEKDAY(A459,2)</f>
        <v>5</v>
      </c>
    </row>
    <row r="460" spans="1:14" x14ac:dyDescent="0.15">
      <c r="A460" s="90">
        <v>43045</v>
      </c>
      <c r="B460">
        <v>35.586199999999998</v>
      </c>
      <c r="C460" s="93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3">
        <f>(B460/(D460*(1-VLOOKUP(A460,FX!A:M,13,0))))-1</f>
        <v>-1.6114413930035099E-4</v>
      </c>
      <c r="I460" s="93">
        <f t="shared" si="272"/>
        <v>-3.6798476374544364E-4</v>
      </c>
      <c r="J460">
        <v>1832.97</v>
      </c>
      <c r="K460">
        <v>1850.3</v>
      </c>
      <c r="L460" s="93">
        <f t="shared" ref="L460" si="758">+K460/J460-1</f>
        <v>9.4546010027440897E-3</v>
      </c>
      <c r="M460" s="92">
        <f t="shared" ref="M460" si="759">WEEKDAY(A460,2)</f>
        <v>1</v>
      </c>
      <c r="N460" t="s">
        <v>560</v>
      </c>
    </row>
    <row r="461" spans="1:14" x14ac:dyDescent="0.15">
      <c r="A461" s="90">
        <v>43046</v>
      </c>
      <c r="B461">
        <v>35.731999999999999</v>
      </c>
      <c r="C461" s="93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3">
        <f>(B461/(D461*(1-VLOOKUP(A461,FX!A:M,13,0))))-1</f>
        <v>1.8221268748723762E-3</v>
      </c>
      <c r="I461" s="93">
        <f t="shared" si="272"/>
        <v>-3.052336125263011E-3</v>
      </c>
      <c r="J461">
        <v>1850.3</v>
      </c>
      <c r="K461">
        <v>1859.07</v>
      </c>
      <c r="L461" s="93">
        <f t="shared" ref="L461" si="763">+K461/J461-1</f>
        <v>4.739771928876424E-3</v>
      </c>
      <c r="M461" s="92">
        <f t="shared" ref="M461" si="764">WEEKDAY(A461,2)</f>
        <v>2</v>
      </c>
    </row>
    <row r="462" spans="1:14" x14ac:dyDescent="0.15">
      <c r="A462" s="90">
        <v>43047</v>
      </c>
      <c r="B462">
        <v>35.645600000000002</v>
      </c>
      <c r="C462" s="93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3">
        <f>(B462/(D462*(1-VLOOKUP(A462,FX!A:M,13,0))))-1</f>
        <v>-1.0850037613475028E-2</v>
      </c>
      <c r="I462" s="93">
        <f t="shared" si="272"/>
        <v>-5.0298946569231617E-3</v>
      </c>
      <c r="J462">
        <v>1859.07</v>
      </c>
      <c r="K462">
        <v>1866.14</v>
      </c>
      <c r="L462" s="93">
        <f t="shared" ref="L462" si="768">+K462/J462-1</f>
        <v>3.802976757195875E-3</v>
      </c>
      <c r="M462" s="92">
        <f t="shared" ref="M462" si="769">WEEKDAY(A462,2)</f>
        <v>3</v>
      </c>
    </row>
    <row r="463" spans="1:14" x14ac:dyDescent="0.15">
      <c r="A463" s="90">
        <v>43048</v>
      </c>
      <c r="B463">
        <v>35.94</v>
      </c>
      <c r="C463" s="93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3">
        <f>(B463/(D463*(1-VLOOKUP(A463,FX!A:M,13,0))))-1</f>
        <v>-3.8458778946165451E-3</v>
      </c>
      <c r="I463" s="93">
        <f t="shared" si="272"/>
        <v>-5.4734931290781885E-3</v>
      </c>
      <c r="J463">
        <v>1866.14</v>
      </c>
      <c r="K463">
        <v>1884.11</v>
      </c>
      <c r="L463" s="93">
        <f t="shared" ref="L463" si="773">+K463/J463-1</f>
        <v>9.6295026096646641E-3</v>
      </c>
      <c r="M463" s="92">
        <f t="shared" ref="M463" si="774">WEEKDAY(A463,2)</f>
        <v>4</v>
      </c>
    </row>
    <row r="464" spans="1:14" x14ac:dyDescent="0.15">
      <c r="A464" s="90">
        <v>43049</v>
      </c>
      <c r="B464">
        <v>36.42</v>
      </c>
      <c r="C464" s="93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3">
        <f>(B464/(D464*(1-VLOOKUP(A464,FX!A:M,13,0))))-1</f>
        <v>8.3145908729487239E-4</v>
      </c>
      <c r="I464" s="93">
        <f t="shared" si="272"/>
        <v>-2.2956514116337923E-3</v>
      </c>
      <c r="J464">
        <v>1884.11</v>
      </c>
      <c r="K464">
        <v>1900.63</v>
      </c>
      <c r="L464" s="93">
        <f t="shared" ref="L464" si="778">+K464/J464-1</f>
        <v>8.7680655588051604E-3</v>
      </c>
      <c r="M464" s="92">
        <f t="shared" ref="M464" si="779">WEEKDAY(A464,2)</f>
        <v>5</v>
      </c>
    </row>
    <row r="465" spans="1:14" x14ac:dyDescent="0.15">
      <c r="A465" s="90">
        <v>43052</v>
      </c>
      <c r="B465">
        <v>36.61</v>
      </c>
      <c r="C465" s="93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3">
        <f>(B465/(D465*(1-VLOOKUP(A465,FX!A:M,13,0))))-1</f>
        <v>-9.4018887081193103E-4</v>
      </c>
      <c r="I465" s="93">
        <f t="shared" si="272"/>
        <v>-5.5602789103266215E-3</v>
      </c>
      <c r="J465">
        <v>1900.63</v>
      </c>
      <c r="K465">
        <v>1906.44</v>
      </c>
      <c r="L465" s="93">
        <f t="shared" ref="L465" si="783">+K465/J465-1</f>
        <v>3.0568811394116047E-3</v>
      </c>
      <c r="M465" s="92">
        <f t="shared" ref="M465" si="784">WEEKDAY(A465,2)</f>
        <v>1</v>
      </c>
    </row>
    <row r="466" spans="1:14" x14ac:dyDescent="0.15">
      <c r="A466" s="90">
        <v>43053</v>
      </c>
      <c r="B466">
        <v>36.279200000000003</v>
      </c>
      <c r="C466" s="93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3">
        <f>(B466/(D466*(1-VLOOKUP(A466,FX!A:M,13,0))))-1</f>
        <v>-1.223634900069015E-2</v>
      </c>
      <c r="I466" s="93">
        <f t="shared" si="272"/>
        <v>-5.9894021009484488E-3</v>
      </c>
      <c r="J466">
        <v>1906.44</v>
      </c>
      <c r="K466">
        <v>1896.72</v>
      </c>
      <c r="L466" s="93">
        <f t="shared" ref="L466" si="788">+K466/J466-1</f>
        <v>-5.0985082142632754E-3</v>
      </c>
      <c r="M466" s="92">
        <f t="shared" ref="M466" si="789">WEEKDAY(A466,2)</f>
        <v>2</v>
      </c>
    </row>
    <row r="467" spans="1:14" x14ac:dyDescent="0.15">
      <c r="A467" s="90">
        <v>43054</v>
      </c>
      <c r="B467">
        <v>35.555</v>
      </c>
      <c r="C467" s="93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3">
        <f>(B467/(D467*(1-VLOOKUP(A467,FX!A:M,13,0))))-1</f>
        <v>-1.1412738288855806E-2</v>
      </c>
      <c r="I467" s="93">
        <f t="shared" si="272"/>
        <v>-6.1551018582705064E-3</v>
      </c>
      <c r="J467">
        <v>1896.72</v>
      </c>
      <c r="K467">
        <v>1868.08</v>
      </c>
      <c r="L467" s="93">
        <f t="shared" ref="L467" si="793">+K467/J467-1</f>
        <v>-1.509975114935258E-2</v>
      </c>
      <c r="M467" s="92">
        <f t="shared" ref="M467" si="794">WEEKDAY(A467,2)</f>
        <v>3</v>
      </c>
    </row>
    <row r="468" spans="1:14" x14ac:dyDescent="0.15">
      <c r="A468" s="90">
        <v>43055</v>
      </c>
      <c r="B468">
        <v>36.119999999999997</v>
      </c>
      <c r="C468" s="93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3">
        <f>(B468/(D468*(1-VLOOKUP(A468,FX!A:M,13,0))))-1</f>
        <v>4.114346607506425E-3</v>
      </c>
      <c r="I468" s="93">
        <f t="shared" si="272"/>
        <v>-8.4645897993396169E-4</v>
      </c>
      <c r="J468">
        <v>1868.08</v>
      </c>
      <c r="K468">
        <v>1878.26</v>
      </c>
      <c r="L468" s="93">
        <f t="shared" ref="L468" si="798">+K468/J468-1</f>
        <v>5.4494454198963371E-3</v>
      </c>
      <c r="M468" s="92">
        <f t="shared" ref="M468" si="799">WEEKDAY(A468,2)</f>
        <v>4</v>
      </c>
      <c r="N468" t="s">
        <v>585</v>
      </c>
    </row>
    <row r="469" spans="1:14" x14ac:dyDescent="0.15">
      <c r="A469" s="90">
        <v>43056</v>
      </c>
      <c r="B469">
        <v>35.266800000000003</v>
      </c>
      <c r="C469" s="93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3">
        <f>(B469/(D469*(1-VLOOKUP(A469,FX!A:M,13,0))))-1</f>
        <v>-2.8517296580687912E-4</v>
      </c>
      <c r="I469" s="93">
        <f t="shared" si="272"/>
        <v>-4.2071617752527102E-3</v>
      </c>
      <c r="J469">
        <v>1878.26</v>
      </c>
      <c r="K469">
        <v>1833.9</v>
      </c>
      <c r="L469" s="93">
        <f t="shared" ref="L469" si="803">+K469/J469-1</f>
        <v>-2.3617603526668196E-2</v>
      </c>
      <c r="M469" s="92">
        <f t="shared" ref="M469" si="804">WEEKDAY(A469,2)</f>
        <v>5</v>
      </c>
    </row>
    <row r="470" spans="1:14" x14ac:dyDescent="0.15">
      <c r="A470" s="90">
        <v>43059</v>
      </c>
      <c r="B470">
        <v>35.96</v>
      </c>
      <c r="C470" s="93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3">
        <f>(B470/(D470*(1-VLOOKUP(A470,FX!A:M,13,0))))-1</f>
        <v>2.8002722184712336E-3</v>
      </c>
      <c r="I470" s="93">
        <f t="shared" si="272"/>
        <v>-5.0329396074915156E-3</v>
      </c>
      <c r="J470">
        <v>1833.9</v>
      </c>
      <c r="K470">
        <v>1859.75</v>
      </c>
      <c r="L470" s="93">
        <f t="shared" ref="L470" si="808">+K470/J470-1</f>
        <v>1.40956431648398E-2</v>
      </c>
      <c r="M470" s="92">
        <f t="shared" ref="M470" si="809">WEEKDAY(A470,2)</f>
        <v>1</v>
      </c>
    </row>
    <row r="471" spans="1:14" x14ac:dyDescent="0.15">
      <c r="A471" s="90">
        <v>43060</v>
      </c>
      <c r="B471">
        <v>36.9</v>
      </c>
      <c r="C471" s="93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3">
        <f>(B471/(D471*(1-VLOOKUP(A471,FX!A:M,13,0))))-1</f>
        <v>1.943229225313936E-2</v>
      </c>
      <c r="I471" s="93">
        <f t="shared" si="272"/>
        <v>4.4150711256525366E-3</v>
      </c>
      <c r="J471">
        <v>1859.75</v>
      </c>
      <c r="K471">
        <v>1856.96</v>
      </c>
      <c r="L471" s="93">
        <f t="shared" ref="L471" si="813">+K471/J471-1</f>
        <v>-1.5002016400053053E-3</v>
      </c>
      <c r="M471" s="92">
        <f t="shared" ref="M471" si="814">WEEKDAY(A471,2)</f>
        <v>2</v>
      </c>
    </row>
    <row r="472" spans="1:14" x14ac:dyDescent="0.15">
      <c r="A472" s="90">
        <v>43061</v>
      </c>
      <c r="B472">
        <v>36.65</v>
      </c>
      <c r="C472" s="93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3">
        <f>(B472/(D472*(1-VLOOKUP(A472,FX!A:M,13,0))))-1</f>
        <v>-4.6749470978549867E-3</v>
      </c>
      <c r="I472" s="93">
        <f t="shared" si="272"/>
        <v>-6.2443929986444324E-4</v>
      </c>
      <c r="J472">
        <v>1856.96</v>
      </c>
      <c r="K472">
        <v>1853.38</v>
      </c>
      <c r="L472" s="93">
        <f t="shared" ref="L472" si="818">+K472/J472-1</f>
        <v>-1.9278821299327786E-3</v>
      </c>
      <c r="M472" s="92">
        <f t="shared" ref="M472" si="819">WEEKDAY(A472,2)</f>
        <v>3</v>
      </c>
    </row>
    <row r="473" spans="1:14" x14ac:dyDescent="0.15">
      <c r="A473" s="90">
        <v>43062</v>
      </c>
      <c r="B473">
        <v>36.6</v>
      </c>
      <c r="C473" s="93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3">
        <f>(B473/(D473*(1-VLOOKUP(A473,FX!A:M,13,0))))-1</f>
        <v>2.7488854057739598E-2</v>
      </c>
      <c r="I473" s="93">
        <f t="shared" si="272"/>
        <v>2.7512633352049454E-2</v>
      </c>
      <c r="J473">
        <v>1853.38</v>
      </c>
      <c r="K473">
        <v>1794.78</v>
      </c>
      <c r="L473" s="93">
        <f t="shared" ref="L473" si="823">+K473/J473-1</f>
        <v>-3.1617908901574454E-2</v>
      </c>
      <c r="M473" s="92">
        <f t="shared" ref="M473" si="824">WEEKDAY(A473,2)</f>
        <v>4</v>
      </c>
    </row>
    <row r="474" spans="1:14" x14ac:dyDescent="0.15">
      <c r="A474" s="90">
        <v>43063</v>
      </c>
      <c r="B474">
        <v>35.18</v>
      </c>
      <c r="C474" s="93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3">
        <f>(B474/(D474*(1-VLOOKUP(A474,FX!A:M,13,0))))-1</f>
        <v>-4.2478198581634707E-3</v>
      </c>
      <c r="I474" s="93">
        <f t="shared" si="272"/>
        <v>-1.5779495737264781E-3</v>
      </c>
      <c r="J474">
        <v>1794.78</v>
      </c>
      <c r="K474">
        <v>1782.66</v>
      </c>
      <c r="L474" s="93">
        <f t="shared" ref="L474" si="828">+K474/J474-1</f>
        <v>-6.7529167920301614E-3</v>
      </c>
      <c r="M474" s="92">
        <f t="shared" ref="M474" si="829">WEEKDAY(A474,2)</f>
        <v>5</v>
      </c>
    </row>
    <row r="475" spans="1:14" x14ac:dyDescent="0.15">
      <c r="A475" s="90">
        <v>43066</v>
      </c>
      <c r="B475">
        <v>34.24</v>
      </c>
      <c r="C475" s="93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3">
        <f>(B475/(D475*(1-VLOOKUP(A475,FX!A:M,13,0))))-1</f>
        <v>-1.522474235202298E-2</v>
      </c>
      <c r="I475" s="93">
        <f t="shared" si="272"/>
        <v>-5.8764778296517273E-3</v>
      </c>
      <c r="J475">
        <v>1782.66</v>
      </c>
      <c r="K475">
        <v>1760.9</v>
      </c>
      <c r="L475" s="93">
        <f t="shared" ref="L475" si="833">+K475/J475-1</f>
        <v>-1.2206477959902595E-2</v>
      </c>
      <c r="M475" s="92">
        <f t="shared" ref="M475" si="834">WEEKDAY(A475,2)</f>
        <v>1</v>
      </c>
    </row>
    <row r="476" spans="1:14" x14ac:dyDescent="0.15">
      <c r="A476" s="90">
        <v>43067</v>
      </c>
      <c r="B476">
        <v>34.96</v>
      </c>
      <c r="C476" s="93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3">
        <f>(B476/(D476*(1-VLOOKUP(A476,FX!A:M,13,0))))-1</f>
        <v>-1.6304994651060722E-3</v>
      </c>
      <c r="I476" s="93">
        <f t="shared" si="272"/>
        <v>-2.5108422734535507E-3</v>
      </c>
      <c r="J476">
        <v>1760.9</v>
      </c>
      <c r="K476">
        <v>1793.87</v>
      </c>
      <c r="L476" s="93">
        <f t="shared" ref="L476" si="838">+K476/J476-1</f>
        <v>1.8723380089726627E-2</v>
      </c>
      <c r="M476" s="92">
        <f t="shared" ref="M476" si="839">WEEKDAY(A476,2)</f>
        <v>2</v>
      </c>
    </row>
    <row r="477" spans="1:14" x14ac:dyDescent="0.15">
      <c r="A477" s="90">
        <v>43068</v>
      </c>
      <c r="B477">
        <v>34.58</v>
      </c>
      <c r="C477" s="93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3">
        <f>(B477/(D477*(1-VLOOKUP(A477,FX!A:M,13,0))))-1</f>
        <v>-9.1687750047082517E-3</v>
      </c>
      <c r="I477" s="93">
        <f t="shared" si="272"/>
        <v>-6.518822417394321E-3</v>
      </c>
      <c r="J477">
        <v>1793.87</v>
      </c>
      <c r="K477">
        <v>1787.38</v>
      </c>
      <c r="L477" s="93">
        <f t="shared" ref="L477" si="843">+K477/J477-1</f>
        <v>-3.6178764347470915E-3</v>
      </c>
      <c r="M477" s="92">
        <f t="shared" ref="M477" si="844">WEEKDAY(A477,2)</f>
        <v>3</v>
      </c>
    </row>
    <row r="478" spans="1:14" x14ac:dyDescent="0.15">
      <c r="A478" s="90">
        <v>43069</v>
      </c>
      <c r="B478">
        <v>34.287999999999997</v>
      </c>
      <c r="C478" s="93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3">
        <f>(B478/(D478*(1-VLOOKUP(A478,FX!A:M,13,0))))-1</f>
        <v>-5.4744072313028802E-3</v>
      </c>
      <c r="I478" s="93">
        <f t="shared" si="272"/>
        <v>-2.6063483198363047E-3</v>
      </c>
      <c r="J478">
        <v>1787.38</v>
      </c>
      <c r="K478">
        <v>1770.3</v>
      </c>
      <c r="L478" s="93">
        <f t="shared" ref="L478" si="848">+K478/J478-1</f>
        <v>-9.5558862692880497E-3</v>
      </c>
      <c r="M478" s="92">
        <f t="shared" ref="M478" si="849">WEEKDAY(A478,2)</f>
        <v>4</v>
      </c>
    </row>
    <row r="479" spans="1:14" x14ac:dyDescent="0.15">
      <c r="A479" s="90">
        <v>43070</v>
      </c>
      <c r="B479">
        <v>34.473199999999999</v>
      </c>
      <c r="C479" s="93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3">
        <f>(B479/(D479*(1-VLOOKUP(A479,FX!A:M,13,0))))-1</f>
        <v>-1.8821798040751681E-2</v>
      </c>
      <c r="I479" s="93">
        <f t="shared" si="272"/>
        <v>-1.1762007826049525E-2</v>
      </c>
      <c r="J479">
        <v>1770.3</v>
      </c>
      <c r="K479">
        <v>1804.62</v>
      </c>
      <c r="L479" s="93">
        <f t="shared" ref="L479" si="853">+K479/J479-1</f>
        <v>1.9386544653448468E-2</v>
      </c>
      <c r="M479" s="92">
        <f t="shared" ref="M479" si="854">WEEKDAY(A479,2)</f>
        <v>5</v>
      </c>
      <c r="N479" t="s">
        <v>611</v>
      </c>
    </row>
    <row r="480" spans="1:14" x14ac:dyDescent="0.15">
      <c r="A480" s="90">
        <v>43073</v>
      </c>
      <c r="B480">
        <v>34.57</v>
      </c>
      <c r="C480" s="93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3">
        <f>(B480/(D480*(1-VLOOKUP(A480,FX!A:M,13,0))))-1</f>
        <v>-1.9300495452342359E-3</v>
      </c>
      <c r="I480" s="93">
        <f t="shared" si="272"/>
        <v>-6.5578104614606447E-3</v>
      </c>
      <c r="J480">
        <v>1804.62</v>
      </c>
      <c r="K480">
        <v>1797.77</v>
      </c>
      <c r="L480" s="93">
        <f t="shared" ref="L480" si="858">+K480/J480-1</f>
        <v>-3.7958129689352749E-3</v>
      </c>
      <c r="M480" s="92">
        <f t="shared" ref="M480" si="859">WEEKDAY(A480,2)</f>
        <v>1</v>
      </c>
    </row>
    <row r="481" spans="1:13" x14ac:dyDescent="0.15">
      <c r="A481" s="90">
        <v>43074</v>
      </c>
      <c r="B481">
        <v>33.979999999999997</v>
      </c>
      <c r="C481" s="93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3">
        <f>(B481/(D481*(1-VLOOKUP(A481,FX!A:M,13,0))))-1</f>
        <v>-1.6803958166854427E-3</v>
      </c>
      <c r="I481" s="93">
        <f t="shared" si="272"/>
        <v>-5.525508651167188E-3</v>
      </c>
      <c r="J481">
        <v>1797.77</v>
      </c>
      <c r="K481">
        <v>1758.59</v>
      </c>
      <c r="L481" s="93">
        <f t="shared" ref="L481" si="863">+K481/J481-1</f>
        <v>-2.1793666598063144E-2</v>
      </c>
      <c r="M481" s="92">
        <f t="shared" ref="M481" si="864">WEEKDAY(A481,2)</f>
        <v>2</v>
      </c>
    </row>
    <row r="482" spans="1:13" x14ac:dyDescent="0.15">
      <c r="A482" s="90">
        <v>43075</v>
      </c>
      <c r="B482">
        <v>34.18</v>
      </c>
      <c r="C482" s="93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93">
        <f>(B482/(D482*(1-VLOOKUP(A482,FX!A:M,13,0))))-1</f>
        <v>-1.3828464873893109E-2</v>
      </c>
      <c r="I482" s="93">
        <f t="shared" si="272"/>
        <v>-8.203071726823441E-3</v>
      </c>
      <c r="J482">
        <v>1758.59</v>
      </c>
      <c r="K482">
        <v>1784.31</v>
      </c>
      <c r="L482" s="93">
        <f t="shared" ref="L482" si="868">+K482/J482-1</f>
        <v>1.462535326596881E-2</v>
      </c>
      <c r="M482" s="92">
        <f t="shared" ref="M482" si="869">WEEKDAY(A482,2)</f>
        <v>3</v>
      </c>
    </row>
    <row r="483" spans="1:13" x14ac:dyDescent="0.15">
      <c r="A483" s="90">
        <v>43076</v>
      </c>
      <c r="B483">
        <v>33.770000000000003</v>
      </c>
      <c r="C483" s="93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93">
        <f>(B483/(D483*(1-VLOOKUP(A483,FX!A:M,13,0))))-1</f>
        <v>-1.5427749994887274E-2</v>
      </c>
      <c r="I483" s="93">
        <f t="shared" si="272"/>
        <v>-7.0655066259338595E-3</v>
      </c>
      <c r="J483">
        <v>1784.31</v>
      </c>
      <c r="K483">
        <v>1776.99</v>
      </c>
      <c r="L483" s="93">
        <f t="shared" ref="L483" si="873">+K483/J483-1</f>
        <v>-4.1024261479226665E-3</v>
      </c>
      <c r="M483" s="92">
        <f t="shared" ref="M483" si="874">WEEKDAY(A483,2)</f>
        <v>4</v>
      </c>
    </row>
    <row r="484" spans="1:13" x14ac:dyDescent="0.15">
      <c r="A484" s="90">
        <v>43077</v>
      </c>
      <c r="B484">
        <v>34.299999999999997</v>
      </c>
      <c r="C484" s="93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93">
        <f>(B484/(D484*(1-VLOOKUP(A484,FX!A:M,13,0))))-1</f>
        <v>1.8251577641903438E-5</v>
      </c>
      <c r="I484" s="93">
        <f t="shared" si="272"/>
        <v>-3.1243188258374133E-3</v>
      </c>
      <c r="J484">
        <v>1776.99</v>
      </c>
      <c r="K484">
        <v>1792.16</v>
      </c>
      <c r="L484" s="93">
        <f t="shared" ref="L484" si="878">+K484/J484-1</f>
        <v>8.5369079173209794E-3</v>
      </c>
      <c r="M484" s="92">
        <f t="shared" ref="M484" si="879">WEEKDAY(A484,2)</f>
        <v>5</v>
      </c>
    </row>
    <row r="485" spans="1:13" x14ac:dyDescent="0.15">
      <c r="A485" s="90">
        <v>43080</v>
      </c>
      <c r="B485">
        <v>34.9</v>
      </c>
      <c r="C485" s="93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D485*(1-VLOOKUP(A485,FX!A:M,13,0))</f>
        <v>34.896369587140697</v>
      </c>
      <c r="F485">
        <v>35.097499999999997</v>
      </c>
      <c r="G485" s="42">
        <f t="shared" ref="G485" si="882">+B485/D485-1</f>
        <v>4.5818435371836053E-4</v>
      </c>
      <c r="H485" s="93">
        <f>(B485/(D485*(1-VLOOKUP(A485,FX!A:M,13,0))))-1</f>
        <v>1.0403411306825205E-4</v>
      </c>
      <c r="I485" s="93">
        <f t="shared" si="272"/>
        <v>-5.6271814231781958E-3</v>
      </c>
      <c r="J485">
        <v>1792.16</v>
      </c>
      <c r="K485">
        <v>1816.98</v>
      </c>
      <c r="L485" s="93">
        <f t="shared" ref="L485" si="883">+K485/J485-1</f>
        <v>1.3849209891973802E-2</v>
      </c>
      <c r="M485" s="92">
        <f t="shared" ref="M485" si="884">WEEKDAY(A485,2)</f>
        <v>1</v>
      </c>
    </row>
    <row r="486" spans="1:13" x14ac:dyDescent="0.15">
      <c r="A486" s="90">
        <v>43081</v>
      </c>
      <c r="B486">
        <v>34.634999999999998</v>
      </c>
      <c r="C486" s="93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D486*(1-VLOOKUP(A486,FX!A:M,13,0))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93">
        <f>(B486/(D486*(1-VLOOKUP(A486,FX!A:M,13,0))))-1</f>
        <v>-3.1430615637427772E-3</v>
      </c>
      <c r="I486" s="93">
        <f t="shared" si="272"/>
        <v>-4.4295483355418774E-3</v>
      </c>
      <c r="J486">
        <v>1816.98</v>
      </c>
      <c r="K486">
        <v>1798.69</v>
      </c>
      <c r="L486" s="93">
        <f t="shared" ref="L486" si="888">+K486/J486-1</f>
        <v>-1.006615372761388E-2</v>
      </c>
      <c r="M486" s="92">
        <f t="shared" ref="M486" si="889">WEEKDAY(A486,2)</f>
        <v>2</v>
      </c>
    </row>
    <row r="487" spans="1:13" x14ac:dyDescent="0.15">
      <c r="A487" s="90">
        <v>43082</v>
      </c>
      <c r="B487">
        <v>35.08</v>
      </c>
      <c r="C487" s="93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D487*(1-VLOOKUP(A487,FX!A:M,13,0))</f>
        <v>34.973931102320883</v>
      </c>
      <c r="F487">
        <v>35.080599999999997</v>
      </c>
      <c r="G487" s="42">
        <f t="shared" ref="G487" si="892">+B487/D487-1</f>
        <v>4.230305289607994E-3</v>
      </c>
      <c r="H487" s="93">
        <f>(B487/(D487*(1-VLOOKUP(A487,FX!A:M,13,0))))-1</f>
        <v>3.0327988400502548E-3</v>
      </c>
      <c r="I487" s="93">
        <f t="shared" si="272"/>
        <v>-1.7103470294044243E-5</v>
      </c>
      <c r="J487">
        <v>1798.69</v>
      </c>
      <c r="K487">
        <v>1806.09</v>
      </c>
      <c r="L487" s="93">
        <f t="shared" ref="L487" si="893">+K487/J487-1</f>
        <v>4.1141052654987131E-3</v>
      </c>
      <c r="M487" s="92">
        <f t="shared" ref="M487" si="894">WEEKDAY(A487,2)</f>
        <v>3</v>
      </c>
    </row>
    <row r="488" spans="1:13" x14ac:dyDescent="0.15">
      <c r="A488" s="90">
        <v>43083</v>
      </c>
      <c r="B488">
        <v>34.72</v>
      </c>
      <c r="C488" s="93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D488*(1-VLOOKUP(A488,FX!A:M,13,0))</f>
        <v>34.87704708172253</v>
      </c>
      <c r="F488">
        <v>34.837000000000003</v>
      </c>
      <c r="G488" s="42">
        <f t="shared" ref="G488" si="897">+B488/D488-1</f>
        <v>-3.7981287853866563E-3</v>
      </c>
      <c r="H488" s="93">
        <f>(B488/(D488*(1-VLOOKUP(A488,FX!A:M,13,0))))-1</f>
        <v>-4.5028778197461206E-3</v>
      </c>
      <c r="I488" s="93">
        <f t="shared" si="272"/>
        <v>-3.3584981485204057E-3</v>
      </c>
      <c r="J488">
        <v>1806.09</v>
      </c>
      <c r="K488">
        <v>1794.34</v>
      </c>
      <c r="L488" s="93">
        <f t="shared" ref="L488" si="898">+K488/J488-1</f>
        <v>-6.5057666007785064E-3</v>
      </c>
      <c r="M488" s="92">
        <f t="shared" ref="M488" si="899">WEEKDAY(A488,2)</f>
        <v>4</v>
      </c>
    </row>
    <row r="489" spans="1:13" x14ac:dyDescent="0.15">
      <c r="A489" s="90">
        <v>43084</v>
      </c>
      <c r="B489">
        <v>34.520000000000003</v>
      </c>
      <c r="C489" s="93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D489*(1-VLOOKUP(A489,FX!A:M,13,0))</f>
        <v>34.645469414428682</v>
      </c>
      <c r="F489">
        <v>34.603499999999997</v>
      </c>
      <c r="G489" s="42">
        <f t="shared" ref="G489" si="902">+B489/D489-1</f>
        <v>-3.339537008798632E-3</v>
      </c>
      <c r="H489" s="93">
        <f>(B489/(D489*(1-VLOOKUP(A489,FX!A:M,13,0))))-1</f>
        <v>-3.6215244460340301E-3</v>
      </c>
      <c r="I489" s="93">
        <f t="shared" si="272"/>
        <v>-2.4130507029633819E-3</v>
      </c>
      <c r="J489">
        <v>1794.34</v>
      </c>
      <c r="K489">
        <v>1783.97</v>
      </c>
      <c r="L489" s="93">
        <f t="shared" ref="L489" si="903">+K489/J489-1</f>
        <v>-5.7792837477846914E-3</v>
      </c>
      <c r="M489" s="92">
        <f t="shared" ref="M489" si="904">WEEKDAY(A489,2)</f>
        <v>5</v>
      </c>
    </row>
    <row r="490" spans="1:13" x14ac:dyDescent="0.15">
      <c r="A490" s="90">
        <v>43087</v>
      </c>
      <c r="B490">
        <v>34.24</v>
      </c>
      <c r="C490" s="93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D490*(1-VLOOKUP(A490,FX!A:M,13,0))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93">
        <f>(B490/(D490*(1-VLOOKUP(A490,FX!A:M,13,0))))-1</f>
        <v>-7.9900328661319797E-3</v>
      </c>
      <c r="I490" s="93">
        <f t="shared" si="272"/>
        <v>6.7218049507555833E-4</v>
      </c>
      <c r="J490">
        <v>1783.97</v>
      </c>
      <c r="K490">
        <v>1780.64</v>
      </c>
      <c r="L490" s="93">
        <f t="shared" ref="L490" si="908">+K490/J490-1</f>
        <v>-1.8666233176566349E-3</v>
      </c>
      <c r="M490" s="92">
        <f t="shared" ref="M490" si="909">WEEKDAY(A490,2)</f>
        <v>1</v>
      </c>
    </row>
    <row r="491" spans="1:13" x14ac:dyDescent="0.15">
      <c r="A491" s="90">
        <v>43088</v>
      </c>
      <c r="B491">
        <v>34.64</v>
      </c>
      <c r="C491" s="93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D491*(1-VLOOKUP(A491,FX!A:M,13,0))</f>
        <v>34.596839444154242</v>
      </c>
      <c r="F491">
        <v>34.575499999999998</v>
      </c>
      <c r="G491" s="42">
        <f t="shared" ref="G491" si="912">+B491/D491-1</f>
        <v>2.309014871470616E-3</v>
      </c>
      <c r="H491" s="93">
        <f>(B491/(D491*(1-VLOOKUP(A491,FX!A:M,13,0))))-1</f>
        <v>1.247528865040648E-3</v>
      </c>
      <c r="I491" s="93">
        <f t="shared" si="272"/>
        <v>1.8654827840522969E-3</v>
      </c>
      <c r="J491">
        <v>1780.64</v>
      </c>
      <c r="K491">
        <v>1798.5</v>
      </c>
      <c r="L491" s="93">
        <f t="shared" ref="L491" si="913">+K491/J491-1</f>
        <v>1.0030101536526059E-2</v>
      </c>
      <c r="M491" s="92">
        <f t="shared" ref="M491" si="914">WEEKDAY(A491,2)</f>
        <v>2</v>
      </c>
    </row>
    <row r="492" spans="1:13" x14ac:dyDescent="0.15">
      <c r="A492" s="90">
        <v>43089</v>
      </c>
      <c r="B492">
        <v>34.3504</v>
      </c>
      <c r="C492" s="93">
        <f t="shared" ref="C492" si="915">B492/B491-1</f>
        <v>-8.3602771362586425E-3</v>
      </c>
      <c r="D492" s="26">
        <f t="shared" ref="D492" si="916">+F491*(1+L492)</f>
        <v>34.266175676953019</v>
      </c>
      <c r="E492" s="26">
        <f>D492*(1-VLOOKUP(A492,FX!A:M,13,0))</f>
        <v>34.474642852979834</v>
      </c>
      <c r="F492">
        <v>34.558700000000002</v>
      </c>
      <c r="G492" s="42">
        <f t="shared" ref="G492" si="917">+B492/D492-1</f>
        <v>2.4579434787532772E-3</v>
      </c>
      <c r="H492" s="93">
        <f>(B492/(D492*(1-VLOOKUP(A492,FX!A:M,13,0))))-1</f>
        <v>-3.6038909383246942E-3</v>
      </c>
      <c r="I492" s="93">
        <f t="shared" si="272"/>
        <v>-6.0274258001603576E-3</v>
      </c>
      <c r="J492">
        <v>1798.5</v>
      </c>
      <c r="K492">
        <v>1782.41</v>
      </c>
      <c r="L492" s="93">
        <f t="shared" ref="L492" si="918">+K492/J492-1</f>
        <v>-8.946344175701948E-3</v>
      </c>
      <c r="M492" s="92">
        <f t="shared" ref="M492" si="919">WEEKDAY(A492,2)</f>
        <v>3</v>
      </c>
    </row>
    <row r="493" spans="1:13" x14ac:dyDescent="0.15">
      <c r="A493" s="90">
        <v>43090</v>
      </c>
      <c r="B493">
        <v>34.92</v>
      </c>
      <c r="C493" s="93">
        <f t="shared" ref="C493" si="920">B493/B492-1</f>
        <v>1.6582048535097149E-2</v>
      </c>
      <c r="D493" s="26">
        <f t="shared" ref="D493" si="921">+F492*(1+L493)</f>
        <v>34.700819529737821</v>
      </c>
      <c r="E493" s="26">
        <f>D493*(1-VLOOKUP(A493,FX!A:M,13,0))</f>
        <v>34.699392176004324</v>
      </c>
      <c r="F493">
        <v>34.700000000000003</v>
      </c>
      <c r="G493" s="42">
        <f t="shared" ref="G493" si="922">+B493/D493-1</f>
        <v>6.3162908897396175E-3</v>
      </c>
      <c r="H493" s="93">
        <f>(B493/(D493*(1-VLOOKUP(A493,FX!A:M,13,0))))-1</f>
        <v>6.357685543213476E-3</v>
      </c>
      <c r="I493" s="93">
        <f t="shared" si="272"/>
        <v>6.3400576368874972E-3</v>
      </c>
      <c r="J493">
        <v>1782.41</v>
      </c>
      <c r="K493">
        <v>1789.74</v>
      </c>
      <c r="L493" s="93">
        <f t="shared" ref="L493" si="923">+K493/J493-1</f>
        <v>4.1124096027287393E-3</v>
      </c>
      <c r="M493" s="92">
        <f t="shared" ref="M493" si="924">WEEKDAY(A493,2)</f>
        <v>4</v>
      </c>
    </row>
    <row r="494" spans="1:13" x14ac:dyDescent="0.15">
      <c r="A494" s="90">
        <v>43091</v>
      </c>
      <c r="B494">
        <v>34.590200000000003</v>
      </c>
      <c r="C494" s="93">
        <f t="shared" ref="C494" si="925">B494/B493-1</f>
        <v>-9.4444444444443665E-3</v>
      </c>
      <c r="D494" s="26">
        <f t="shared" ref="D494" si="926">+F493*(1+L494)</f>
        <v>34.498361773218456</v>
      </c>
      <c r="E494" s="26">
        <f>D494*(1-VLOOKUP(A494,FX!A:M,13,0))</f>
        <v>34.492370973482551</v>
      </c>
      <c r="F494">
        <v>34.833300000000001</v>
      </c>
      <c r="G494" s="42">
        <f t="shared" ref="G494" si="927">+B494/D494-1</f>
        <v>2.6621039974379368E-3</v>
      </c>
      <c r="H494" s="93">
        <f>(B494/(D494*(1-VLOOKUP(A494,FX!A:M,13,0))))-1</f>
        <v>2.8362511406554436E-3</v>
      </c>
      <c r="I494" s="93">
        <f t="shared" si="272"/>
        <v>-6.9789540468458977E-3</v>
      </c>
      <c r="J494">
        <v>1789.74</v>
      </c>
      <c r="K494">
        <v>1779.34</v>
      </c>
      <c r="L494" s="93">
        <f t="shared" ref="L494" si="928">+K494/J494-1</f>
        <v>-5.8108999072491452E-3</v>
      </c>
      <c r="M494" s="92">
        <f t="shared" ref="M494" si="929">WEEKDAY(A494,2)</f>
        <v>5</v>
      </c>
    </row>
    <row r="495" spans="1:13" x14ac:dyDescent="0.15">
      <c r="A495" s="90">
        <v>43094</v>
      </c>
      <c r="B495">
        <v>34.590200000000003</v>
      </c>
      <c r="C495" s="93">
        <f t="shared" ref="C495" si="930">B495/B494-1</f>
        <v>0</v>
      </c>
      <c r="D495" s="26">
        <f t="shared" ref="D495" si="931">+F494*(1+L495)</f>
        <v>34.372664287320021</v>
      </c>
      <c r="E495" s="26">
        <f>D495*(1-VLOOKUP(A495,FX!A:M,13,0))</f>
        <v>34.372664287320021</v>
      </c>
      <c r="F495">
        <v>34.833300000000001</v>
      </c>
      <c r="G495" s="42">
        <f t="shared" ref="G495" si="932">+B495/D495-1</f>
        <v>6.3287416669715046E-3</v>
      </c>
      <c r="H495" s="93">
        <f>(B495/(D495*(1-VLOOKUP(A495,FX!A:M,13,0))))-1</f>
        <v>6.3287416669715046E-3</v>
      </c>
      <c r="I495" s="93">
        <f t="shared" si="272"/>
        <v>-6.9789540468458977E-3</v>
      </c>
      <c r="J495">
        <v>1779.34</v>
      </c>
      <c r="K495">
        <v>1755.81</v>
      </c>
      <c r="L495" s="93">
        <f t="shared" ref="L495" si="933">+K495/J495-1</f>
        <v>-1.3224004406128143E-2</v>
      </c>
      <c r="M495" s="92">
        <f t="shared" ref="M495" si="934">WEEKDAY(A495,2)</f>
        <v>1</v>
      </c>
    </row>
    <row r="496" spans="1:13" x14ac:dyDescent="0.15">
      <c r="A496" s="90">
        <v>43095</v>
      </c>
      <c r="B496">
        <v>34.450000000000003</v>
      </c>
      <c r="C496" s="93">
        <f t="shared" ref="C496" si="935">B496/B495-1</f>
        <v>-4.0531711293950723E-3</v>
      </c>
      <c r="D496" s="26">
        <f t="shared" ref="D496" si="936">+F495*(1+L496)</f>
        <v>34.893015022126541</v>
      </c>
      <c r="E496" s="26">
        <f>D496*(1-VLOOKUP(A496,FX!A:M,13,0))</f>
        <v>35.024856824524569</v>
      </c>
      <c r="F496">
        <v>34.6175</v>
      </c>
      <c r="G496" s="42">
        <f t="shared" ref="G496" si="937">+B496/D496-1</f>
        <v>-1.2696381262714329E-2</v>
      </c>
      <c r="H496" s="93">
        <f>(B496/(D496*(1-VLOOKUP(A496,FX!A:M,13,0))))-1</f>
        <v>-1.6412824395103609E-2</v>
      </c>
      <c r="I496" s="93">
        <f t="shared" si="272"/>
        <v>-4.8385931970823526E-3</v>
      </c>
      <c r="J496">
        <v>1755.81</v>
      </c>
      <c r="K496">
        <v>1758.82</v>
      </c>
      <c r="L496" s="93">
        <f t="shared" ref="L496" si="938">+K496/J496-1</f>
        <v>1.7143084957940147E-3</v>
      </c>
      <c r="M496" s="92">
        <f t="shared" ref="M496" si="939">WEEKDAY(A496,2)</f>
        <v>2</v>
      </c>
    </row>
    <row r="497" spans="1:13" x14ac:dyDescent="0.15">
      <c r="A497" s="90">
        <v>43096</v>
      </c>
      <c r="B497">
        <v>33.93</v>
      </c>
      <c r="C497" s="93">
        <f t="shared" ref="C497" si="940">B497/B496-1</f>
        <v>-1.5094339622641617E-2</v>
      </c>
      <c r="D497" s="26">
        <f t="shared" ref="D497" si="941">+F496*(1+L497)</f>
        <v>34.35021531481334</v>
      </c>
      <c r="E497" s="26">
        <f>D497*(1-VLOOKUP(A497,FX!A:M,13,0))</f>
        <v>34.28413158457964</v>
      </c>
      <c r="F497">
        <v>34.173099999999998</v>
      </c>
      <c r="G497" s="42">
        <f t="shared" ref="G497" si="942">+B497/D497-1</f>
        <v>-1.2233265816884886E-2</v>
      </c>
      <c r="H497" s="93">
        <f>(B497/(D497*(1-VLOOKUP(A497,FX!A:M,13,0))))-1</f>
        <v>-1.0329314706600923E-2</v>
      </c>
      <c r="I497" s="93">
        <f t="shared" si="272"/>
        <v>-7.1137824780309611E-3</v>
      </c>
      <c r="J497">
        <v>1758.82</v>
      </c>
      <c r="K497">
        <v>1745.24</v>
      </c>
      <c r="L497" s="93">
        <f t="shared" ref="L497" si="943">+K497/J497-1</f>
        <v>-7.7210857279311762E-3</v>
      </c>
      <c r="M497" s="92">
        <f t="shared" ref="M497" si="944">WEEKDAY(A497,2)</f>
        <v>3</v>
      </c>
    </row>
    <row r="498" spans="1:13" x14ac:dyDescent="0.15">
      <c r="A498" s="90">
        <v>43097</v>
      </c>
      <c r="B498">
        <v>34.25</v>
      </c>
      <c r="C498" s="93">
        <f t="shared" ref="C498" si="945">B498/B497-1</f>
        <v>9.4311818449750451E-3</v>
      </c>
      <c r="D498" s="26">
        <f t="shared" ref="D498" si="946">+F497*(1+L498)</f>
        <v>34.168792236024842</v>
      </c>
      <c r="E498" s="26">
        <f>D498*(1-VLOOKUP(A498,FX!A:M,13,0))</f>
        <v>34.273207422476958</v>
      </c>
      <c r="F498">
        <v>34.454500000000003</v>
      </c>
      <c r="G498" s="42">
        <f t="shared" ref="G498" si="947">+B498/D498-1</f>
        <v>2.3766647475920166E-3</v>
      </c>
      <c r="H498" s="93">
        <f>(B498/(D498*(1-VLOOKUP(A498,FX!A:M,13,0))))-1</f>
        <v>-6.7713016149573146E-4</v>
      </c>
      <c r="I498" s="93">
        <f t="shared" si="272"/>
        <v>-5.9353640308233979E-3</v>
      </c>
      <c r="J498">
        <v>1745.24</v>
      </c>
      <c r="K498">
        <v>1745.02</v>
      </c>
      <c r="L498" s="93">
        <f t="shared" ref="L498" si="948">+K498/J498-1</f>
        <v>-1.2605716119273858E-4</v>
      </c>
      <c r="M498" s="92">
        <f t="shared" ref="M498" si="949">WEEKDAY(A498,2)</f>
        <v>4</v>
      </c>
    </row>
    <row r="499" spans="1:13" x14ac:dyDescent="0.15">
      <c r="A499" s="90">
        <v>43098</v>
      </c>
      <c r="B499">
        <v>34.6</v>
      </c>
      <c r="C499" s="93">
        <f t="shared" ref="C499" si="950">B499/B498-1</f>
        <v>1.0218978102189746E-2</v>
      </c>
      <c r="D499" s="26">
        <f t="shared" ref="D499" si="951">+F498*(1+L499)</f>
        <v>34.60515032778995</v>
      </c>
      <c r="E499" s="26">
        <f>D499*(1-VLOOKUP(A499,FX!A:M,13,0))</f>
        <v>34.707451011215504</v>
      </c>
      <c r="F499">
        <v>34.789299999999997</v>
      </c>
      <c r="G499" s="42">
        <f t="shared" ref="G499" si="952">+B499/D499-1</f>
        <v>-1.4883125029552247E-4</v>
      </c>
      <c r="H499" s="93">
        <f>(B499/(D499*(1-VLOOKUP(A499,FX!A:M,13,0))))-1</f>
        <v>-3.0959061551589784E-3</v>
      </c>
      <c r="I499" s="93">
        <f t="shared" si="272"/>
        <v>-5.4413282244827332E-3</v>
      </c>
      <c r="J499">
        <v>1745.02</v>
      </c>
      <c r="K499">
        <v>1752.65</v>
      </c>
      <c r="L499" s="93">
        <f t="shared" ref="L499" si="953">+K499/J499-1</f>
        <v>4.3724427227196383E-3</v>
      </c>
      <c r="M499" s="92">
        <f t="shared" ref="M499" si="954">WEEKDAY(A499,2)</f>
        <v>5</v>
      </c>
    </row>
    <row r="500" spans="1:13" x14ac:dyDescent="0.15">
      <c r="A500" s="90">
        <v>43102</v>
      </c>
      <c r="B500">
        <v>35.25</v>
      </c>
      <c r="C500" s="93">
        <f t="shared" ref="C500" si="955">B500/B499-1</f>
        <v>1.8786127167629951E-2</v>
      </c>
      <c r="D500" s="26">
        <f t="shared" ref="D500" si="956">+F499*(1+L500)</f>
        <v>35.127139206915238</v>
      </c>
      <c r="E500" s="26">
        <f>D500*(1-VLOOKUP(A500,FX!A:M,13,0))</f>
        <v>35.196287194198604</v>
      </c>
      <c r="F500">
        <v>35.271099999999997</v>
      </c>
      <c r="G500" s="42">
        <f t="shared" ref="G500" si="957">+B500/D500-1</f>
        <v>3.4976031597977464E-3</v>
      </c>
      <c r="H500" s="93">
        <f>(B500/(D500*(1-VLOOKUP(A500,FX!A:M,13,0))))-1</f>
        <v>1.5260929513680743E-3</v>
      </c>
      <c r="I500" s="93">
        <f t="shared" si="272"/>
        <v>-5.9822347474269844E-4</v>
      </c>
      <c r="J500">
        <v>1752.65</v>
      </c>
      <c r="K500">
        <v>1769.67</v>
      </c>
      <c r="L500" s="93">
        <f t="shared" ref="L500" si="958">+K500/J500-1</f>
        <v>9.7110090434484597E-3</v>
      </c>
      <c r="M500" s="92">
        <f t="shared" ref="M500" si="959">WEEKDAY(A500,2)</f>
        <v>2</v>
      </c>
    </row>
    <row r="501" spans="1:13" x14ac:dyDescent="0.15">
      <c r="A501" s="90">
        <v>43103</v>
      </c>
      <c r="B501">
        <v>35.75</v>
      </c>
      <c r="C501" s="93">
        <f t="shared" ref="C501" si="960">B501/B500-1</f>
        <v>1.4184397163120588E-2</v>
      </c>
      <c r="D501" s="26">
        <f t="shared" ref="D501" si="961">+F500*(1+L501)</f>
        <v>35.783523209411918</v>
      </c>
      <c r="E501" s="26">
        <f>D501*(1-VLOOKUP(A501,FX!A:M,13,0))</f>
        <v>35.803509222059041</v>
      </c>
      <c r="F501">
        <v>35.762999999999998</v>
      </c>
      <c r="G501" s="42">
        <f t="shared" ref="G501" si="962">+B501/D501-1</f>
        <v>-9.3683367106511817E-4</v>
      </c>
      <c r="H501" s="93">
        <f>(B501/(D501*(1-VLOOKUP(A501,FX!A:M,13,0))))-1</f>
        <v>-1.4945245095158155E-3</v>
      </c>
      <c r="I501" s="93">
        <f t="shared" si="272"/>
        <v>-3.6350418029806875E-4</v>
      </c>
      <c r="J501">
        <v>1769.67</v>
      </c>
      <c r="K501">
        <v>1795.38</v>
      </c>
      <c r="L501" s="93">
        <f t="shared" ref="L501" si="963">+K501/J501-1</f>
        <v>1.4528132363661017E-2</v>
      </c>
      <c r="M501" s="92">
        <f t="shared" ref="M501" si="964">WEEKDAY(A501,2)</f>
        <v>3</v>
      </c>
    </row>
    <row r="502" spans="1:13" x14ac:dyDescent="0.15">
      <c r="A502" s="90">
        <v>43104</v>
      </c>
      <c r="B502">
        <v>35.86</v>
      </c>
      <c r="C502" s="93">
        <f t="shared" ref="C502" si="965">B502/B501-1</f>
        <v>3.0769230769229772E-3</v>
      </c>
      <c r="D502" s="26">
        <f t="shared" ref="D502" si="966">+F501*(1+L502)</f>
        <v>35.747662015840653</v>
      </c>
      <c r="E502" s="26">
        <f>D502*(1-VLOOKUP(A502,FX!A:M,13,0))</f>
        <v>35.79297059007272</v>
      </c>
      <c r="F502">
        <v>35.898800000000001</v>
      </c>
      <c r="G502" s="42">
        <f t="shared" ref="G502" si="967">+B502/D502-1</f>
        <v>3.1425267506883792E-3</v>
      </c>
      <c r="H502" s="93">
        <f>(B502/(D502*(1-VLOOKUP(A502,FX!A:M,13,0))))-1</f>
        <v>1.8726975945906332E-3</v>
      </c>
      <c r="I502" s="93">
        <f t="shared" si="272"/>
        <v>-1.0808160718465132E-3</v>
      </c>
      <c r="J502">
        <v>1795.38</v>
      </c>
      <c r="K502">
        <v>1794.61</v>
      </c>
      <c r="L502" s="93">
        <f t="shared" ref="L502" si="968">+K502/J502-1</f>
        <v>-4.2887856609752362E-4</v>
      </c>
      <c r="M502" s="92">
        <f t="shared" ref="M502" si="969">WEEKDAY(A502,2)</f>
        <v>4</v>
      </c>
    </row>
    <row r="503" spans="1:13" x14ac:dyDescent="0.15">
      <c r="A503" s="90">
        <v>43105</v>
      </c>
      <c r="B503">
        <v>35.770000000000003</v>
      </c>
      <c r="C503" s="93">
        <f t="shared" ref="C503" si="970">B503/B502-1</f>
        <v>-2.5097601784717094E-3</v>
      </c>
      <c r="D503" s="26">
        <f t="shared" ref="D503" si="971">+F502*(1+L503)</f>
        <v>36.035025044995855</v>
      </c>
      <c r="E503" s="26">
        <f>D503*(1-VLOOKUP(A503,FX!A:M,13,0))</f>
        <v>36.08448127363684</v>
      </c>
      <c r="F503">
        <v>35.857900000000001</v>
      </c>
      <c r="G503" s="42">
        <f t="shared" ref="G503" si="972">+B503/D503-1</f>
        <v>-7.3546513333880847E-3</v>
      </c>
      <c r="H503" s="93">
        <f>(B503/(D503*(1-VLOOKUP(A503,FX!A:M,13,0))))-1</f>
        <v>-8.7151390996049738E-3</v>
      </c>
      <c r="I503" s="93">
        <f t="shared" si="272"/>
        <v>-2.4513426608919753E-3</v>
      </c>
      <c r="J503">
        <v>1794.61</v>
      </c>
      <c r="K503">
        <v>1801.42</v>
      </c>
      <c r="L503" s="93">
        <f t="shared" ref="L503" si="973">+K503/J503-1</f>
        <v>3.7946963407091694E-3</v>
      </c>
      <c r="M503" s="92">
        <f t="shared" ref="M503" si="974">WEEKDAY(A503,2)</f>
        <v>5</v>
      </c>
    </row>
    <row r="504" spans="1:13" x14ac:dyDescent="0.15">
      <c r="A504" s="90">
        <v>43108</v>
      </c>
      <c r="B504">
        <v>35.69</v>
      </c>
      <c r="C504" s="93">
        <f t="shared" ref="C504" si="975">B504/B503-1</f>
        <v>-2.236511042773448E-3</v>
      </c>
      <c r="D504" s="26">
        <f t="shared" ref="D504" si="976">+F503*(1+L504)</f>
        <v>35.952251370585429</v>
      </c>
      <c r="E504" s="26">
        <f>D504*(1-VLOOKUP(A504,FX!A:M,13,0))</f>
        <v>35.857008866265325</v>
      </c>
      <c r="F504">
        <v>35.858600000000003</v>
      </c>
      <c r="G504" s="42">
        <f t="shared" ref="G504" si="977">+B504/D504-1</f>
        <v>-7.2944352742257967E-3</v>
      </c>
      <c r="H504" s="93">
        <f>(B504/(D504*(1-VLOOKUP(A504,FX!A:M,13,0))))-1</f>
        <v>-4.6576351889309198E-3</v>
      </c>
      <c r="I504" s="93">
        <f t="shared" si="272"/>
        <v>-4.701800962670144E-3</v>
      </c>
      <c r="J504">
        <v>1801.42</v>
      </c>
      <c r="K504">
        <v>1806.16</v>
      </c>
      <c r="L504" s="93">
        <f t="shared" ref="L504" si="978">+K504/J504-1</f>
        <v>2.6312575634777069E-3</v>
      </c>
      <c r="M504" s="92">
        <f t="shared" ref="M504" si="979">WEEKDAY(A504,2)</f>
        <v>1</v>
      </c>
    </row>
    <row r="505" spans="1:13" x14ac:dyDescent="0.15">
      <c r="A505" s="90">
        <v>43109</v>
      </c>
      <c r="B505">
        <v>35.619999999999997</v>
      </c>
      <c r="C505" s="93">
        <f t="shared" ref="C505" si="980">B505/B504-1</f>
        <v>-1.9613337069207537E-3</v>
      </c>
      <c r="D505" s="26">
        <f t="shared" ref="D505" si="981">+F504*(1+L505)</f>
        <v>35.807576501528104</v>
      </c>
      <c r="E505" s="26">
        <f>D505*(1-VLOOKUP(A505,FX!A:M,13,0))</f>
        <v>35.592879985891983</v>
      </c>
      <c r="F505">
        <v>35.762999999999998</v>
      </c>
      <c r="G505" s="42">
        <f t="shared" ref="G505" si="982">+B505/D505-1</f>
        <v>-5.238458445242733E-3</v>
      </c>
      <c r="H505" s="93">
        <f>(B505/(D505*(1-VLOOKUP(A505,FX!A:M,13,0))))-1</f>
        <v>7.6195053951133573E-4</v>
      </c>
      <c r="I505" s="93">
        <f t="shared" si="272"/>
        <v>-3.9985459832788672E-3</v>
      </c>
      <c r="J505">
        <v>1806.16</v>
      </c>
      <c r="K505">
        <v>1803.59</v>
      </c>
      <c r="L505" s="93">
        <f t="shared" ref="L505" si="983">+K505/J505-1</f>
        <v>-1.422908269477885E-3</v>
      </c>
      <c r="M505" s="92">
        <f t="shared" ref="M505" si="984">WEEKDAY(A505,2)</f>
        <v>2</v>
      </c>
    </row>
    <row r="506" spans="1:13" x14ac:dyDescent="0.15">
      <c r="A506" s="90">
        <v>43110</v>
      </c>
      <c r="B506">
        <v>35.39</v>
      </c>
      <c r="C506" s="93">
        <f t="shared" ref="C506" si="985">B506/B505-1</f>
        <v>-6.457046603031924E-3</v>
      </c>
      <c r="D506" s="26">
        <f t="shared" ref="D506" si="986">+F505*(1+L506)</f>
        <v>35.514941888123133</v>
      </c>
      <c r="E506" s="26">
        <f>D506*(1-VLOOKUP(A506,FX!A:M,13,0))</f>
        <v>35.589101825701135</v>
      </c>
      <c r="F506">
        <v>35.645499999999998</v>
      </c>
      <c r="G506" s="42">
        <f t="shared" ref="G506" si="987">+B506/D506-1</f>
        <v>-3.5180090823945243E-3</v>
      </c>
      <c r="H506" s="93">
        <f>(B506/(D506*(1-VLOOKUP(A506,FX!A:M,13,0))))-1</f>
        <v>-5.5944605367183042E-3</v>
      </c>
      <c r="I506" s="93">
        <f t="shared" si="272"/>
        <v>-7.1678051928012465E-3</v>
      </c>
      <c r="J506">
        <v>1803.59</v>
      </c>
      <c r="K506">
        <v>1791.08</v>
      </c>
      <c r="L506" s="93">
        <f t="shared" ref="L506" si="988">+K506/J506-1</f>
        <v>-6.9361662018530001E-3</v>
      </c>
      <c r="M506" s="92">
        <f t="shared" ref="M506" si="989">WEEKDAY(A506,2)</f>
        <v>3</v>
      </c>
    </row>
    <row r="507" spans="1:13" x14ac:dyDescent="0.15">
      <c r="A507" s="90">
        <v>43111</v>
      </c>
      <c r="B507">
        <v>36</v>
      </c>
      <c r="C507" s="93">
        <f t="shared" ref="C507" si="990">B507/B506-1</f>
        <v>1.7236507487990993E-2</v>
      </c>
      <c r="D507" s="26">
        <f t="shared" ref="D507" si="991">+F506*(1+L507)</f>
        <v>35.90720708455234</v>
      </c>
      <c r="E507" s="26">
        <f>D507*(1-VLOOKUP(A507,FX!A:M,13,0))</f>
        <v>36.078261373902905</v>
      </c>
      <c r="G507" s="42">
        <f t="shared" ref="G507" si="992">+B507/D507-1</f>
        <v>2.584242077896981E-3</v>
      </c>
      <c r="H507" s="93">
        <f>(B507/(D507*(1-VLOOKUP(A507,FX!A:M,13,0))))-1</f>
        <v>-2.1692113456308615E-3</v>
      </c>
      <c r="J507">
        <v>1791.08</v>
      </c>
      <c r="K507">
        <v>1804.23</v>
      </c>
      <c r="L507" s="93">
        <f t="shared" ref="L507" si="993">+K507/J507-1</f>
        <v>7.3419389418676317E-3</v>
      </c>
      <c r="M507" s="92">
        <f t="shared" ref="M507" si="994">WEEKDAY(A507,2)</f>
        <v>4</v>
      </c>
    </row>
    <row r="508" spans="1:13" x14ac:dyDescent="0.15">
      <c r="A508" s="90">
        <v>43112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508"/>
  <sheetViews>
    <sheetView zoomScale="115" zoomScaleNormal="115" workbookViewId="0">
      <pane xSplit="1" ySplit="2" topLeftCell="B479" activePane="bottomRight" state="frozen"/>
      <selection pane="topRight" activeCell="B1" sqref="B1"/>
      <selection pane="bottomLeft" activeCell="A3" sqref="A3"/>
      <selection pane="bottomRight" activeCell="H507" sqref="H507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4" style="50" customWidth="1" collapsed="1"/>
    <col min="15" max="15" width="40.875" style="50" customWidth="1" collapsed="1"/>
  </cols>
  <sheetData>
    <row r="1" spans="1:14" x14ac:dyDescent="0.15">
      <c r="J1" t="s">
        <v>218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7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7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7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7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0.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7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7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7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7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0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7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7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7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7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7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7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7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1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x14ac:dyDescent="0.1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3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15">
      <c r="A406" s="1">
        <v>42969</v>
      </c>
      <c r="B406">
        <v>28.48</v>
      </c>
      <c r="C406" s="93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3">
        <f t="shared" ref="G406" si="476">+B406/D406-1</f>
        <v>-3.4896055715616381E-4</v>
      </c>
      <c r="H406" s="93">
        <f>(B406/(D406*(1-VLOOKUP(A406,FX!A:M,13,0))))-1</f>
        <v>-7.4747680987785614E-4</v>
      </c>
      <c r="I406" s="93">
        <f t="shared" si="80"/>
        <v>-5.9687448431766654E-5</v>
      </c>
      <c r="J406">
        <v>3740.9940999999999</v>
      </c>
      <c r="K406" s="92">
        <v>3752.3</v>
      </c>
      <c r="L406" s="93">
        <f t="shared" ref="L406" si="477">+K406/J406-1</f>
        <v>3.0221646166188609E-3</v>
      </c>
      <c r="M406" s="92">
        <f t="shared" ref="M406" si="478">WEEKDAY(A406,2)</f>
        <v>2</v>
      </c>
      <c r="N406" s="50" t="s">
        <v>415</v>
      </c>
    </row>
    <row r="407" spans="1:14" x14ac:dyDescent="0.15">
      <c r="A407" s="1">
        <v>42970</v>
      </c>
      <c r="B407">
        <v>28.42</v>
      </c>
      <c r="C407" s="93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3">
        <f t="shared" ref="G407" si="481">+B407/D407-1</f>
        <v>-3.1731454199500631E-3</v>
      </c>
      <c r="H407" s="93">
        <f>(B407/(D407*(1-VLOOKUP(A407,FX!A:M,13,0))))-1</f>
        <v>-3.9501606839087433E-3</v>
      </c>
      <c r="I407" s="93">
        <f t="shared" si="80"/>
        <v>-3.7473402297480973E-3</v>
      </c>
      <c r="J407">
        <v>3752.3</v>
      </c>
      <c r="K407">
        <v>3756.09</v>
      </c>
      <c r="L407" s="93">
        <f t="shared" ref="L407" si="482">+K407/J407-1</f>
        <v>1.0100471710683401E-3</v>
      </c>
      <c r="M407" s="92">
        <f t="shared" ref="M407" si="483">WEEKDAY(A407,2)</f>
        <v>3</v>
      </c>
    </row>
    <row r="408" spans="1:14" ht="27" x14ac:dyDescent="0.15">
      <c r="A408" s="1">
        <v>42971</v>
      </c>
      <c r="B408">
        <v>28.33</v>
      </c>
      <c r="C408" s="93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3">
        <f t="shared" ref="G408" si="486">+B408/D408-1</f>
        <v>-1.1999261416938412E-3</v>
      </c>
      <c r="H408" s="93">
        <f>(B408/(D408*(1-VLOOKUP(A408,FX!A:M,13,0))))-1</f>
        <v>-1.5656080135104666E-3</v>
      </c>
      <c r="I408" s="93">
        <f t="shared" si="80"/>
        <v>-1.4204996069834275E-3</v>
      </c>
      <c r="J408" s="92">
        <v>3756.09</v>
      </c>
      <c r="K408">
        <v>3734.6457999999998</v>
      </c>
      <c r="L408" s="93">
        <f t="shared" ref="L408" si="487">+K408/J408-1</f>
        <v>-5.7091816223786562E-3</v>
      </c>
      <c r="M408" s="92">
        <f t="shared" ref="M408" si="488">WEEKDAY(A408,2)</f>
        <v>4</v>
      </c>
      <c r="N408" s="50" t="s">
        <v>421</v>
      </c>
    </row>
    <row r="409" spans="1:14" x14ac:dyDescent="0.15">
      <c r="A409" s="1">
        <v>42972</v>
      </c>
      <c r="B409">
        <v>29.05</v>
      </c>
      <c r="C409" s="93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3">
        <f t="shared" ref="G409" si="491">+B409/D409-1</f>
        <v>7.4732488091222571E-3</v>
      </c>
      <c r="H409" s="93">
        <f>(B409/(D409*(1-VLOOKUP(A409,FX!A:M,13,0))))-1</f>
        <v>4.8810662506764135E-3</v>
      </c>
      <c r="I409" s="93">
        <f t="shared" si="80"/>
        <v>4.6341126020197354E-3</v>
      </c>
      <c r="J409">
        <v>3734.6457999999998</v>
      </c>
      <c r="K409">
        <v>3795.7543999999998</v>
      </c>
      <c r="L409" s="93">
        <f t="shared" ref="L409" si="492">+K409/J409-1</f>
        <v>1.6362622661565407E-2</v>
      </c>
      <c r="M409" s="92">
        <f t="shared" ref="M409" si="493">WEEKDAY(A409,2)</f>
        <v>5</v>
      </c>
    </row>
    <row r="410" spans="1:14" x14ac:dyDescent="0.15">
      <c r="A410" s="90">
        <v>42975</v>
      </c>
      <c r="B410">
        <v>29.53</v>
      </c>
      <c r="C410" s="93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3">
        <f t="shared" ref="G410" si="496">+B410/D410-1</f>
        <v>8.754557227328208E-3</v>
      </c>
      <c r="H410" s="93">
        <f>(B410/(D410*(1-VLOOKUP(A410,FX!A:M,13,0))))-1</f>
        <v>4.9680096612254587E-3</v>
      </c>
      <c r="I410" s="93">
        <f t="shared" si="80"/>
        <v>4.3363659552759781E-3</v>
      </c>
      <c r="J410">
        <v>3795.7543999999998</v>
      </c>
      <c r="K410">
        <v>3842.7118999999998</v>
      </c>
      <c r="L410" s="93">
        <f t="shared" ref="L410" si="497">+K410/J410-1</f>
        <v>1.2371058570069815E-2</v>
      </c>
      <c r="M410" s="92">
        <f t="shared" ref="M410" si="498">WEEKDAY(A410,2)</f>
        <v>1</v>
      </c>
      <c r="N410" s="50" t="s">
        <v>423</v>
      </c>
    </row>
    <row r="411" spans="1:14" x14ac:dyDescent="0.15">
      <c r="A411" s="90">
        <v>42976</v>
      </c>
      <c r="B411">
        <v>29.47</v>
      </c>
      <c r="C411" s="93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3">
        <f t="shared" ref="G411" si="501">+B411/D411-1</f>
        <v>4.4323734570610451E-3</v>
      </c>
      <c r="H411" s="93">
        <f>(B411/(D411*(1-VLOOKUP(A411,FX!A:M,13,0))))-1</f>
        <v>2.8182096226772035E-3</v>
      </c>
      <c r="I411" s="93">
        <f t="shared" si="80"/>
        <v>2.6094382053052367E-3</v>
      </c>
      <c r="J411">
        <v>3842.7118999999998</v>
      </c>
      <c r="K411">
        <v>3834.5376000000001</v>
      </c>
      <c r="L411" s="93">
        <f t="shared" ref="L411" si="502">+K411/J411-1</f>
        <v>-2.1272216634298236E-3</v>
      </c>
      <c r="M411" s="92">
        <f t="shared" ref="M411" si="503">WEEKDAY(A411,2)</f>
        <v>2</v>
      </c>
    </row>
    <row r="412" spans="1:14" x14ac:dyDescent="0.15">
      <c r="A412" s="90">
        <v>42977</v>
      </c>
      <c r="B412">
        <v>29.41</v>
      </c>
      <c r="C412" s="93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3">
        <f t="shared" ref="G412" si="506">+B412/D412-1</f>
        <v>6.300283939084661E-4</v>
      </c>
      <c r="H412" s="93">
        <f>(B412/(D412*(1-VLOOKUP(A412,FX!A:M,13,0))))-1</f>
        <v>-7.182758925822208E-4</v>
      </c>
      <c r="I412" s="93">
        <f t="shared" si="80"/>
        <v>-8.2217284655261569E-4</v>
      </c>
      <c r="J412">
        <v>3834.5376000000001</v>
      </c>
      <c r="K412">
        <v>3834.3004999999998</v>
      </c>
      <c r="L412" s="93">
        <f t="shared" ref="L412" si="507">+K412/J412-1</f>
        <v>-6.1832748751822209E-5</v>
      </c>
      <c r="M412" s="92">
        <f t="shared" ref="M412" si="508">WEEKDAY(A412,2)</f>
        <v>3</v>
      </c>
    </row>
    <row r="413" spans="1:14" x14ac:dyDescent="0.15">
      <c r="A413" s="90">
        <v>42978</v>
      </c>
      <c r="B413">
        <v>29.41</v>
      </c>
      <c r="C413" s="93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3">
        <f t="shared" ref="G413" si="511">+B413/D413-1</f>
        <v>2.3691842969841836E-3</v>
      </c>
      <c r="H413" s="93">
        <f>(B413/(D413*(1-VLOOKUP(A413,FX!A:M,13,0))))-1</f>
        <v>1.9766130408749305E-3</v>
      </c>
      <c r="I413" s="93">
        <f t="shared" si="80"/>
        <v>2.0442930153321548E-3</v>
      </c>
      <c r="J413">
        <v>3834.3004999999998</v>
      </c>
      <c r="K413">
        <v>3822.0927999999999</v>
      </c>
      <c r="L413" s="93">
        <f t="shared" ref="L413" si="512">+K413/J413-1</f>
        <v>-3.1838141011639731E-3</v>
      </c>
      <c r="M413" s="92">
        <f t="shared" ref="M413" si="513">WEEKDAY(A413,2)</f>
        <v>4</v>
      </c>
    </row>
    <row r="414" spans="1:14" x14ac:dyDescent="0.15">
      <c r="A414" s="90">
        <v>42979</v>
      </c>
      <c r="B414">
        <v>29.77</v>
      </c>
      <c r="C414" s="93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3">
        <f t="shared" ref="G414" si="516">+B414/D414-1</f>
        <v>1.207371906578758E-2</v>
      </c>
      <c r="H414" s="93">
        <f>(B414/(D414*(1-VLOOKUP(A414,FX!A:M,13,0))))-1</f>
        <v>6.4578451716745811E-3</v>
      </c>
      <c r="I414" s="93">
        <f t="shared" si="80"/>
        <v>6.3994428799858394E-3</v>
      </c>
      <c r="J414">
        <v>3822.0927999999999</v>
      </c>
      <c r="K414">
        <v>3830.5383000000002</v>
      </c>
      <c r="L414" s="93">
        <f t="shared" ref="L414" si="517">+K414/J414-1</f>
        <v>2.2096533082609504E-3</v>
      </c>
      <c r="M414" s="92">
        <f t="shared" ref="M414" si="518">WEEKDAY(A414,2)</f>
        <v>5</v>
      </c>
    </row>
    <row r="415" spans="1:14" x14ac:dyDescent="0.15">
      <c r="A415" s="90">
        <v>42982</v>
      </c>
      <c r="B415">
        <v>29.77</v>
      </c>
      <c r="C415" s="93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3">
        <f t="shared" ref="G415" si="521">+B415/D415-1</f>
        <v>2.4535237825074052E-3</v>
      </c>
      <c r="H415" s="93">
        <f>(B415/(D415*(1-VLOOKUP(A415,FX!A:M,13,0))))-1</f>
        <v>-2.2483229388059467E-3</v>
      </c>
      <c r="I415" s="93">
        <f t="shared" si="80"/>
        <v>-2.3458445040214215E-3</v>
      </c>
      <c r="J415">
        <v>3830.5383000000002</v>
      </c>
      <c r="K415">
        <v>3845.6163000000001</v>
      </c>
      <c r="L415" s="93">
        <f t="shared" ref="L415" si="522">+K415/J415-1</f>
        <v>3.9362613865523421E-3</v>
      </c>
      <c r="M415" s="92">
        <f t="shared" ref="M415" si="523">WEEKDAY(A415,2)</f>
        <v>1</v>
      </c>
    </row>
    <row r="416" spans="1:14" x14ac:dyDescent="0.15">
      <c r="A416" s="90">
        <v>42983</v>
      </c>
      <c r="B416">
        <v>29.95</v>
      </c>
      <c r="C416" s="93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3">
        <f t="shared" ref="G416" si="526">+B416/D416-1</f>
        <v>7.1196952603913566E-4</v>
      </c>
      <c r="H416" s="93">
        <f>(B416/(D416*(1-VLOOKUP(A416,FX!A:M,13,0))))-1</f>
        <v>2.3164861744859877E-3</v>
      </c>
      <c r="I416" s="93">
        <f t="shared" si="80"/>
        <v>2.0174173712013133E-3</v>
      </c>
      <c r="J416">
        <v>3845.6163000000001</v>
      </c>
      <c r="K416">
        <v>3857.0464000000002</v>
      </c>
      <c r="L416" s="93">
        <f t="shared" ref="L416" si="527">+K416/J416-1</f>
        <v>2.9722414064035085E-3</v>
      </c>
      <c r="M416" s="92">
        <f t="shared" ref="M416" si="528">WEEKDAY(A416,2)</f>
        <v>2</v>
      </c>
    </row>
    <row r="417" spans="1:14" x14ac:dyDescent="0.15">
      <c r="A417" s="90">
        <v>42984</v>
      </c>
      <c r="B417">
        <v>30</v>
      </c>
      <c r="C417" s="93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3">
        <f t="shared" ref="G417" si="531">+B417/D417-1</f>
        <v>5.6709155814496093E-3</v>
      </c>
      <c r="H417" s="93">
        <f>(B417/(D417*(1-VLOOKUP(A417,FX!A:M,13,0))))-1</f>
        <v>5.8923913961421714E-3</v>
      </c>
      <c r="I417" s="93">
        <f t="shared" si="80"/>
        <v>5.7394196213056414E-3</v>
      </c>
      <c r="J417">
        <v>3857.0464000000002</v>
      </c>
      <c r="K417">
        <v>3849.4499000000001</v>
      </c>
      <c r="L417" s="93">
        <f t="shared" ref="L417" si="532">+K417/J417-1</f>
        <v>-1.9695122153573497E-3</v>
      </c>
      <c r="M417" s="92">
        <f t="shared" ref="M417" si="533">WEEKDAY(A417,2)</f>
        <v>3</v>
      </c>
    </row>
    <row r="418" spans="1:14" x14ac:dyDescent="0.15">
      <c r="A418" s="90">
        <v>42985</v>
      </c>
      <c r="B418">
        <v>29.99</v>
      </c>
      <c r="C418" s="93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3">
        <f t="shared" ref="G418" si="536">+B418/D418-1</f>
        <v>1.0543877488658815E-2</v>
      </c>
      <c r="H418" s="93">
        <f>(B418/(D418*(1-VLOOKUP(A418,FX!A:M,13,0))))-1</f>
        <v>2.1870296960888602E-3</v>
      </c>
      <c r="I418" s="93">
        <f t="shared" si="80"/>
        <v>2.3395721925132396E-3</v>
      </c>
      <c r="J418">
        <v>3849.4499000000001</v>
      </c>
      <c r="K418">
        <v>3829.8712999999998</v>
      </c>
      <c r="L418" s="93">
        <f t="shared" ref="L418" si="537">+K418/J418-1</f>
        <v>-5.0860773639371804E-3</v>
      </c>
      <c r="M418" s="92">
        <f t="shared" ref="M418" si="538">WEEKDAY(A418,2)</f>
        <v>4</v>
      </c>
    </row>
    <row r="419" spans="1:14" x14ac:dyDescent="0.15">
      <c r="A419" s="90">
        <v>42986</v>
      </c>
      <c r="B419">
        <v>29.86</v>
      </c>
      <c r="C419" s="93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3">
        <f t="shared" ref="G419" si="541">+B419/D419-1</f>
        <v>-9.9279498681004164E-4</v>
      </c>
      <c r="H419" s="93">
        <f>(B419/(D419*(1-VLOOKUP(A419,FX!A:M,13,0))))-1</f>
        <v>8.0305780553180384E-4</v>
      </c>
      <c r="I419" s="93">
        <f t="shared" si="80"/>
        <v>1.7915495225888645E-3</v>
      </c>
      <c r="J419">
        <v>3829.8712999999998</v>
      </c>
      <c r="K419">
        <v>3825.9895000000001</v>
      </c>
      <c r="L419" s="93">
        <f t="shared" ref="L419" si="542">+K419/J419-1</f>
        <v>-1.0135588629308634E-3</v>
      </c>
      <c r="M419" s="92">
        <f t="shared" ref="M419" si="543">WEEKDAY(A419,2)</f>
        <v>5</v>
      </c>
    </row>
    <row r="420" spans="1:14" x14ac:dyDescent="0.15">
      <c r="A420" s="90">
        <v>42989</v>
      </c>
      <c r="B420">
        <v>29.78</v>
      </c>
      <c r="C420" s="93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3">
        <f t="shared" ref="G420" si="546">+B420/D420-1</f>
        <v>-8.0252834287086738E-4</v>
      </c>
      <c r="H420" s="93">
        <f>(B420/(D420*(1-VLOOKUP(A420,FX!A:M,13,0))))-1</f>
        <v>5.5218152703249146E-3</v>
      </c>
      <c r="I420" s="93">
        <f t="shared" si="80"/>
        <v>4.4895081779208201E-3</v>
      </c>
      <c r="J420">
        <v>3825.9895000000001</v>
      </c>
      <c r="K420">
        <v>3825.6453000000001</v>
      </c>
      <c r="L420" s="93">
        <f t="shared" ref="L420" si="547">+K420/J420-1</f>
        <v>-8.9963655153790789E-5</v>
      </c>
      <c r="M420" s="92">
        <f t="shared" ref="M420" si="548">WEEKDAY(A420,2)</f>
        <v>1</v>
      </c>
      <c r="N420" s="50" t="s">
        <v>438</v>
      </c>
    </row>
    <row r="421" spans="1:14" x14ac:dyDescent="0.15">
      <c r="A421" s="90">
        <v>42990</v>
      </c>
      <c r="B421">
        <v>29.85</v>
      </c>
      <c r="C421" s="93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3">
        <f t="shared" ref="G421" si="551">+B421/D421-1</f>
        <v>3.6267657319317692E-3</v>
      </c>
      <c r="H421" s="93">
        <f>(B421/(D421*(1-VLOOKUP(A421,FX!A:M,13,0))))-1</f>
        <v>3.018408266556305E-3</v>
      </c>
      <c r="I421" s="93">
        <f t="shared" si="80"/>
        <v>3.614356560477594E-3</v>
      </c>
      <c r="J421">
        <v>3825.6453000000001</v>
      </c>
      <c r="K421">
        <v>3837.9340999999999</v>
      </c>
      <c r="L421" s="93">
        <f t="shared" ref="L421" si="552">+K421/J421-1</f>
        <v>3.2122162501577733E-3</v>
      </c>
      <c r="M421" s="92">
        <f t="shared" ref="M421" si="553">WEEKDAY(A421,2)</f>
        <v>2</v>
      </c>
    </row>
    <row r="422" spans="1:14" x14ac:dyDescent="0.15">
      <c r="A422" s="90">
        <v>42991</v>
      </c>
      <c r="B422">
        <v>29.78</v>
      </c>
      <c r="C422" s="93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3">
        <f t="shared" ref="G422" si="556">+B422/D422-1</f>
        <v>4.3447586959288742E-5</v>
      </c>
      <c r="H422" s="93">
        <f>(B422/(D422*(1-VLOOKUP(A422,FX!A:M,13,0))))-1</f>
        <v>1.9596026017927315E-3</v>
      </c>
      <c r="I422" s="93">
        <f t="shared" si="80"/>
        <v>1.8401832782175553E-3</v>
      </c>
      <c r="J422">
        <v>3837.9340999999999</v>
      </c>
      <c r="K422">
        <v>3842.6061</v>
      </c>
      <c r="L422" s="93">
        <f t="shared" ref="L422" si="557">+K422/J422-1</f>
        <v>1.2173215793360725E-3</v>
      </c>
      <c r="M422" s="92">
        <f t="shared" ref="M422" si="558">WEEKDAY(A422,2)</f>
        <v>3</v>
      </c>
    </row>
    <row r="423" spans="1:14" x14ac:dyDescent="0.15">
      <c r="A423" s="90">
        <v>42992</v>
      </c>
      <c r="B423">
        <v>29.64</v>
      </c>
      <c r="C423" s="93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3">
        <f t="shared" ref="G423" si="561">+B423/D423-1</f>
        <v>4.2400531699193778E-4</v>
      </c>
      <c r="H423" s="93">
        <f>(B423/(D423*(1-VLOOKUP(A423,FX!A:M,13,0))))-1</f>
        <v>-4.1674460618967846E-4</v>
      </c>
      <c r="I423" s="93">
        <f t="shared" si="80"/>
        <v>1.0122482032604019E-4</v>
      </c>
      <c r="J423">
        <v>3842.6061</v>
      </c>
      <c r="K423">
        <v>3829.9553999999998</v>
      </c>
      <c r="L423" s="93">
        <f t="shared" ref="L423" si="562">+K423/J423-1</f>
        <v>-3.292218788701784E-3</v>
      </c>
      <c r="M423" s="92">
        <f t="shared" ref="M423" si="563">WEEKDAY(A423,2)</f>
        <v>4</v>
      </c>
      <c r="N423" s="50" t="s">
        <v>439</v>
      </c>
    </row>
    <row r="424" spans="1:14" x14ac:dyDescent="0.15">
      <c r="A424" s="90">
        <v>42993</v>
      </c>
      <c r="B424">
        <v>29.78</v>
      </c>
      <c r="C424" s="93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3">
        <f t="shared" ref="G424" si="566">+B424/D424-1</f>
        <v>4.4733226513669067E-3</v>
      </c>
      <c r="H424" s="93">
        <f>(B424/(D424*(1-VLOOKUP(A424,FX!A:M,13,0))))-1</f>
        <v>5.6285811276071129E-3</v>
      </c>
      <c r="I424" s="93">
        <f t="shared" si="80"/>
        <v>5.0488687294130141E-3</v>
      </c>
      <c r="J424">
        <v>3829.9553999999998</v>
      </c>
      <c r="K424">
        <v>3831.2964999999999</v>
      </c>
      <c r="L424" s="93">
        <f t="shared" ref="L424" si="567">+K424/J424-1</f>
        <v>3.5016073555316218E-4</v>
      </c>
      <c r="M424" s="92">
        <f t="shared" ref="M424" si="568">WEEKDAY(A424,2)</f>
        <v>5</v>
      </c>
    </row>
    <row r="425" spans="1:14" x14ac:dyDescent="0.15">
      <c r="A425" s="90">
        <v>42996</v>
      </c>
      <c r="B425">
        <v>29.7</v>
      </c>
      <c r="C425" s="93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3">
        <f t="shared" ref="G425" si="571">+B425/D425-1</f>
        <v>-7.4075272665363734E-4</v>
      </c>
      <c r="H425" s="93">
        <f>(B425/(D425*(1-VLOOKUP(A425,FX!A:M,13,0))))-1</f>
        <v>3.0002485212612395E-3</v>
      </c>
      <c r="I425" s="93">
        <f t="shared" si="80"/>
        <v>2.7110335351134829E-3</v>
      </c>
      <c r="J425">
        <v>3831.2964999999999</v>
      </c>
      <c r="K425">
        <v>3843.1428000000001</v>
      </c>
      <c r="L425" s="93">
        <f t="shared" ref="L425" si="572">+K425/J425-1</f>
        <v>3.0919820483745752E-3</v>
      </c>
      <c r="M425" s="92">
        <f t="shared" ref="M425" si="573">WEEKDAY(A425,2)</f>
        <v>1</v>
      </c>
    </row>
    <row r="426" spans="1:14" x14ac:dyDescent="0.15">
      <c r="A426" s="90">
        <v>42997</v>
      </c>
      <c r="B426">
        <v>29.47</v>
      </c>
      <c r="C426" s="93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3">
        <f t="shared" ref="G426" si="576">+B426/D426-1</f>
        <v>-2.191167409368977E-3</v>
      </c>
      <c r="H426" s="93">
        <f>(B426/(D426*(1-VLOOKUP(A426,FX!A:M,13,0))))-1</f>
        <v>-7.0949746836279637E-4</v>
      </c>
      <c r="I426" s="93">
        <f t="shared" si="80"/>
        <v>-4.0363748605076744E-4</v>
      </c>
      <c r="J426">
        <v>3843.1428000000001</v>
      </c>
      <c r="K426">
        <v>3832.1161000000002</v>
      </c>
      <c r="L426" s="93">
        <f t="shared" ref="L426" si="577">+K426/J426-1</f>
        <v>-2.8691882071100183E-3</v>
      </c>
      <c r="M426" s="92">
        <f t="shared" ref="M426" si="578">WEEKDAY(A426,2)</f>
        <v>2</v>
      </c>
    </row>
    <row r="427" spans="1:14" x14ac:dyDescent="0.15">
      <c r="A427" s="90">
        <v>42998</v>
      </c>
      <c r="B427">
        <v>29.55</v>
      </c>
      <c r="C427" s="93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3">
        <f t="shared" ref="G427" si="581">+B427/D427-1</f>
        <v>-3.8190007300131779E-4</v>
      </c>
      <c r="H427" s="93">
        <f>(B427/(D427*(1-VLOOKUP(A427,FX!A:M,13,0))))-1</f>
        <v>6.9882761713380148E-5</v>
      </c>
      <c r="I427" s="93">
        <f t="shared" si="80"/>
        <v>2.3017141000303276E-4</v>
      </c>
      <c r="J427">
        <v>3832.1161000000002</v>
      </c>
      <c r="K427">
        <v>3842.4353000000001</v>
      </c>
      <c r="L427" s="93">
        <f t="shared" ref="L427" si="582">+K427/J427-1</f>
        <v>2.6928202932055001E-3</v>
      </c>
      <c r="M427" s="92">
        <f t="shared" ref="M427" si="583">WEEKDAY(A427,2)</f>
        <v>3</v>
      </c>
    </row>
    <row r="428" spans="1:14" x14ac:dyDescent="0.15">
      <c r="A428" s="90">
        <v>42999</v>
      </c>
      <c r="B428">
        <v>29.63</v>
      </c>
      <c r="C428" s="93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3">
        <f t="shared" ref="G428" si="586">+B428/D428-1</f>
        <v>4.1448153323884185E-3</v>
      </c>
      <c r="H428" s="93">
        <f>(B428/(D428*(1-VLOOKUP(A428,FX!A:M,13,0))))-1</f>
        <v>1.3019495339987586E-3</v>
      </c>
      <c r="I428" s="93">
        <f t="shared" si="80"/>
        <v>1.3754972236583729E-3</v>
      </c>
      <c r="J428">
        <v>3842.4353000000001</v>
      </c>
      <c r="K428">
        <v>3837.8175999999999</v>
      </c>
      <c r="L428" s="93">
        <f t="shared" ref="L428" si="587">+K428/J428-1</f>
        <v>-1.2017638917694029E-3</v>
      </c>
      <c r="M428" s="92">
        <f t="shared" ref="M428" si="588">WEEKDAY(A428,2)</f>
        <v>4</v>
      </c>
    </row>
    <row r="429" spans="1:14" x14ac:dyDescent="0.15">
      <c r="A429" s="90">
        <v>43000</v>
      </c>
      <c r="B429">
        <v>29.53</v>
      </c>
      <c r="C429" s="93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3">
        <f t="shared" ref="G429" si="591">+B429/D429-1</f>
        <v>-1.9814266083780785E-3</v>
      </c>
      <c r="H429" s="93">
        <f>(B429/(D429*(1-VLOOKUP(A429,FX!A:M,13,0))))-1</f>
        <v>-2.3861785106127353E-4</v>
      </c>
      <c r="I429" s="93">
        <f t="shared" si="80"/>
        <v>-2.2683644415244508E-4</v>
      </c>
      <c r="J429">
        <v>3837.8175999999999</v>
      </c>
      <c r="K429">
        <v>3837.7303999999999</v>
      </c>
      <c r="L429" s="93">
        <f t="shared" ref="L429" si="592">+K429/J429-1</f>
        <v>-2.2721246575096998E-5</v>
      </c>
      <c r="M429" s="92">
        <f t="shared" ref="M429" si="593">WEEKDAY(A429,2)</f>
        <v>5</v>
      </c>
    </row>
    <row r="430" spans="1:14" x14ac:dyDescent="0.15">
      <c r="A430" s="90">
        <v>43003</v>
      </c>
      <c r="B430">
        <v>28.96</v>
      </c>
      <c r="C430" s="93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3">
        <f t="shared" ref="G430" si="596">+B430/D430-1</f>
        <v>-1.4404206611600134E-2</v>
      </c>
      <c r="H430" s="93">
        <f>(B430/(D430*(1-VLOOKUP(A430,FX!A:M,13,0))))-1</f>
        <v>-9.3515197642265457E-3</v>
      </c>
      <c r="I430" s="93">
        <f t="shared" si="80"/>
        <v>-9.2709794396360623E-3</v>
      </c>
      <c r="J430">
        <v>3837.7303999999999</v>
      </c>
      <c r="K430">
        <v>3817.7914999999998</v>
      </c>
      <c r="L430" s="93">
        <f t="shared" ref="L430" si="597">+K430/J430-1</f>
        <v>-5.1954926276217561E-3</v>
      </c>
      <c r="M430" s="92">
        <f t="shared" ref="M430" si="598">WEEKDAY(A430,2)</f>
        <v>1</v>
      </c>
    </row>
    <row r="431" spans="1:14" x14ac:dyDescent="0.15">
      <c r="A431" s="90">
        <v>43004</v>
      </c>
      <c r="B431">
        <v>29.04</v>
      </c>
      <c r="C431" s="93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3">
        <f t="shared" ref="G431" si="601">+B431/D431-1</f>
        <v>-7.3116339505059358E-3</v>
      </c>
      <c r="H431" s="93">
        <f>(B431/(D431*(1-VLOOKUP(A431,FX!A:M,13,0))))-1</f>
        <v>-4.9966064770848861E-3</v>
      </c>
      <c r="I431" s="93">
        <f t="shared" si="80"/>
        <v>-4.4259164663976724E-3</v>
      </c>
      <c r="J431">
        <v>3817.7914999999998</v>
      </c>
      <c r="K431">
        <v>3820.7815999999998</v>
      </c>
      <c r="L431" s="93">
        <f t="shared" ref="L431" si="602">+K431/J431-1</f>
        <v>7.8320149227639746E-4</v>
      </c>
      <c r="M431" s="92">
        <f t="shared" ref="M431" si="603">WEEKDAY(A431,2)</f>
        <v>2</v>
      </c>
      <c r="N431" s="50" t="s">
        <v>453</v>
      </c>
    </row>
    <row r="432" spans="1:14" x14ac:dyDescent="0.15">
      <c r="A432" s="90">
        <v>43005</v>
      </c>
      <c r="B432">
        <v>28.99</v>
      </c>
      <c r="C432" s="93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3">
        <f t="shared" ref="G432" si="606">+B432/D432-1</f>
        <v>-6.2488812697782947E-3</v>
      </c>
      <c r="H432" s="93">
        <f>(B432/(D432*(1-VLOOKUP(A432,FX!A:M,13,0))))-1</f>
        <v>-4.5962043227538718E-3</v>
      </c>
      <c r="I432" s="93">
        <f t="shared" si="80"/>
        <v>-5.4069631805020446E-3</v>
      </c>
      <c r="J432">
        <v>3820.7815999999998</v>
      </c>
      <c r="K432">
        <v>3821.2</v>
      </c>
      <c r="L432" s="93">
        <f t="shared" ref="L432" si="607">+K432/J432-1</f>
        <v>1.095063900014015E-4</v>
      </c>
      <c r="M432" s="92">
        <f t="shared" ref="M432" si="608">WEEKDAY(A432,2)</f>
        <v>3</v>
      </c>
    </row>
    <row r="433" spans="1:14" x14ac:dyDescent="0.15">
      <c r="A433" s="90">
        <v>43006</v>
      </c>
      <c r="B433">
        <v>28.94</v>
      </c>
      <c r="C433" s="93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3">
        <f t="shared" ref="G433" si="611">+B433/D433-1</f>
        <v>-7.4700622558612206E-3</v>
      </c>
      <c r="H433" s="93">
        <f>(B433/(D433*(1-VLOOKUP(A433,FX!A:M,13,0))))-1</f>
        <v>-5.2837319963664475E-3</v>
      </c>
      <c r="I433" s="93">
        <f t="shared" si="80"/>
        <v>-4.7355877528140189E-3</v>
      </c>
      <c r="J433">
        <v>3821.2</v>
      </c>
      <c r="K433">
        <v>3822.5385999999999</v>
      </c>
      <c r="L433" s="93">
        <f t="shared" ref="L433" si="612">+K433/J433-1</f>
        <v>3.5030880351727411E-4</v>
      </c>
      <c r="M433" s="92">
        <f t="shared" ref="M433" si="613">WEEKDAY(A433,2)</f>
        <v>4</v>
      </c>
      <c r="N433" s="50" t="s">
        <v>457</v>
      </c>
    </row>
    <row r="434" spans="1:14" x14ac:dyDescent="0.15">
      <c r="A434" s="90">
        <v>43007</v>
      </c>
      <c r="B434">
        <v>29.19</v>
      </c>
      <c r="C434" s="93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3">
        <f t="shared" ref="G434" si="616">+B434/D434-1</f>
        <v>2.0857462426726592E-4</v>
      </c>
      <c r="H434" s="93">
        <f>(B434/(D434*(1-VLOOKUP(A434,FX!A:M,13,0))))-1</f>
        <v>-6.5698361702892782E-5</v>
      </c>
      <c r="I434" s="93">
        <f t="shared" si="80"/>
        <v>-1.2557011226036474E-3</v>
      </c>
      <c r="J434">
        <v>3822.5385999999999</v>
      </c>
      <c r="K434">
        <v>3836.5012999999999</v>
      </c>
      <c r="L434" s="93">
        <f t="shared" ref="L434" si="617">+K434/J434-1</f>
        <v>3.652729628420337E-3</v>
      </c>
      <c r="M434" s="92">
        <f t="shared" ref="M434" si="618">WEEKDAY(A434,2)</f>
        <v>5</v>
      </c>
      <c r="N434" s="50" t="s">
        <v>458</v>
      </c>
    </row>
    <row r="435" spans="1:14" x14ac:dyDescent="0.15">
      <c r="A435" s="90">
        <v>43010</v>
      </c>
      <c r="B435">
        <v>29.26</v>
      </c>
      <c r="C435" s="93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3">
        <f t="shared" ref="G435" si="621">+B435/D435-1</f>
        <v>1.1393691384933291E-3</v>
      </c>
      <c r="H435" s="93">
        <f>(B435/(D435*(1-VLOOKUP(A435,FX!A:M,13,0))))-1</f>
        <v>4.2253689366116287E-3</v>
      </c>
      <c r="I435" s="93">
        <f t="shared" si="80"/>
        <v>5.4740951248595238E-3</v>
      </c>
      <c r="J435">
        <v>3836.5012999999999</v>
      </c>
      <c r="K435">
        <v>3836.5012999999999</v>
      </c>
      <c r="L435" s="93">
        <f t="shared" ref="L435" si="622">+K435/J435-1</f>
        <v>0</v>
      </c>
      <c r="M435" s="92">
        <f t="shared" ref="M435" si="623">WEEKDAY(A435,2)</f>
        <v>1</v>
      </c>
      <c r="N435" s="50" t="s">
        <v>460</v>
      </c>
    </row>
    <row r="436" spans="1:14" x14ac:dyDescent="0.15">
      <c r="A436" s="90">
        <v>43011</v>
      </c>
      <c r="B436">
        <v>29.95</v>
      </c>
      <c r="C436" s="93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3">
        <f t="shared" ref="G436" si="626">+B436/D436-1</f>
        <v>2.918486496888395E-2</v>
      </c>
      <c r="H436" s="93">
        <f>(B436/(D436*(1-VLOOKUP(A436,FX!A:M,13,0))))-1</f>
        <v>2.801646988027473E-2</v>
      </c>
      <c r="I436" s="93">
        <f t="shared" si="80"/>
        <v>2.8806584362139898E-2</v>
      </c>
      <c r="J436">
        <v>3836.5012999999999</v>
      </c>
      <c r="K436">
        <v>3836.5012999999999</v>
      </c>
      <c r="L436" s="93">
        <f t="shared" ref="L436" si="627">+K436/J436-1</f>
        <v>0</v>
      </c>
      <c r="M436" s="92">
        <f t="shared" ref="M436" si="628">WEEKDAY(A436,2)</f>
        <v>2</v>
      </c>
      <c r="N436" s="50" t="s">
        <v>463</v>
      </c>
    </row>
    <row r="437" spans="1:14" x14ac:dyDescent="0.15">
      <c r="A437" s="90">
        <v>43012</v>
      </c>
      <c r="B437">
        <v>30.03</v>
      </c>
      <c r="C437" s="93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3">
        <f t="shared" ref="G437" si="631">+B437/D437-1</f>
        <v>3.1554648694325893E-2</v>
      </c>
      <c r="H437" s="93">
        <f>(B437/(D437*(1-VLOOKUP(A437,FX!A:M,13,0))))-1</f>
        <v>2.8897744014476201E-2</v>
      </c>
      <c r="I437" s="93">
        <f t="shared" si="80"/>
        <v>2.8336615015837729E-2</v>
      </c>
      <c r="J437">
        <v>3836.5012999999999</v>
      </c>
      <c r="K437">
        <v>3836.5012999999999</v>
      </c>
      <c r="L437" s="93">
        <f t="shared" ref="L437" si="632">+K437/J437-1</f>
        <v>0</v>
      </c>
      <c r="M437" s="92">
        <f t="shared" ref="M437" si="633">WEEKDAY(A437,2)</f>
        <v>3</v>
      </c>
    </row>
    <row r="438" spans="1:14" x14ac:dyDescent="0.15">
      <c r="A438" s="90">
        <v>43013</v>
      </c>
      <c r="B438">
        <v>30.09</v>
      </c>
      <c r="C438" s="93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3">
        <f t="shared" ref="G438" si="636">+B438/D438-1</f>
        <v>3.0391233627257819E-2</v>
      </c>
      <c r="H438" s="93">
        <f>(B438/(D438*(1-VLOOKUP(A438,FX!A:M,13,0))))-1</f>
        <v>3.1236250663041032E-2</v>
      </c>
      <c r="I438" s="93">
        <f t="shared" si="80"/>
        <v>3.1143338862007042E-2</v>
      </c>
      <c r="J438">
        <v>3836.5012999999999</v>
      </c>
      <c r="K438">
        <v>3836.5012999999999</v>
      </c>
      <c r="L438" s="93">
        <f t="shared" ref="L438" si="637">+K438/J438-1</f>
        <v>0</v>
      </c>
      <c r="M438" s="92">
        <f t="shared" ref="M438" si="638">WEEKDAY(A438,2)</f>
        <v>4</v>
      </c>
      <c r="N438" s="50" t="s">
        <v>469</v>
      </c>
    </row>
    <row r="439" spans="1:14" x14ac:dyDescent="0.15">
      <c r="A439" s="90">
        <v>43014</v>
      </c>
      <c r="B439">
        <v>29.96</v>
      </c>
      <c r="C439" s="93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3">
        <f t="shared" ref="G439" si="641">+B439/D439-1</f>
        <v>2.6688415829369649E-2</v>
      </c>
      <c r="H439" s="93">
        <f>(B439/(D439*(1-VLOOKUP(A439,FX!A:M,13,0))))-1</f>
        <v>2.6316615360216344E-2</v>
      </c>
      <c r="I439" s="93">
        <f t="shared" si="80"/>
        <v>2.6392961876832821E-2</v>
      </c>
      <c r="J439">
        <v>3836.5012999999999</v>
      </c>
      <c r="K439">
        <v>3836.5012999999999</v>
      </c>
      <c r="L439" s="93">
        <f t="shared" ref="L439" si="642">+K439/J439-1</f>
        <v>0</v>
      </c>
      <c r="M439" s="92">
        <f t="shared" ref="M439" si="643">WEEKDAY(A439,2)</f>
        <v>5</v>
      </c>
      <c r="N439" s="50" t="s">
        <v>473</v>
      </c>
    </row>
    <row r="440" spans="1:14" ht="40.5" x14ac:dyDescent="0.15">
      <c r="A440" s="90">
        <v>43017</v>
      </c>
      <c r="B440">
        <v>29.77</v>
      </c>
      <c r="C440" s="93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3">
        <f t="shared" ref="G440" si="646">+B440/D440-1</f>
        <v>7.8764212416064794E-3</v>
      </c>
      <c r="H440" s="93">
        <f>(B440/(D440*(1-VLOOKUP(A440,FX!A:M,13,0))))-1</f>
        <v>2.4692226230806913E-3</v>
      </c>
      <c r="I440" s="93">
        <f t="shared" si="80"/>
        <v>1.9790516707502981E-3</v>
      </c>
      <c r="J440">
        <v>3836.5012999999999</v>
      </c>
      <c r="K440">
        <v>3882.2076000000002</v>
      </c>
      <c r="L440" s="93">
        <f t="shared" ref="L440" si="647">+K440/J440-1</f>
        <v>1.1913536950971526E-2</v>
      </c>
      <c r="M440" s="92">
        <f t="shared" ref="M440" si="648">WEEKDAY(A440,2)</f>
        <v>1</v>
      </c>
      <c r="N440" s="50" t="s">
        <v>476</v>
      </c>
    </row>
    <row r="441" spans="1:14" x14ac:dyDescent="0.15">
      <c r="A441" s="90">
        <v>43018</v>
      </c>
      <c r="B441">
        <v>30.07</v>
      </c>
      <c r="C441" s="93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3">
        <f t="shared" ref="G441" si="651">+B441/D441-1</f>
        <v>1.0084267307345351E-2</v>
      </c>
      <c r="H441" s="93">
        <f>(B441/(D441*(1-VLOOKUP(A441,FX!A:M,13,0))))-1</f>
        <v>2.6379547493302624E-3</v>
      </c>
      <c r="I441" s="93">
        <f t="shared" si="80"/>
        <v>2.2932416036691716E-3</v>
      </c>
      <c r="J441">
        <v>3882.2076000000002</v>
      </c>
      <c r="K441">
        <v>3889.8636999999999</v>
      </c>
      <c r="L441" s="93">
        <f t="shared" ref="L441" si="652">+K441/J441-1</f>
        <v>1.9720995858127921E-3</v>
      </c>
      <c r="M441" s="92">
        <f t="shared" ref="M441" si="653">WEEKDAY(A441,2)</f>
        <v>2</v>
      </c>
      <c r="N441" s="50" t="s">
        <v>480</v>
      </c>
    </row>
    <row r="442" spans="1:14" ht="27" x14ac:dyDescent="0.15">
      <c r="A442" s="90">
        <v>43019</v>
      </c>
      <c r="B442">
        <v>30.17</v>
      </c>
      <c r="C442" s="93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3">
        <f t="shared" ref="G442" si="656">+B442/D442-1</f>
        <v>2.3222439922743199E-3</v>
      </c>
      <c r="H442" s="93">
        <f>(B442/(D442*(1-VLOOKUP(A442,FX!A:M,13,0))))-1</f>
        <v>3.4348363021512451E-3</v>
      </c>
      <c r="I442" s="93">
        <f t="shared" si="80"/>
        <v>4.0067089079389717E-3</v>
      </c>
      <c r="J442">
        <v>3889.8636999999999</v>
      </c>
      <c r="K442">
        <v>3902.6867999999999</v>
      </c>
      <c r="L442" s="93">
        <f t="shared" ref="L442" si="657">+K442/J442-1</f>
        <v>3.2965422413129275E-3</v>
      </c>
      <c r="M442" s="92">
        <f t="shared" ref="M442" si="658">WEEKDAY(A442,2)</f>
        <v>3</v>
      </c>
      <c r="N442" s="50" t="s">
        <v>483</v>
      </c>
    </row>
    <row r="443" spans="1:14" x14ac:dyDescent="0.15">
      <c r="A443" s="90">
        <v>43020</v>
      </c>
      <c r="B443">
        <v>30.24</v>
      </c>
      <c r="C443" s="93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3">
        <f t="shared" ref="G443" si="661">+B443/D443-1</f>
        <v>3.6957679025493295E-3</v>
      </c>
      <c r="H443" s="93">
        <f>(B443/(D443*(1-VLOOKUP(A443,FX!A:M,13,0))))-1</f>
        <v>4.3777102507061016E-3</v>
      </c>
      <c r="I443" s="93">
        <f t="shared" si="80"/>
        <v>4.3675374063802952E-3</v>
      </c>
      <c r="J443">
        <v>3902.6867999999999</v>
      </c>
      <c r="K443">
        <v>3912.9535999999998</v>
      </c>
      <c r="L443" s="93">
        <f t="shared" ref="L443" si="662">+K443/J443-1</f>
        <v>2.63070047025038E-3</v>
      </c>
      <c r="M443" s="92">
        <f t="shared" ref="M443" si="663">WEEKDAY(A443,2)</f>
        <v>4</v>
      </c>
      <c r="N443" s="50" t="s">
        <v>488</v>
      </c>
    </row>
    <row r="444" spans="1:14" x14ac:dyDescent="0.15">
      <c r="A444" s="90">
        <v>43021</v>
      </c>
      <c r="B444">
        <v>30.39</v>
      </c>
      <c r="C444" s="93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3">
        <f t="shared" ref="G444" si="666">+B444/D444-1</f>
        <v>7.2782032551768072E-3</v>
      </c>
      <c r="H444" s="93">
        <f>(B444/(D444*(1-VLOOKUP(A444,FX!A:M,13,0))))-1</f>
        <v>5.6549116963919843E-3</v>
      </c>
      <c r="I444" s="93">
        <f t="shared" si="80"/>
        <v>5.5189390931471571E-3</v>
      </c>
      <c r="J444">
        <v>3912.9535999999998</v>
      </c>
      <c r="K444">
        <v>3921</v>
      </c>
      <c r="L444" s="93">
        <f t="shared" ref="L444" si="667">+K444/J444-1</f>
        <v>2.0563494542844563E-3</v>
      </c>
      <c r="M444" s="92">
        <f t="shared" ref="M444" si="668">WEEKDAY(A444,2)</f>
        <v>5</v>
      </c>
      <c r="N444" s="50" t="s">
        <v>496</v>
      </c>
    </row>
    <row r="445" spans="1:14" x14ac:dyDescent="0.15">
      <c r="A445" s="90">
        <v>43024</v>
      </c>
      <c r="B445">
        <v>30.19</v>
      </c>
      <c r="C445" s="93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3">
        <f t="shared" ref="G445" si="671">+B445/D445-1</f>
        <v>8.2863088243878558E-4</v>
      </c>
      <c r="H445" s="93">
        <f>(B445/(D445*(1-VLOOKUP(A445,FX!A:M,13,0))))-1</f>
        <v>3.1758255610263575E-3</v>
      </c>
      <c r="I445" s="93">
        <f t="shared" si="80"/>
        <v>3.3233632436024951E-3</v>
      </c>
      <c r="J445">
        <v>3921</v>
      </c>
      <c r="K445">
        <v>3913.45</v>
      </c>
      <c r="L445" s="93">
        <f t="shared" ref="L445" si="672">+K445/J445-1</f>
        <v>-1.9255292017342773E-3</v>
      </c>
      <c r="M445" s="92">
        <f t="shared" ref="M445" si="673">WEEKDAY(A445,2)</f>
        <v>1</v>
      </c>
      <c r="N445" s="50" t="s">
        <v>498</v>
      </c>
    </row>
    <row r="446" spans="1:14" x14ac:dyDescent="0.15">
      <c r="A446" s="90">
        <v>43025</v>
      </c>
      <c r="B446">
        <v>30.02</v>
      </c>
      <c r="C446" s="93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3">
        <f t="shared" ref="G446" si="676">+B446/D446-1</f>
        <v>-2.2294697309207523E-3</v>
      </c>
      <c r="H446" s="93">
        <f>(B446/(D446*(1-VLOOKUP(A446,FX!A:M,13,0))))-1</f>
        <v>1.3097664789598618E-3</v>
      </c>
      <c r="I446" s="93">
        <f t="shared" si="80"/>
        <v>1.6215458737329769E-3</v>
      </c>
      <c r="J446">
        <v>3913.45</v>
      </c>
      <c r="K446">
        <v>3913.07</v>
      </c>
      <c r="L446" s="93">
        <f t="shared" ref="L446" si="677">+K446/J446-1</f>
        <v>-9.7101023393553199E-5</v>
      </c>
      <c r="M446" s="92">
        <f t="shared" ref="M446" si="678">WEEKDAY(A446,2)</f>
        <v>2</v>
      </c>
    </row>
    <row r="447" spans="1:14" x14ac:dyDescent="0.15">
      <c r="A447" s="90">
        <v>43026</v>
      </c>
      <c r="B447">
        <v>30.3</v>
      </c>
      <c r="C447" s="93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3">
        <f t="shared" ref="G447" si="681">+B447/D447-1</f>
        <v>2.9948227329934518E-3</v>
      </c>
      <c r="H447" s="93">
        <f>(B447/(D447*(1-VLOOKUP(A447,FX!A:M,13,0))))-1</f>
        <v>5.0944179742409279E-3</v>
      </c>
      <c r="I447" s="93">
        <f t="shared" si="80"/>
        <v>4.8351473426588853E-3</v>
      </c>
      <c r="J447">
        <v>3913.07</v>
      </c>
      <c r="K447">
        <v>3944.16</v>
      </c>
      <c r="L447" s="93">
        <f t="shared" ref="L447" si="682">+K447/J447-1</f>
        <v>7.9451683716365018E-3</v>
      </c>
      <c r="M447" s="92">
        <f t="shared" ref="M447" si="683">WEEKDAY(A447,2)</f>
        <v>3</v>
      </c>
      <c r="N447" s="50" t="s">
        <v>507</v>
      </c>
    </row>
    <row r="448" spans="1:14" x14ac:dyDescent="0.15">
      <c r="A448" s="90">
        <v>43027</v>
      </c>
      <c r="B448">
        <v>29.97</v>
      </c>
      <c r="C448" s="93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3">
        <f t="shared" ref="G448" si="686">+B448/D448-1</f>
        <v>-2.8447193191701858E-3</v>
      </c>
      <c r="H448" s="93">
        <f>(B448/(D448*(1-VLOOKUP(A448,FX!A:M,13,0))))-1</f>
        <v>-5.0225861021357954E-3</v>
      </c>
      <c r="I448" s="93">
        <f t="shared" si="80"/>
        <v>-4.3520148832264516E-3</v>
      </c>
      <c r="J448">
        <v>3944.16</v>
      </c>
      <c r="K448">
        <v>3931.25</v>
      </c>
      <c r="L448" s="93">
        <f t="shared" ref="L448" si="687">+K448/J448-1</f>
        <v>-3.2731937852419346E-3</v>
      </c>
      <c r="M448" s="92">
        <f t="shared" ref="M448" si="688">WEEKDAY(A448,2)</f>
        <v>4</v>
      </c>
      <c r="N448" s="50" t="s">
        <v>510</v>
      </c>
    </row>
    <row r="449" spans="1:14" ht="27" x14ac:dyDescent="0.15">
      <c r="A449" s="90">
        <v>43028</v>
      </c>
      <c r="B449">
        <v>30.07</v>
      </c>
      <c r="C449" s="93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3">
        <f t="shared" ref="G449" si="691">+B449/D449-1</f>
        <v>8.9470905675792523E-5</v>
      </c>
      <c r="H449" s="93">
        <f>(B449/(D449*(1-VLOOKUP(A449,FX!A:M,13,0))))-1</f>
        <v>2.7917481761374763E-3</v>
      </c>
      <c r="I449" s="93">
        <f t="shared" si="80"/>
        <v>2.3801110718499885E-3</v>
      </c>
      <c r="J449">
        <v>3931.25</v>
      </c>
      <c r="K449">
        <v>3926.85</v>
      </c>
      <c r="L449" s="93">
        <f t="shared" ref="L449" si="692">+K449/J449-1</f>
        <v>-1.1192368839427758E-3</v>
      </c>
      <c r="M449" s="92">
        <f t="shared" ref="M449" si="693">WEEKDAY(A449,2)</f>
        <v>5</v>
      </c>
      <c r="N449" s="50" t="s">
        <v>514</v>
      </c>
    </row>
    <row r="450" spans="1:14" x14ac:dyDescent="0.15">
      <c r="A450" s="90">
        <v>43031</v>
      </c>
      <c r="B450">
        <v>29.89</v>
      </c>
      <c r="C450" s="93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3">
        <f t="shared" ref="G450" si="696">+B450/D450-1</f>
        <v>-4.621415591436584E-3</v>
      </c>
      <c r="H450" s="93">
        <f>(B450/(D450*(1-VLOOKUP(A450,FX!A:M,13,0))))-1</f>
        <v>-2.5220860170234172E-3</v>
      </c>
      <c r="I450" s="93">
        <f t="shared" si="80"/>
        <v>-2.7558503433134929E-3</v>
      </c>
      <c r="J450">
        <v>3926.85</v>
      </c>
      <c r="K450">
        <v>3930.8</v>
      </c>
      <c r="L450" s="93">
        <f t="shared" ref="L450" si="697">+K450/J450-1</f>
        <v>1.0058953104905566E-3</v>
      </c>
      <c r="M450" s="92">
        <f t="shared" ref="M450" si="698">WEEKDAY(A450,2)</f>
        <v>1</v>
      </c>
      <c r="N450" s="50" t="s">
        <v>518</v>
      </c>
    </row>
    <row r="451" spans="1:14" x14ac:dyDescent="0.15">
      <c r="A451" s="90">
        <v>43032</v>
      </c>
      <c r="B451">
        <v>30.26</v>
      </c>
      <c r="C451" s="93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3">
        <f t="shared" ref="G451" si="701">+B451/D451-1</f>
        <v>2.2961784344064373E-3</v>
      </c>
      <c r="H451" s="93">
        <f>(B451/(D451*(1-VLOOKUP(A451,FX!A:M,13,0))))-1</f>
        <v>3.0681028181707148E-3</v>
      </c>
      <c r="I451" s="93">
        <f t="shared" si="80"/>
        <v>2.8767250407646383E-3</v>
      </c>
      <c r="J451">
        <v>3930.8</v>
      </c>
      <c r="K451">
        <v>3959.4</v>
      </c>
      <c r="L451" s="93">
        <f t="shared" ref="L451" si="702">+K451/J451-1</f>
        <v>7.2758725959092274E-3</v>
      </c>
      <c r="M451" s="92">
        <f t="shared" ref="M451" si="703">WEEKDAY(A451,2)</f>
        <v>2</v>
      </c>
      <c r="N451" s="50" t="s">
        <v>520</v>
      </c>
    </row>
    <row r="452" spans="1:14" x14ac:dyDescent="0.15">
      <c r="A452" s="90">
        <v>43033</v>
      </c>
      <c r="B452">
        <v>30.29</v>
      </c>
      <c r="C452" s="93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3">
        <f t="shared" ref="G452" si="706">+B452/D452-1</f>
        <v>-5.590270420512411E-4</v>
      </c>
      <c r="H452" s="93">
        <f>(B452/(D452*(1-VLOOKUP(A452,FX!A:M,13,0))))-1</f>
        <v>-1.3320789200182981E-3</v>
      </c>
      <c r="I452" s="93">
        <f t="shared" si="80"/>
        <v>-9.6967618092713703E-4</v>
      </c>
      <c r="J452">
        <v>3959.4</v>
      </c>
      <c r="K452">
        <v>3976.95</v>
      </c>
      <c r="L452" s="93">
        <f t="shared" ref="L452" si="707">+K452/J452-1</f>
        <v>4.4324897711773836E-3</v>
      </c>
      <c r="M452" s="92">
        <f t="shared" ref="M452" si="708">WEEKDAY(A452,2)</f>
        <v>3</v>
      </c>
    </row>
    <row r="453" spans="1:14" x14ac:dyDescent="0.15">
      <c r="A453" s="90">
        <v>43034</v>
      </c>
      <c r="B453">
        <v>30.47</v>
      </c>
      <c r="C453" s="93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3">
        <f t="shared" ref="G453" si="711">+B453/D453-1</f>
        <v>7.8224926324188537E-4</v>
      </c>
      <c r="H453" s="93">
        <f>(B453/(D453*(1-VLOOKUP(A453,FX!A:M,13,0))))-1</f>
        <v>3.2194925553274967E-3</v>
      </c>
      <c r="I453" s="93">
        <f t="shared" si="80"/>
        <v>2.9426673600916331E-3</v>
      </c>
      <c r="J453">
        <v>3976.95</v>
      </c>
      <c r="K453">
        <v>3993.58</v>
      </c>
      <c r="L453" s="93">
        <f t="shared" ref="L453" si="712">+K453/J453-1</f>
        <v>4.1815964495404145E-3</v>
      </c>
      <c r="M453" s="92">
        <f t="shared" ref="M453" si="713">WEEKDAY(A453,2)</f>
        <v>4</v>
      </c>
    </row>
    <row r="454" spans="1:14" x14ac:dyDescent="0.15">
      <c r="A454" s="90">
        <v>43035</v>
      </c>
      <c r="B454">
        <v>30.79</v>
      </c>
      <c r="C454" s="93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3">
        <f t="shared" ref="G454" si="716">+B454/D454-1</f>
        <v>6.321853603355132E-3</v>
      </c>
      <c r="H454" s="93">
        <f>(B454/(D454*(1-VLOOKUP(A454,FX!A:M,13,0))))-1</f>
        <v>5.3581431689233572E-3</v>
      </c>
      <c r="I454" s="93">
        <f t="shared" si="80"/>
        <v>5.7194372674742588E-3</v>
      </c>
      <c r="J454">
        <v>3993.58</v>
      </c>
      <c r="K454">
        <v>4021.97</v>
      </c>
      <c r="L454" s="93">
        <f t="shared" ref="L454" si="717">+K454/J454-1</f>
        <v>7.1089098002292683E-3</v>
      </c>
      <c r="M454" s="92">
        <f t="shared" ref="M454" si="718">WEEKDAY(A454,2)</f>
        <v>5</v>
      </c>
      <c r="N454" s="94" t="s">
        <v>552</v>
      </c>
    </row>
    <row r="455" spans="1:14" x14ac:dyDescent="0.15">
      <c r="A455" s="90">
        <v>43038</v>
      </c>
      <c r="B455">
        <v>30.51</v>
      </c>
      <c r="C455" s="93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3">
        <f t="shared" ref="G455" si="721">+B455/D455-1</f>
        <v>-3.8182800558916874E-4</v>
      </c>
      <c r="H455" s="93">
        <f>(B455/(D455*(1-VLOOKUP(A455,FX!A:M,13,0))))-1</f>
        <v>-1.9182743364952737E-3</v>
      </c>
      <c r="I455" s="93">
        <f t="shared" si="80"/>
        <v>-1.734122959133555E-3</v>
      </c>
      <c r="J455">
        <v>4021.97</v>
      </c>
      <c r="K455">
        <v>4009.72</v>
      </c>
      <c r="L455" s="93">
        <f t="shared" ref="L455" si="722">+K455/J455-1</f>
        <v>-3.0457711022210399E-3</v>
      </c>
      <c r="M455" s="92">
        <f t="shared" ref="M455" si="723">WEEKDAY(A455,2)</f>
        <v>1</v>
      </c>
    </row>
    <row r="456" spans="1:14" x14ac:dyDescent="0.15">
      <c r="A456" s="90">
        <v>43039</v>
      </c>
      <c r="B456">
        <v>30.62</v>
      </c>
      <c r="C456" s="93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3">
        <f t="shared" ref="G456" si="726">+B456/D456-1</f>
        <v>2.615138681010043E-3</v>
      </c>
      <c r="H456" s="93">
        <f>(B456/(D456*(1-VLOOKUP(A456,FX!A:M,13,0))))-1</f>
        <v>1.9099250682628188E-3</v>
      </c>
      <c r="I456" s="93">
        <f t="shared" si="80"/>
        <v>1.7109563362636138E-3</v>
      </c>
      <c r="J456">
        <v>4009.72</v>
      </c>
      <c r="K456">
        <v>4006.72</v>
      </c>
      <c r="L456" s="93">
        <f t="shared" ref="L456" si="727">+K456/J456-1</f>
        <v>-7.4818191793946109E-4</v>
      </c>
      <c r="M456" s="92">
        <f t="shared" ref="M456" si="728">WEEKDAY(A456,2)</f>
        <v>2</v>
      </c>
      <c r="N456" s="50" t="s">
        <v>553</v>
      </c>
    </row>
    <row r="457" spans="1:14" x14ac:dyDescent="0.15">
      <c r="A457" s="90">
        <v>43040</v>
      </c>
      <c r="B457">
        <v>30.67</v>
      </c>
      <c r="C457" s="93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3">
        <f t="shared" ref="G457" si="731">+B457/D457-1</f>
        <v>5.8822627682444395E-3</v>
      </c>
      <c r="H457" s="93">
        <f>(B457/(D457*(1-VLOOKUP(A457,FX!A:M,13,0))))-1</f>
        <v>2.315450957804277E-3</v>
      </c>
      <c r="I457" s="93">
        <f t="shared" si="80"/>
        <v>2.2974081445243932E-3</v>
      </c>
      <c r="J457">
        <v>4006.72</v>
      </c>
      <c r="K457">
        <v>3996.62</v>
      </c>
      <c r="L457" s="93">
        <f t="shared" ref="L457" si="732">+K457/J457-1</f>
        <v>-2.520765114607415E-3</v>
      </c>
      <c r="M457" s="92">
        <f t="shared" ref="M457" si="733">WEEKDAY(A457,2)</f>
        <v>3</v>
      </c>
    </row>
    <row r="458" spans="1:14" x14ac:dyDescent="0.15">
      <c r="A458" s="90">
        <v>43041</v>
      </c>
      <c r="B458">
        <v>30.59</v>
      </c>
      <c r="C458" s="93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3">
        <f t="shared" ref="G458" si="736">+B458/D458-1</f>
        <v>-4.4454767271373541E-4</v>
      </c>
      <c r="H458" s="93">
        <f>(B458/(D458*(1-VLOOKUP(A458,FX!A:M,13,0))))-1</f>
        <v>-7.3187141916053466E-4</v>
      </c>
      <c r="I458" s="93">
        <f t="shared" si="80"/>
        <v>-6.2399743867025403E-4</v>
      </c>
      <c r="J458">
        <v>3996.62</v>
      </c>
      <c r="K458">
        <v>3997.13</v>
      </c>
      <c r="L458" s="93">
        <f t="shared" ref="L458" si="737">+K458/J458-1</f>
        <v>1.2760782861520603E-4</v>
      </c>
      <c r="M458" s="92">
        <f t="shared" ref="M458" si="738">WEEKDAY(A458,2)</f>
        <v>4</v>
      </c>
    </row>
    <row r="459" spans="1:14" ht="27" x14ac:dyDescent="0.15">
      <c r="A459" s="90">
        <v>43042</v>
      </c>
      <c r="B459">
        <v>30.42</v>
      </c>
      <c r="C459" s="93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3">
        <f t="shared" ref="G459" si="741">+B459/D459-1</f>
        <v>-5.0752309954175123E-3</v>
      </c>
      <c r="H459" s="93">
        <f>(B459/(D459*(1-VLOOKUP(A459,FX!A:M,13,0))))-1</f>
        <v>-5.4202748223430852E-4</v>
      </c>
      <c r="I459" s="93">
        <f t="shared" si="80"/>
        <v>-3.7461306413766327E-4</v>
      </c>
      <c r="J459">
        <v>3997.13</v>
      </c>
      <c r="K459">
        <v>3992.7</v>
      </c>
      <c r="L459" s="93">
        <f t="shared" ref="L459" si="742">+K459/J459-1</f>
        <v>-1.10829520180733E-3</v>
      </c>
      <c r="M459" s="92">
        <f t="shared" ref="M459" si="743">WEEKDAY(A459,2)</f>
        <v>5</v>
      </c>
      <c r="N459" s="50" t="s">
        <v>554</v>
      </c>
    </row>
    <row r="460" spans="1:14" x14ac:dyDescent="0.15">
      <c r="A460" s="90">
        <v>43045</v>
      </c>
      <c r="B460">
        <v>30.83</v>
      </c>
      <c r="C460" s="93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3">
        <f t="shared" ref="G460" si="746">+B460/D460-1</f>
        <v>5.9955965029514502E-3</v>
      </c>
      <c r="H460" s="93">
        <f>(B460/(D460*(1-VLOOKUP(A460,FX!A:M,13,0))))-1</f>
        <v>4.0217676262097601E-3</v>
      </c>
      <c r="I460" s="93">
        <f t="shared" si="80"/>
        <v>4.2247144164715422E-3</v>
      </c>
      <c r="J460">
        <v>3992.7</v>
      </c>
      <c r="K460">
        <v>4020.89</v>
      </c>
      <c r="L460" s="93">
        <f t="shared" ref="L460" si="747">+K460/J460-1</f>
        <v>7.0603852029955672E-3</v>
      </c>
      <c r="M460" s="92">
        <f t="shared" ref="M460" si="748">WEEKDAY(A460,2)</f>
        <v>1</v>
      </c>
      <c r="N460" s="50" t="s">
        <v>559</v>
      </c>
    </row>
    <row r="461" spans="1:14" x14ac:dyDescent="0.15">
      <c r="A461" s="90">
        <v>43046</v>
      </c>
      <c r="B461">
        <v>31</v>
      </c>
      <c r="C461" s="93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3">
        <f t="shared" ref="G461" si="751">+B461/D461-1</f>
        <v>1.4533906473044311E-3</v>
      </c>
      <c r="H461" s="93">
        <f>(B461/(D461*(1-VLOOKUP(A461,FX!A:M,13,0))))-1</f>
        <v>4.2898831117232916E-3</v>
      </c>
      <c r="I461" s="93">
        <f t="shared" si="80"/>
        <v>4.0713473665798805E-3</v>
      </c>
      <c r="J461">
        <v>4020.89</v>
      </c>
      <c r="K461">
        <v>4054.25</v>
      </c>
      <c r="L461" s="93">
        <f t="shared" ref="L461" si="752">+K461/J461-1</f>
        <v>8.2966706375950938E-3</v>
      </c>
      <c r="M461" s="92">
        <f t="shared" ref="M461" si="753">WEEKDAY(A461,2)</f>
        <v>2</v>
      </c>
    </row>
    <row r="462" spans="1:14" x14ac:dyDescent="0.15">
      <c r="A462" s="90">
        <v>43047</v>
      </c>
      <c r="B462">
        <v>30.86</v>
      </c>
      <c r="C462" s="93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3">
        <f t="shared" ref="G462" si="756">+B462/D462-1</f>
        <v>1.0776157992813395E-3</v>
      </c>
      <c r="H462" s="93">
        <f>(B462/(D462*(1-VLOOKUP(A462,FX!A:M,13,0))))-1</f>
        <v>-5.5844047679387554E-4</v>
      </c>
      <c r="I462" s="93">
        <f t="shared" si="80"/>
        <v>-4.4050580431176378E-4</v>
      </c>
      <c r="J462">
        <v>4054.25</v>
      </c>
      <c r="K462">
        <v>4048.01</v>
      </c>
      <c r="L462" s="93">
        <f t="shared" ref="L462" si="757">+K462/J462-1</f>
        <v>-1.5391256089288818E-3</v>
      </c>
      <c r="M462" s="92">
        <f t="shared" ref="M462" si="758">WEEKDAY(A462,2)</f>
        <v>3</v>
      </c>
    </row>
    <row r="463" spans="1:14" x14ac:dyDescent="0.15">
      <c r="A463" s="90">
        <v>43048</v>
      </c>
      <c r="B463">
        <v>30.98</v>
      </c>
      <c r="C463" s="93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3">
        <f t="shared" ref="G463" si="761">+B463/D463-1</f>
        <v>-3.4199323307689822E-3</v>
      </c>
      <c r="H463" s="93">
        <f>(B463/(D463*(1-VLOOKUP(A463,FX!A:M,13,0))))-1</f>
        <v>-8.7784309622329637E-4</v>
      </c>
      <c r="I463" s="93">
        <f t="shared" si="80"/>
        <v>-1.1027206892326724E-3</v>
      </c>
      <c r="J463">
        <v>4048.01</v>
      </c>
      <c r="K463">
        <v>4075.9</v>
      </c>
      <c r="L463" s="93">
        <f t="shared" ref="L463" si="762">+K463/J463-1</f>
        <v>6.8898051141177419E-3</v>
      </c>
      <c r="M463" s="92">
        <f t="shared" ref="M463" si="763">WEEKDAY(A463,2)</f>
        <v>4</v>
      </c>
      <c r="N463" s="50" t="s">
        <v>569</v>
      </c>
    </row>
    <row r="464" spans="1:14" x14ac:dyDescent="0.15">
      <c r="A464" s="90">
        <v>43049</v>
      </c>
      <c r="B464">
        <v>31.39</v>
      </c>
      <c r="C464" s="93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3">
        <f t="shared" ref="G464" si="766">+B464/D464-1</f>
        <v>3.2534281273741694E-3</v>
      </c>
      <c r="H464" s="93">
        <f>(B464/(D464*(1-VLOOKUP(A464,FX!A:M,13,0))))-1</f>
        <v>5.0431186600401468E-3</v>
      </c>
      <c r="I464" s="93">
        <f t="shared" ref="I464:I506" si="767">+B464/F464-1</f>
        <v>4.9720343079973084E-3</v>
      </c>
      <c r="J464">
        <v>4075.9</v>
      </c>
      <c r="K464">
        <v>4111.91</v>
      </c>
      <c r="L464" s="93">
        <f t="shared" ref="L464" si="768">+K464/J464-1</f>
        <v>8.834858558845804E-3</v>
      </c>
      <c r="M464" s="92">
        <f t="shared" ref="M464" si="769">WEEKDAY(A464,2)</f>
        <v>5</v>
      </c>
      <c r="N464" s="50" t="s">
        <v>571</v>
      </c>
    </row>
    <row r="465" spans="1:14" x14ac:dyDescent="0.15">
      <c r="A465" s="90">
        <v>43052</v>
      </c>
      <c r="B465">
        <v>31.48</v>
      </c>
      <c r="C465" s="93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3">
        <f t="shared" ref="G465" si="772">+B465/D465-1</f>
        <v>3.9080391616310717E-3</v>
      </c>
      <c r="H465" s="93">
        <f>(B465/(D465*(1-VLOOKUP(A465,FX!A:M,13,0))))-1</f>
        <v>3.1117790567583015E-3</v>
      </c>
      <c r="I465" s="93">
        <f t="shared" si="767"/>
        <v>3.1196127728865264E-3</v>
      </c>
      <c r="J465">
        <v>4111.91</v>
      </c>
      <c r="K465">
        <v>4128.07</v>
      </c>
      <c r="L465" s="93">
        <f t="shared" ref="L465" si="773">+K465/J465-1</f>
        <v>3.93004710706224E-3</v>
      </c>
      <c r="M465" s="92">
        <f t="shared" ref="M465" si="774">WEEKDAY(A465,2)</f>
        <v>1</v>
      </c>
      <c r="N465" s="50" t="s">
        <v>575</v>
      </c>
    </row>
    <row r="466" spans="1:14" x14ac:dyDescent="0.15">
      <c r="A466" s="90">
        <v>43053</v>
      </c>
      <c r="B466">
        <v>31.19</v>
      </c>
      <c r="C466" s="93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3">
        <f t="shared" ref="G466" si="777">+B466/D466-1</f>
        <v>8.4177888819003677E-4</v>
      </c>
      <c r="H466" s="93">
        <f>(B466/(D466*(1-VLOOKUP(A466,FX!A:M,13,0))))-1</f>
        <v>-1.9274470878465344E-3</v>
      </c>
      <c r="I466" s="93">
        <f t="shared" si="767"/>
        <v>-1.7858400168981881E-3</v>
      </c>
      <c r="J466">
        <v>4128.07</v>
      </c>
      <c r="K466">
        <v>4099.3500000000004</v>
      </c>
      <c r="L466" s="93">
        <f t="shared" ref="L466" si="778">+K466/J466-1</f>
        <v>-6.9572463645236615E-3</v>
      </c>
      <c r="M466" s="92">
        <f t="shared" ref="M466" si="779">WEEKDAY(A466,2)</f>
        <v>2</v>
      </c>
      <c r="N466" s="50" t="s">
        <v>580</v>
      </c>
    </row>
    <row r="467" spans="1:14" x14ac:dyDescent="0.15">
      <c r="A467" s="90">
        <v>43054</v>
      </c>
      <c r="B467">
        <v>30.95</v>
      </c>
      <c r="C467" s="93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3">
        <f t="shared" ref="G467" si="782">+B467/D467-1</f>
        <v>-3.2226525855830745E-3</v>
      </c>
      <c r="H467" s="93">
        <f>(B467/(D467*(1-VLOOKUP(A467,FX!A:M,13,0))))-1</f>
        <v>-3.7429193122893167E-3</v>
      </c>
      <c r="I467" s="93">
        <f t="shared" si="767"/>
        <v>-3.477364930130733E-3</v>
      </c>
      <c r="J467">
        <v>4099.3500000000004</v>
      </c>
      <c r="K467">
        <v>4073.67</v>
      </c>
      <c r="L467" s="93">
        <f t="shared" ref="L467" si="783">+K467/J467-1</f>
        <v>-6.2644077719639091E-3</v>
      </c>
      <c r="M467" s="92">
        <f t="shared" ref="M467" si="784">WEEKDAY(A467,2)</f>
        <v>3</v>
      </c>
      <c r="N467" s="50" t="s">
        <v>583</v>
      </c>
    </row>
    <row r="468" spans="1:14" x14ac:dyDescent="0.15">
      <c r="A468" s="90">
        <v>43055</v>
      </c>
      <c r="B468">
        <v>31.43</v>
      </c>
      <c r="C468" s="93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3">
        <f t="shared" ref="G468" si="787">+B468/D468-1</f>
        <v>4.2515731601329154E-3</v>
      </c>
      <c r="H468" s="93">
        <f>(B468/(D468*(1-VLOOKUP(A468,FX!A:M,13,0))))-1</f>
        <v>4.2001006789444961E-3</v>
      </c>
      <c r="I468" s="93">
        <f t="shared" si="767"/>
        <v>4.1148582162984226E-3</v>
      </c>
      <c r="J468">
        <v>4073.67</v>
      </c>
      <c r="K468">
        <v>4105.01</v>
      </c>
      <c r="L468" s="93">
        <f t="shared" ref="L468" si="788">+K468/J468-1</f>
        <v>7.693308490869466E-3</v>
      </c>
      <c r="M468" s="92">
        <f t="shared" ref="M468" si="789">WEEKDAY(A468,2)</f>
        <v>4</v>
      </c>
      <c r="N468" s="50" t="s">
        <v>584</v>
      </c>
    </row>
    <row r="469" spans="1:14" x14ac:dyDescent="0.15">
      <c r="A469" s="90">
        <v>43056</v>
      </c>
      <c r="B469">
        <v>31.38</v>
      </c>
      <c r="C469" s="93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3">
        <f t="shared" ref="G469" si="792">+B469/D469-1</f>
        <v>-1.3360686358744323E-3</v>
      </c>
      <c r="H469" s="93">
        <f>(B469/(D469*(1-VLOOKUP(A469,FX!A:M,13,0))))-1</f>
        <v>-7.7131311876899034E-4</v>
      </c>
      <c r="I469" s="93">
        <f t="shared" si="767"/>
        <v>-1.9116803670427007E-4</v>
      </c>
      <c r="J469">
        <v>4105.01</v>
      </c>
      <c r="K469">
        <v>4120.8500000000004</v>
      </c>
      <c r="L469" s="93">
        <f t="shared" ref="L469" si="793">+K469/J469-1</f>
        <v>3.8586994915967843E-3</v>
      </c>
      <c r="M469" s="92">
        <f t="shared" ref="M469" si="794">WEEKDAY(A469,2)</f>
        <v>5</v>
      </c>
    </row>
    <row r="470" spans="1:14" x14ac:dyDescent="0.15">
      <c r="A470" s="90">
        <v>43059</v>
      </c>
      <c r="B470">
        <v>31.59</v>
      </c>
      <c r="C470" s="93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3">
        <f t="shared" ref="G470" si="797">+B470/D470-1</f>
        <v>9.1807418204759017E-4</v>
      </c>
      <c r="H470" s="93">
        <f>(B470/(D470*(1-VLOOKUP(A470,FX!A:M,13,0))))-1</f>
        <v>2.4651071766967902E-3</v>
      </c>
      <c r="I470" s="93">
        <f t="shared" si="767"/>
        <v>2.080927789267939E-3</v>
      </c>
      <c r="J470">
        <v>4120.8500000000004</v>
      </c>
      <c r="K470">
        <v>4143.83</v>
      </c>
      <c r="L470" s="93">
        <f t="shared" ref="L470" si="798">+K470/J470-1</f>
        <v>5.5765194074037794E-3</v>
      </c>
      <c r="M470" s="92">
        <f t="shared" ref="M470" si="799">WEEKDAY(A470,2)</f>
        <v>1</v>
      </c>
    </row>
    <row r="471" spans="1:14" x14ac:dyDescent="0.15">
      <c r="A471" s="90">
        <v>43060</v>
      </c>
      <c r="B471">
        <v>32.450000000000003</v>
      </c>
      <c r="C471" s="93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3">
        <f t="shared" ref="G471" si="802">+B471/D471-1</f>
        <v>1.1332854885537147E-2</v>
      </c>
      <c r="H471" s="93">
        <f>(B471/(D471*(1-VLOOKUP(A471,FX!A:M,13,0))))-1</f>
        <v>8.2891596990148919E-3</v>
      </c>
      <c r="I471" s="93">
        <f t="shared" si="767"/>
        <v>8.1647362926879907E-3</v>
      </c>
      <c r="J471">
        <v>4143.83</v>
      </c>
      <c r="K471">
        <v>4217.7</v>
      </c>
      <c r="L471" s="93">
        <f t="shared" ref="L471" si="803">+K471/J471-1</f>
        <v>1.7826503500384838E-2</v>
      </c>
      <c r="M471" s="92">
        <f t="shared" ref="M471" si="804">WEEKDAY(A471,2)</f>
        <v>2</v>
      </c>
      <c r="N471" s="50" t="s">
        <v>589</v>
      </c>
    </row>
    <row r="472" spans="1:14" x14ac:dyDescent="0.15">
      <c r="A472" s="90">
        <v>43061</v>
      </c>
      <c r="B472">
        <v>32.450000000000003</v>
      </c>
      <c r="C472" s="93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3">
        <f t="shared" ref="G472" si="807">+B472/D472-1</f>
        <v>5.8109997614870235E-3</v>
      </c>
      <c r="H472" s="93">
        <f>(B472/(D472*(1-VLOOKUP(A472,FX!A:M,13,0))))-1</f>
        <v>1.5725338585659276E-3</v>
      </c>
      <c r="I472" s="93">
        <f t="shared" si="767"/>
        <v>1.6421374950612577E-3</v>
      </c>
      <c r="J472">
        <v>4217.7</v>
      </c>
      <c r="K472">
        <v>4227.57</v>
      </c>
      <c r="L472" s="93">
        <f t="shared" ref="L472" si="808">+K472/J472-1</f>
        <v>2.3401379898997376E-3</v>
      </c>
      <c r="M472" s="92">
        <f t="shared" ref="M472" si="809">WEEKDAY(A472,2)</f>
        <v>3</v>
      </c>
      <c r="N472" s="50" t="s">
        <v>592</v>
      </c>
    </row>
    <row r="473" spans="1:14" x14ac:dyDescent="0.15">
      <c r="A473" s="90">
        <v>43062</v>
      </c>
      <c r="B473">
        <v>32.42</v>
      </c>
      <c r="C473" s="93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3">
        <f t="shared" ref="G473" si="812">+B473/D473-1</f>
        <v>3.1249377899787545E-2</v>
      </c>
      <c r="H473" s="93">
        <f>(B473/(D473*(1-VLOOKUP(A473,FX!A:M,13,0))))-1</f>
        <v>2.8138771860736211E-2</v>
      </c>
      <c r="I473" s="93">
        <f t="shared" si="767"/>
        <v>2.8227085315572387E-2</v>
      </c>
      <c r="J473">
        <v>4227.57</v>
      </c>
      <c r="K473">
        <v>4102.3999999999996</v>
      </c>
      <c r="L473" s="93">
        <f t="shared" ref="L473" si="813">+K473/J473-1</f>
        <v>-2.9608025414126771E-2</v>
      </c>
      <c r="M473" s="92">
        <f t="shared" ref="M473" si="814">WEEKDAY(A473,2)</f>
        <v>4</v>
      </c>
      <c r="N473" s="50" t="s">
        <v>594</v>
      </c>
    </row>
    <row r="474" spans="1:14" x14ac:dyDescent="0.15">
      <c r="A474" s="90">
        <v>43063</v>
      </c>
      <c r="B474">
        <v>31.53</v>
      </c>
      <c r="C474" s="93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3">
        <f t="shared" ref="G474" si="817">+B474/D474-1</f>
        <v>-4.3857511817169126E-4</v>
      </c>
      <c r="H474" s="93">
        <f>(B474/(D474*(1-VLOOKUP(A474,FX!A:M,13,0))))-1</f>
        <v>9.5863805003304492E-4</v>
      </c>
      <c r="I474" s="93">
        <f t="shared" si="767"/>
        <v>1.9161288477489435E-3</v>
      </c>
      <c r="J474">
        <v>4102.3999999999996</v>
      </c>
      <c r="K474">
        <v>4104.2</v>
      </c>
      <c r="L474" s="93">
        <f t="shared" ref="L474" si="818">+K474/J474-1</f>
        <v>4.3876755070204609E-4</v>
      </c>
      <c r="M474" s="92">
        <f t="shared" ref="M474" si="819">WEEKDAY(A474,2)</f>
        <v>5</v>
      </c>
      <c r="N474" s="50" t="s">
        <v>601</v>
      </c>
    </row>
    <row r="475" spans="1:14" x14ac:dyDescent="0.15">
      <c r="A475" s="90">
        <v>43066</v>
      </c>
      <c r="B475">
        <v>31.02</v>
      </c>
      <c r="C475" s="93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3">
        <f t="shared" ref="G475" si="822">+B475/D475-1</f>
        <v>-1.0861258705778809E-3</v>
      </c>
      <c r="H475" s="93">
        <f>(B475/(D475*(1-VLOOKUP(A475,FX!A:M,13,0))))-1</f>
        <v>-4.7748641688216686E-5</v>
      </c>
      <c r="I475" s="93">
        <f t="shared" si="767"/>
        <v>3.8686216101257997E-5</v>
      </c>
      <c r="J475">
        <v>4104.2</v>
      </c>
      <c r="K475">
        <v>4049.95</v>
      </c>
      <c r="L475" s="93">
        <f t="shared" ref="L475" si="823">+K475/J475-1</f>
        <v>-1.3218166756006067E-2</v>
      </c>
      <c r="M475" s="92">
        <f t="shared" ref="M475" si="824">WEEKDAY(A475,2)</f>
        <v>1</v>
      </c>
    </row>
    <row r="476" spans="1:14" x14ac:dyDescent="0.15">
      <c r="A476" s="90">
        <v>43067</v>
      </c>
      <c r="B476">
        <v>31.13</v>
      </c>
      <c r="C476" s="93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3">
        <f t="shared" ref="G476" si="827">+B476/D476-1</f>
        <v>2.132431334883389E-3</v>
      </c>
      <c r="H476" s="93">
        <f>(B476/(D476*(1-VLOOKUP(A476,FX!A:M,13,0))))-1</f>
        <v>4.1409489011066114E-3</v>
      </c>
      <c r="I476" s="93">
        <f t="shared" si="767"/>
        <v>3.8502963502802245E-3</v>
      </c>
      <c r="J476">
        <v>4049.95</v>
      </c>
      <c r="K476">
        <v>4055.82</v>
      </c>
      <c r="L476" s="93">
        <f t="shared" ref="L476" si="828">+K476/J476-1</f>
        <v>1.4494006098841883E-3</v>
      </c>
      <c r="M476" s="92">
        <f t="shared" ref="M476" si="829">WEEKDAY(A476,2)</f>
        <v>2</v>
      </c>
    </row>
    <row r="477" spans="1:14" x14ac:dyDescent="0.15">
      <c r="A477" s="90">
        <v>43068</v>
      </c>
      <c r="B477">
        <v>30.78</v>
      </c>
      <c r="C477" s="93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3">
        <f t="shared" ref="G477" si="832">+B477/D477-1</f>
        <v>-6.9293258818432513E-3</v>
      </c>
      <c r="H477" s="93">
        <f>(B477/(D477*(1-VLOOKUP(A477,FX!A:M,13,0))))-1</f>
        <v>-6.3257860335785843E-3</v>
      </c>
      <c r="I477" s="93">
        <f t="shared" si="767"/>
        <v>-6.4397424103036505E-3</v>
      </c>
      <c r="J477">
        <v>4055.82</v>
      </c>
      <c r="K477">
        <v>4053.75</v>
      </c>
      <c r="L477" s="93">
        <f t="shared" ref="L477" si="833">+K477/J477-1</f>
        <v>-5.1037767948280965E-4</v>
      </c>
      <c r="M477" s="92">
        <f t="shared" ref="M477" si="834">WEEKDAY(A477,2)</f>
        <v>3</v>
      </c>
    </row>
    <row r="478" spans="1:14" x14ac:dyDescent="0.15">
      <c r="A478" s="90">
        <v>43069</v>
      </c>
      <c r="B478">
        <v>30.56</v>
      </c>
      <c r="C478" s="93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3">
        <f t="shared" ref="G478" si="837">+B478/D478-1</f>
        <v>-1.8079157121539957E-3</v>
      </c>
      <c r="H478" s="93">
        <f>(B478/(D478*(1-VLOOKUP(A478,FX!A:M,13,0))))-1</f>
        <v>-1.878863856420443E-3</v>
      </c>
      <c r="I478" s="93">
        <f t="shared" si="767"/>
        <v>-1.6823742711072898E-3</v>
      </c>
      <c r="J478">
        <v>4053.75</v>
      </c>
      <c r="K478">
        <v>4006.1</v>
      </c>
      <c r="L478" s="93">
        <f t="shared" ref="L478" si="838">+K478/J478-1</f>
        <v>-1.1754548257785991E-2</v>
      </c>
      <c r="M478" s="92">
        <f t="shared" ref="M478" si="839">WEEKDAY(A478,2)</f>
        <v>4</v>
      </c>
    </row>
    <row r="479" spans="1:14" ht="27" x14ac:dyDescent="0.15">
      <c r="A479" s="90">
        <v>43070</v>
      </c>
      <c r="B479">
        <v>30.24</v>
      </c>
      <c r="C479" s="93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3">
        <f t="shared" ref="G479" si="842">+B479/D479-1</f>
        <v>-1.0169197994154056E-2</v>
      </c>
      <c r="H479" s="93">
        <f>(B479/(D479*(1-VLOOKUP(A479,FX!A:M,13,0))))-1</f>
        <v>-1.271688981643071E-2</v>
      </c>
      <c r="I479" s="93">
        <f t="shared" si="767"/>
        <v>-1.2813188606871861E-2</v>
      </c>
      <c r="J479">
        <v>4006.1</v>
      </c>
      <c r="K479">
        <v>3998.14</v>
      </c>
      <c r="L479" s="93">
        <f t="shared" ref="L479" si="843">+K479/J479-1</f>
        <v>-1.9869698709468198E-3</v>
      </c>
      <c r="M479" s="92">
        <f t="shared" ref="M479" si="844">WEEKDAY(A479,2)</f>
        <v>5</v>
      </c>
      <c r="N479" s="50" t="s">
        <v>609</v>
      </c>
    </row>
    <row r="480" spans="1:14" x14ac:dyDescent="0.15">
      <c r="A480" s="90">
        <v>43073</v>
      </c>
      <c r="B480">
        <v>30.53</v>
      </c>
      <c r="C480" s="93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3">
        <f t="shared" ref="G480" si="847">+B480/D480-1</f>
        <v>-8.4845586780682991E-3</v>
      </c>
      <c r="H480" s="93">
        <f>(B480/(D480*(1-VLOOKUP(A480,FX!A:M,13,0))))-1</f>
        <v>-5.2143808468809727E-3</v>
      </c>
      <c r="I480" s="93">
        <f t="shared" si="767"/>
        <v>-5.1291409503574359E-3</v>
      </c>
      <c r="J480">
        <v>3998.14</v>
      </c>
      <c r="K480">
        <v>4018.86</v>
      </c>
      <c r="L480" s="93">
        <f t="shared" ref="L480" si="848">+K480/J480-1</f>
        <v>5.1824098205666136E-3</v>
      </c>
      <c r="M480" s="92">
        <f t="shared" ref="M480" si="849">WEEKDAY(A480,2)</f>
        <v>1</v>
      </c>
    </row>
    <row r="481" spans="1:14" x14ac:dyDescent="0.15">
      <c r="A481" s="90">
        <v>43074</v>
      </c>
      <c r="B481">
        <v>30.76</v>
      </c>
      <c r="C481" s="93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3">
        <f t="shared" ref="G481" si="852">+B481/D481-1</f>
        <v>-2.9212171450198055E-3</v>
      </c>
      <c r="H481" s="93">
        <f>(B481/(D481*(1-VLOOKUP(A481,FX!A:M,13,0))))-1</f>
        <v>-2.8443599039946754E-3</v>
      </c>
      <c r="I481" s="93">
        <f t="shared" si="767"/>
        <v>-2.1183897642520488E-3</v>
      </c>
      <c r="J481">
        <v>4018.86</v>
      </c>
      <c r="K481">
        <v>4040.17</v>
      </c>
      <c r="L481" s="93">
        <f t="shared" ref="L481" si="853">+K481/J481-1</f>
        <v>5.302498718542159E-3</v>
      </c>
      <c r="M481" s="92">
        <f t="shared" ref="M481" si="854">WEEKDAY(A481,2)</f>
        <v>2</v>
      </c>
    </row>
    <row r="482" spans="1:14" x14ac:dyDescent="0.15">
      <c r="A482" s="90">
        <v>43075</v>
      </c>
      <c r="B482">
        <v>30.4</v>
      </c>
      <c r="C482" s="93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93">
        <f t="shared" ref="G482" si="857">+B482/D482-1</f>
        <v>-7.817248461177817E-3</v>
      </c>
      <c r="H482" s="93">
        <f>(B482/(D482*(1-VLOOKUP(A482,FX!A:M,13,0))))-1</f>
        <v>-7.5525635178175232E-3</v>
      </c>
      <c r="I482" s="93">
        <f t="shared" si="767"/>
        <v>-7.4830553850574466E-3</v>
      </c>
      <c r="J482">
        <v>4040.17</v>
      </c>
      <c r="K482">
        <v>4015.82</v>
      </c>
      <c r="L482" s="93">
        <f t="shared" ref="L482" si="858">+K482/J482-1</f>
        <v>-6.0269741124754361E-3</v>
      </c>
      <c r="M482" s="92">
        <f t="shared" ref="M482" si="859">WEEKDAY(A482,2)</f>
        <v>3</v>
      </c>
    </row>
    <row r="483" spans="1:14" x14ac:dyDescent="0.15">
      <c r="A483" s="90">
        <v>43076</v>
      </c>
      <c r="B483">
        <v>30.13</v>
      </c>
      <c r="C483" s="93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93">
        <f t="shared" ref="G483" si="862">+B483/D483-1</f>
        <v>-5.2103289896527905E-3</v>
      </c>
      <c r="H483" s="93">
        <f>(B483/(D483*(1-VLOOKUP(A483,FX!A:M,13,0))))-1</f>
        <v>-4.5676016443745304E-3</v>
      </c>
      <c r="I483" s="93">
        <f t="shared" si="767"/>
        <v>-4.2599036977550853E-3</v>
      </c>
      <c r="J483">
        <v>4015.82</v>
      </c>
      <c r="K483">
        <v>3971.06</v>
      </c>
      <c r="L483" s="93">
        <f t="shared" ref="L483" si="863">+K483/J483-1</f>
        <v>-1.1145917894726409E-2</v>
      </c>
      <c r="M483" s="92">
        <f t="shared" ref="M483" si="864">WEEKDAY(A483,2)</f>
        <v>4</v>
      </c>
    </row>
    <row r="484" spans="1:14" x14ac:dyDescent="0.15">
      <c r="A484" s="90">
        <v>43077</v>
      </c>
      <c r="B484">
        <v>30.49</v>
      </c>
      <c r="C484" s="93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93">
        <f t="shared" ref="G484" si="867">+B484/D484-1</f>
        <v>-4.9741405781822401E-4</v>
      </c>
      <c r="H484" s="93">
        <f>(B484/(D484*(1-VLOOKUP(A484,FX!A:M,13,0))))-1</f>
        <v>-4.6044003313183701E-4</v>
      </c>
      <c r="I484" s="93">
        <f t="shared" si="767"/>
        <v>-8.9130064357145766E-4</v>
      </c>
      <c r="J484">
        <v>3971.06</v>
      </c>
      <c r="K484">
        <v>4003.38</v>
      </c>
      <c r="L484" s="93">
        <f t="shared" ref="L484" si="868">+K484/J484-1</f>
        <v>8.1388848317578422E-3</v>
      </c>
      <c r="M484" s="92">
        <f t="shared" ref="M484" si="869">WEEKDAY(A484,2)</f>
        <v>5</v>
      </c>
      <c r="N484" s="50" t="s">
        <v>618</v>
      </c>
    </row>
    <row r="485" spans="1:14" x14ac:dyDescent="0.15">
      <c r="A485" s="90">
        <v>43080</v>
      </c>
      <c r="B485">
        <v>31.1</v>
      </c>
      <c r="C485" s="93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D485*((1-VLOOKUP(A485,FX!A:M,13,0)))</f>
        <v>31.03220844713346</v>
      </c>
      <c r="F485">
        <v>31.040500000000002</v>
      </c>
      <c r="G485" s="93">
        <f t="shared" ref="G485" si="872">+B485/D485-1</f>
        <v>2.5394415536019732E-3</v>
      </c>
      <c r="H485" s="93">
        <f>(B485/(D485*(1-VLOOKUP(A485,FX!A:M,13,0))))-1</f>
        <v>2.1845545727765536E-3</v>
      </c>
      <c r="I485" s="93">
        <f t="shared" si="767"/>
        <v>1.9168505661957269E-3</v>
      </c>
      <c r="J485">
        <v>4003.38</v>
      </c>
      <c r="K485">
        <v>4069.5</v>
      </c>
      <c r="L485" s="93">
        <f t="shared" ref="L485" si="873">+K485/J485-1</f>
        <v>1.6516043942868208E-2</v>
      </c>
      <c r="M485" s="92">
        <f t="shared" ref="M485" si="874">WEEKDAY(A485,2)</f>
        <v>1</v>
      </c>
    </row>
    <row r="486" spans="1:14" x14ac:dyDescent="0.15">
      <c r="A486" s="90">
        <v>43081</v>
      </c>
      <c r="B486">
        <v>30.56</v>
      </c>
      <c r="C486" s="93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D486*((1-VLOOKUP(A486,FX!A:M,13,0)))</f>
        <v>30.632576191178281</v>
      </c>
      <c r="F486">
        <v>30.603100000000001</v>
      </c>
      <c r="G486" s="93">
        <f t="shared" ref="G486" si="877">+B486/D486-1</f>
        <v>-2.3692486954193237E-3</v>
      </c>
      <c r="H486" s="93">
        <f>(B486/(D486*(1-VLOOKUP(A486,FX!A:M,13,0))))-1</f>
        <v>-2.3692486954193237E-3</v>
      </c>
      <c r="I486" s="93">
        <f t="shared" si="767"/>
        <v>-1.4083540556349972E-3</v>
      </c>
      <c r="J486">
        <v>4069.5</v>
      </c>
      <c r="K486">
        <v>4016.02</v>
      </c>
      <c r="L486" s="93">
        <f t="shared" ref="L486" si="878">+K486/J486-1</f>
        <v>-1.3141663595036213E-2</v>
      </c>
      <c r="M486" s="92">
        <f t="shared" ref="M486" si="879">WEEKDAY(A486,2)</f>
        <v>2</v>
      </c>
    </row>
    <row r="487" spans="1:14" x14ac:dyDescent="0.15">
      <c r="A487" s="90">
        <v>43082</v>
      </c>
      <c r="B487">
        <v>31.02</v>
      </c>
      <c r="C487" s="93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D487*((1-VLOOKUP(A487,FX!A:M,13,0)))</f>
        <v>30.89956867824937</v>
      </c>
      <c r="F487">
        <v>30.9299</v>
      </c>
      <c r="G487" s="93">
        <f t="shared" ref="G487" si="882">+B487/D487-1</f>
        <v>5.0960469958423182E-3</v>
      </c>
      <c r="H487" s="93">
        <f>(B487/(D487*(1-VLOOKUP(A487,FX!A:M,13,0))))-1</f>
        <v>3.8975081822227864E-3</v>
      </c>
      <c r="I487" s="93">
        <f t="shared" si="767"/>
        <v>2.9130388394400519E-3</v>
      </c>
      <c r="J487">
        <v>4016.02</v>
      </c>
      <c r="K487">
        <v>4050.09</v>
      </c>
      <c r="L487" s="93">
        <f t="shared" ref="L487" si="883">+K487/J487-1</f>
        <v>8.4835234884288457E-3</v>
      </c>
      <c r="M487" s="92">
        <f t="shared" ref="M487" si="884">WEEKDAY(A487,2)</f>
        <v>3</v>
      </c>
    </row>
    <row r="488" spans="1:14" x14ac:dyDescent="0.15">
      <c r="A488" s="90">
        <v>43083</v>
      </c>
      <c r="B488">
        <v>30.77</v>
      </c>
      <c r="C488" s="93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D488*((1-VLOOKUP(A488,FX!A:M,13,0)))</f>
        <v>30.768840972019568</v>
      </c>
      <c r="F488">
        <v>30.769600000000001</v>
      </c>
      <c r="G488" s="93">
        <f t="shared" ref="G488" si="887">+B488/D488-1</f>
        <v>7.4563234097602127E-4</v>
      </c>
      <c r="H488" s="93">
        <f>(B488/(D488*(1-VLOOKUP(A488,FX!A:M,13,0))))-1</f>
        <v>3.7668886568864579E-5</v>
      </c>
      <c r="I488" s="93">
        <f t="shared" si="767"/>
        <v>1.2999844001937433E-5</v>
      </c>
      <c r="J488">
        <v>4050.09</v>
      </c>
      <c r="K488">
        <v>4026.15</v>
      </c>
      <c r="L488" s="93">
        <f t="shared" ref="L488" si="888">+K488/J488-1</f>
        <v>-5.9109797560054078E-3</v>
      </c>
      <c r="M488" s="92">
        <f t="shared" ref="M488" si="889">WEEKDAY(A488,2)</f>
        <v>4</v>
      </c>
    </row>
    <row r="489" spans="1:14" x14ac:dyDescent="0.15">
      <c r="A489" s="90">
        <v>43084</v>
      </c>
      <c r="B489">
        <v>30.44</v>
      </c>
      <c r="C489" s="93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D489*((1-VLOOKUP(A489,FX!A:M,13,0)))</f>
        <v>30.432084222293845</v>
      </c>
      <c r="F489">
        <v>30.416899999999998</v>
      </c>
      <c r="G489" s="93">
        <f t="shared" ref="G489" si="892">+B489/D489-1</f>
        <v>5.4319888948994866E-4</v>
      </c>
      <c r="H489" s="93">
        <f>(B489/(D489*(1-VLOOKUP(A489,FX!A:M,13,0))))-1</f>
        <v>2.6011290085592442E-4</v>
      </c>
      <c r="I489" s="93">
        <f t="shared" si="767"/>
        <v>7.5944622890578017E-4</v>
      </c>
      <c r="J489">
        <v>4026.15</v>
      </c>
      <c r="K489">
        <v>3980.86</v>
      </c>
      <c r="L489" s="93">
        <f t="shared" ref="L489" si="893">+K489/J489-1</f>
        <v>-1.1248959924493596E-2</v>
      </c>
      <c r="M489" s="92">
        <f t="shared" ref="M489" si="894">WEEKDAY(A489,2)</f>
        <v>5</v>
      </c>
    </row>
    <row r="490" spans="1:14" x14ac:dyDescent="0.15">
      <c r="A490" s="90">
        <v>43087</v>
      </c>
      <c r="B490">
        <v>30.38</v>
      </c>
      <c r="C490" s="93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D490*((1-VLOOKUP(A490,FX!A:M,13,0)))</f>
        <v>30.430359908254442</v>
      </c>
      <c r="F490">
        <v>30.424099999999999</v>
      </c>
      <c r="G490" s="93">
        <f t="shared" ref="G490" si="897">+B490/D490-1</f>
        <v>-2.3233807297784459E-3</v>
      </c>
      <c r="H490" s="93">
        <f>(B490/(D490*(1-VLOOKUP(A490,FX!A:M,13,0))))-1</f>
        <v>-1.6549231887587057E-3</v>
      </c>
      <c r="I490" s="93">
        <f t="shared" si="767"/>
        <v>-1.4495087775809878E-3</v>
      </c>
      <c r="J490">
        <v>3980.86</v>
      </c>
      <c r="K490">
        <v>3985.29</v>
      </c>
      <c r="L490" s="93">
        <f t="shared" ref="L490" si="898">+K490/J490-1</f>
        <v>1.1128248669884933E-3</v>
      </c>
      <c r="M490" s="92">
        <f t="shared" ref="M490" si="899">WEEKDAY(A490,2)</f>
        <v>1</v>
      </c>
    </row>
    <row r="491" spans="1:14" x14ac:dyDescent="0.15">
      <c r="A491" s="90">
        <v>43088</v>
      </c>
      <c r="B491">
        <v>30.51</v>
      </c>
      <c r="C491" s="93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D491*((1-VLOOKUP(A491,FX!A:M,13,0)))</f>
        <v>30.838769845352253</v>
      </c>
      <c r="F491">
        <v>30.580500000000001</v>
      </c>
      <c r="G491" s="93">
        <f t="shared" ref="G491" si="902">+B491/D491-1</f>
        <v>-9.6120649699955596E-3</v>
      </c>
      <c r="H491" s="93">
        <f>(B491/(D491*(1-VLOOKUP(A491,FX!A:M,13,0))))-1</f>
        <v>-1.0660926068093546E-2</v>
      </c>
      <c r="I491" s="93">
        <f t="shared" si="767"/>
        <v>-2.3053906901456811E-3</v>
      </c>
      <c r="J491">
        <v>3985.29</v>
      </c>
      <c r="K491">
        <v>4035.33</v>
      </c>
      <c r="L491" s="93">
        <f t="shared" ref="L491" si="903">+K491/J491-1</f>
        <v>1.2556175334793584E-2</v>
      </c>
      <c r="M491" s="92">
        <f t="shared" ref="M491" si="904">WEEKDAY(A491,2)</f>
        <v>2</v>
      </c>
    </row>
    <row r="492" spans="1:14" x14ac:dyDescent="0.15">
      <c r="A492" s="90">
        <v>43089</v>
      </c>
      <c r="B492">
        <v>30.62</v>
      </c>
      <c r="C492" s="93">
        <f t="shared" ref="C492" si="905">B492/B491-1</f>
        <v>3.6053752867912792E-3</v>
      </c>
      <c r="D492" s="26">
        <f t="shared" ref="D492" si="906">+F491*(1+L492)</f>
        <v>30.543821557344749</v>
      </c>
      <c r="E492" s="26">
        <f>D492*((1-VLOOKUP(A492,FX!A:M,13,0)))</f>
        <v>30.729642825675235</v>
      </c>
      <c r="F492">
        <v>30.717700000000001</v>
      </c>
      <c r="G492" s="93">
        <f t="shared" ref="G492" si="907">+B492/D492-1</f>
        <v>2.4940704460385543E-3</v>
      </c>
      <c r="H492" s="93">
        <f>(B492/(D492*(1-VLOOKUP(A492,FX!A:M,13,0))))-1</f>
        <v>-3.5679824297738527E-3</v>
      </c>
      <c r="I492" s="93">
        <f t="shared" si="767"/>
        <v>-3.1805766707794225E-3</v>
      </c>
      <c r="J492">
        <v>4035.33</v>
      </c>
      <c r="K492">
        <v>4030.49</v>
      </c>
      <c r="L492" s="93">
        <f t="shared" ref="L492" si="908">+K492/J492-1</f>
        <v>-1.19940624434689E-3</v>
      </c>
      <c r="M492" s="92">
        <f t="shared" ref="M492" si="909">WEEKDAY(A492,2)</f>
        <v>3</v>
      </c>
    </row>
    <row r="493" spans="1:14" x14ac:dyDescent="0.15">
      <c r="A493" s="90">
        <v>43090</v>
      </c>
      <c r="B493">
        <v>31.07</v>
      </c>
      <c r="C493" s="93">
        <f t="shared" ref="C493" si="910">B493/B492-1</f>
        <v>1.4696276943174436E-2</v>
      </c>
      <c r="D493" s="26">
        <f t="shared" ref="D493" si="911">+F492*(1+L493)</f>
        <v>31.002432941156041</v>
      </c>
      <c r="E493" s="26">
        <f>D493*((1-VLOOKUP(A493,FX!A:M,13,0)))</f>
        <v>31.001157713682865</v>
      </c>
      <c r="F493">
        <v>31</v>
      </c>
      <c r="G493" s="93">
        <f t="shared" ref="G493" si="912">+B493/D493-1</f>
        <v>2.1794114988396007E-3</v>
      </c>
      <c r="H493" s="93">
        <f>(B493/(D493*(1-VLOOKUP(A493,FX!A:M,13,0))))-1</f>
        <v>2.2206359824668009E-3</v>
      </c>
      <c r="I493" s="93">
        <f t="shared" si="767"/>
        <v>2.258064516128977E-3</v>
      </c>
      <c r="J493">
        <v>4030.49</v>
      </c>
      <c r="K493">
        <v>4067.85</v>
      </c>
      <c r="L493" s="93">
        <f t="shared" ref="L493" si="913">+K493/J493-1</f>
        <v>9.2693444221423338E-3</v>
      </c>
      <c r="M493" s="92">
        <f t="shared" ref="M493" si="914">WEEKDAY(A493,2)</f>
        <v>4</v>
      </c>
    </row>
    <row r="494" spans="1:14" x14ac:dyDescent="0.15">
      <c r="A494" s="90">
        <v>43091</v>
      </c>
      <c r="B494">
        <v>30.95</v>
      </c>
      <c r="C494" s="93">
        <f t="shared" ref="C494" si="915">B494/B493-1</f>
        <v>-3.862246540070835E-3</v>
      </c>
      <c r="D494" s="26">
        <f t="shared" ref="D494" si="916">+F493*(1+L494)</f>
        <v>30.899025283626486</v>
      </c>
      <c r="E494" s="26">
        <f>D494*((1-VLOOKUP(A494,FX!A:M,13,0)))</f>
        <v>30.893659525283361</v>
      </c>
      <c r="F494">
        <v>30.904599999999999</v>
      </c>
      <c r="G494" s="93">
        <f t="shared" ref="G494" si="917">+B494/D494-1</f>
        <v>1.6497192356590418E-3</v>
      </c>
      <c r="H494" s="93">
        <f>(B494/(D494*(1-VLOOKUP(A494,FX!A:M,13,0))))-1</f>
        <v>1.8236905430555339E-3</v>
      </c>
      <c r="I494" s="93">
        <f t="shared" si="767"/>
        <v>1.469036971842419E-3</v>
      </c>
      <c r="J494">
        <v>4067.85</v>
      </c>
      <c r="K494">
        <v>4054.6</v>
      </c>
      <c r="L494" s="93">
        <f t="shared" ref="L494" si="918">+K494/J494-1</f>
        <v>-3.2572489152746797E-3</v>
      </c>
      <c r="M494" s="92">
        <f t="shared" ref="M494" si="919">WEEKDAY(A494,2)</f>
        <v>5</v>
      </c>
    </row>
    <row r="495" spans="1:14" x14ac:dyDescent="0.15">
      <c r="A495" s="90">
        <v>43094</v>
      </c>
      <c r="B495">
        <v>30.95</v>
      </c>
      <c r="C495" s="93">
        <f t="shared" ref="C495" si="920">B495/B494-1</f>
        <v>0</v>
      </c>
      <c r="D495" s="26">
        <f t="shared" ref="D495" si="921">+F494*(1+L495)</f>
        <v>30.805055266610761</v>
      </c>
      <c r="E495" s="26">
        <f>D495*((1-VLOOKUP(A495,FX!A:M,13,0)))</f>
        <v>30.805055266610761</v>
      </c>
      <c r="F495">
        <v>30.81</v>
      </c>
      <c r="G495" s="93">
        <f t="shared" ref="G495" si="922">+B495/D495-1</f>
        <v>4.705225559077153E-3</v>
      </c>
      <c r="H495" s="93">
        <f>(B495/(D495*(1-VLOOKUP(A495,FX!A:M,13,0))))-1</f>
        <v>4.705225559077153E-3</v>
      </c>
      <c r="I495" s="93">
        <f t="shared" si="767"/>
        <v>4.5439792275234758E-3</v>
      </c>
      <c r="J495">
        <v>4054.6</v>
      </c>
      <c r="K495">
        <v>4041.54</v>
      </c>
      <c r="L495" s="93">
        <f t="shared" ref="L495" si="923">+K495/J495-1</f>
        <v>-3.2210329009026983E-3</v>
      </c>
      <c r="M495" s="92">
        <f t="shared" ref="M495" si="924">WEEKDAY(A495,2)</f>
        <v>1</v>
      </c>
      <c r="N495" s="50" t="s">
        <v>638</v>
      </c>
    </row>
    <row r="496" spans="1:14" x14ac:dyDescent="0.15">
      <c r="A496" s="90">
        <v>43095</v>
      </c>
      <c r="B496">
        <v>31.07</v>
      </c>
      <c r="C496" s="93">
        <f t="shared" ref="C496" si="925">B496/B495-1</f>
        <v>3.8772213247173504E-3</v>
      </c>
      <c r="D496" s="26">
        <f t="shared" ref="D496" si="926">+F495*(1+L496)</f>
        <v>30.902089846939536</v>
      </c>
      <c r="E496" s="26">
        <f>D496*((1-VLOOKUP(A496,FX!A:M,13,0)))</f>
        <v>31.018852104964612</v>
      </c>
      <c r="F496">
        <v>30.992799999999999</v>
      </c>
      <c r="G496" s="93">
        <f t="shared" ref="G496" si="927">+B496/D496-1</f>
        <v>5.4336180462919437E-3</v>
      </c>
      <c r="H496" s="93">
        <f>(B496/(D496*(1-VLOOKUP(A496,FX!A:M,13,0))))-1</f>
        <v>1.6489293305346209E-3</v>
      </c>
      <c r="I496" s="93">
        <f t="shared" si="767"/>
        <v>2.4909011125164859E-3</v>
      </c>
      <c r="J496">
        <v>4041.54</v>
      </c>
      <c r="K496">
        <v>4053.62</v>
      </c>
      <c r="L496" s="93">
        <f t="shared" ref="L496" si="928">+K496/J496-1</f>
        <v>2.9889596539933727E-3</v>
      </c>
      <c r="M496" s="92">
        <f t="shared" ref="M496" si="929">WEEKDAY(A496,2)</f>
        <v>2</v>
      </c>
    </row>
    <row r="497" spans="1:13" x14ac:dyDescent="0.15">
      <c r="A497" s="90">
        <v>43096</v>
      </c>
      <c r="B497">
        <v>30.48</v>
      </c>
      <c r="C497" s="93">
        <f t="shared" ref="C497" si="930">B497/B496-1</f>
        <v>-1.8989378822014791E-2</v>
      </c>
      <c r="D497" s="26">
        <f t="shared" ref="D497" si="931">+F496*(1+L497)</f>
        <v>30.515631284629542</v>
      </c>
      <c r="E497" s="26">
        <f>D497*((1-VLOOKUP(A497,FX!A:M,13,0)))</f>
        <v>30.456924614897112</v>
      </c>
      <c r="F497">
        <v>30.470400000000001</v>
      </c>
      <c r="G497" s="93">
        <f t="shared" ref="G497" si="932">+B497/D497-1</f>
        <v>-1.167640423270222E-3</v>
      </c>
      <c r="H497" s="93">
        <f>(B497/(D497*(1-VLOOKUP(A497,FX!A:M,13,0))))-1</f>
        <v>7.5764002421974119E-4</v>
      </c>
      <c r="I497" s="93">
        <f t="shared" si="767"/>
        <v>3.1505986137370101E-4</v>
      </c>
      <c r="J497">
        <v>4053.62</v>
      </c>
      <c r="K497">
        <v>3991.21</v>
      </c>
      <c r="L497" s="93">
        <f t="shared" ref="L497" si="933">+K497/J497-1</f>
        <v>-1.5396115077387584E-2</v>
      </c>
      <c r="M497" s="92">
        <f t="shared" ref="M497" si="934">WEEKDAY(A497,2)</f>
        <v>3</v>
      </c>
    </row>
    <row r="498" spans="1:13" x14ac:dyDescent="0.15">
      <c r="A498" s="90">
        <v>43097</v>
      </c>
      <c r="B498">
        <v>30.88</v>
      </c>
      <c r="C498" s="93">
        <f t="shared" ref="C498" si="935">B498/B497-1</f>
        <v>1.3123359580052396E-2</v>
      </c>
      <c r="D498" s="26">
        <f t="shared" ref="D498" si="936">+F497*(1+L498)</f>
        <v>30.681795886460502</v>
      </c>
      <c r="E498" s="26">
        <f>D498*((1-VLOOKUP(A498,FX!A:M,13,0)))</f>
        <v>30.7755552858575</v>
      </c>
      <c r="F498">
        <v>30.779199999999999</v>
      </c>
      <c r="G498" s="93">
        <f t="shared" ref="G498" si="937">+B498/D498-1</f>
        <v>6.4599906170081933E-3</v>
      </c>
      <c r="H498" s="93">
        <f>(B498/(D498*(1-VLOOKUP(A498,FX!A:M,13,0))))-1</f>
        <v>3.3937556340533082E-3</v>
      </c>
      <c r="I498" s="93">
        <f t="shared" si="767"/>
        <v>3.2749389197899159E-3</v>
      </c>
      <c r="J498">
        <v>3991.21</v>
      </c>
      <c r="K498">
        <v>4018.9</v>
      </c>
      <c r="L498" s="93">
        <f t="shared" ref="L498" si="938">+K498/J498-1</f>
        <v>6.9377456961674522E-3</v>
      </c>
      <c r="M498" s="92">
        <f t="shared" ref="M498" si="939">WEEKDAY(A498,2)</f>
        <v>4</v>
      </c>
    </row>
    <row r="499" spans="1:13" x14ac:dyDescent="0.15">
      <c r="A499" s="90">
        <v>43098</v>
      </c>
      <c r="B499">
        <v>31.03</v>
      </c>
      <c r="C499" s="93">
        <f t="shared" ref="C499" si="940">B499/B498-1</f>
        <v>4.8575129533678929E-3</v>
      </c>
      <c r="D499" s="26">
        <f t="shared" ref="D499" si="941">+F498*(1+L499)</f>
        <v>30.870797012117745</v>
      </c>
      <c r="E499" s="26">
        <f>D499*((1-VLOOKUP(A499,FX!A:M,13,0)))</f>
        <v>30.962058099046043</v>
      </c>
      <c r="F499">
        <v>30.960899999999999</v>
      </c>
      <c r="G499" s="93">
        <f t="shared" ref="G499" si="942">+B499/D499-1</f>
        <v>5.1570741053352798E-3</v>
      </c>
      <c r="H499" s="93">
        <f>(B499/(D499*(1-VLOOKUP(A499,FX!A:M,13,0))))-1</f>
        <v>2.1943599723446283E-3</v>
      </c>
      <c r="I499" s="93">
        <f t="shared" si="767"/>
        <v>2.2318472654219157E-3</v>
      </c>
      <c r="J499">
        <v>4018.9</v>
      </c>
      <c r="K499">
        <v>4030.86</v>
      </c>
      <c r="L499" s="93">
        <f t="shared" ref="L499" si="943">+K499/J499-1</f>
        <v>2.9759386896912599E-3</v>
      </c>
      <c r="M499" s="92">
        <f t="shared" ref="M499" si="944">WEEKDAY(A499,2)</f>
        <v>5</v>
      </c>
    </row>
    <row r="500" spans="1:13" x14ac:dyDescent="0.15">
      <c r="A500" s="90">
        <v>43102</v>
      </c>
      <c r="B500">
        <v>31.61</v>
      </c>
      <c r="C500" s="93">
        <f t="shared" ref="C500" si="945">B500/B499-1</f>
        <v>1.8691588785046731E-2</v>
      </c>
      <c r="D500" s="26">
        <f t="shared" ref="D500" si="946">+F499*(1+L500)</f>
        <v>31.395181837126568</v>
      </c>
      <c r="E500" s="26">
        <f>D500*((1-VLOOKUP(A500,FX!A:M,13,0)))</f>
        <v>31.456983443617915</v>
      </c>
      <c r="F500">
        <v>31.466799999999999</v>
      </c>
      <c r="G500" s="93">
        <f t="shared" ref="G500" si="947">+B500/D500-1</f>
        <v>6.8423926954102043E-3</v>
      </c>
      <c r="H500" s="93">
        <f>(B500/(D500*(1-VLOOKUP(A500,FX!A:M,13,0))))-1</f>
        <v>4.8643111840760422E-3</v>
      </c>
      <c r="I500" s="93">
        <f t="shared" si="767"/>
        <v>4.5508281744568446E-3</v>
      </c>
      <c r="J500">
        <v>4030.86</v>
      </c>
      <c r="K500">
        <v>4087.4</v>
      </c>
      <c r="L500" s="93">
        <f t="shared" ref="L500" si="948">+K500/J500-1</f>
        <v>1.4026783366328788E-2</v>
      </c>
      <c r="M500" s="92">
        <f t="shared" ref="M500" si="949">WEEKDAY(A500,2)</f>
        <v>2</v>
      </c>
    </row>
    <row r="501" spans="1:13" x14ac:dyDescent="0.15">
      <c r="A501" s="90">
        <v>43103</v>
      </c>
      <c r="B501">
        <v>31.92</v>
      </c>
      <c r="C501" s="93">
        <f t="shared" ref="C501" si="950">B501/B500-1</f>
        <v>9.8070230939577563E-3</v>
      </c>
      <c r="D501" s="26">
        <f t="shared" ref="D501" si="951">+F500*(1+L501)</f>
        <v>31.651486727993344</v>
      </c>
      <c r="E501" s="26">
        <f>D501*((1-VLOOKUP(A501,FX!A:M,13,0)))</f>
        <v>31.669164892615196</v>
      </c>
      <c r="F501">
        <v>31.673200000000001</v>
      </c>
      <c r="G501" s="93">
        <f t="shared" ref="G501" si="952">+B501/D501-1</f>
        <v>8.483433157949527E-3</v>
      </c>
      <c r="H501" s="93">
        <f>(B501/(D501*(1-VLOOKUP(A501,FX!A:M,13,0))))-1</f>
        <v>7.9204837966313502E-3</v>
      </c>
      <c r="I501" s="93">
        <f t="shared" si="767"/>
        <v>7.7920765820946869E-3</v>
      </c>
      <c r="J501">
        <v>4087.4</v>
      </c>
      <c r="K501">
        <v>4111.3900000000003</v>
      </c>
      <c r="L501" s="93">
        <f t="shared" ref="L501" si="953">+K501/J501-1</f>
        <v>5.869256740226092E-3</v>
      </c>
      <c r="M501" s="92">
        <f t="shared" ref="M501" si="954">WEEKDAY(A501,2)</f>
        <v>3</v>
      </c>
    </row>
    <row r="502" spans="1:13" x14ac:dyDescent="0.15">
      <c r="A502" s="90">
        <v>43104</v>
      </c>
      <c r="B502">
        <v>32.03</v>
      </c>
      <c r="C502" s="93">
        <f t="shared" ref="C502" si="955">B502/B501-1</f>
        <v>3.4461152882205859E-3</v>
      </c>
      <c r="D502" s="26">
        <f t="shared" ref="D502" si="956">+F501*(1+L502)</f>
        <v>31.807399660941918</v>
      </c>
      <c r="E502" s="26">
        <f>D502*((1-VLOOKUP(A502,FX!A:M,13,0)))</f>
        <v>31.847714127606292</v>
      </c>
      <c r="F502">
        <v>31.850999999999999</v>
      </c>
      <c r="G502" s="93">
        <f t="shared" ref="G502" si="957">+B502/D502-1</f>
        <v>6.9983821824777248E-3</v>
      </c>
      <c r="H502" s="93">
        <f>(B502/(D502*(1-VLOOKUP(A502,FX!A:M,13,0))))-1</f>
        <v>5.7236720872126945E-3</v>
      </c>
      <c r="I502" s="93">
        <f t="shared" si="767"/>
        <v>5.6199177419862245E-3</v>
      </c>
      <c r="J502">
        <v>4111.3900000000003</v>
      </c>
      <c r="K502">
        <v>4128.8100000000004</v>
      </c>
      <c r="L502" s="93">
        <f t="shared" ref="L502" si="958">+K502/J502-1</f>
        <v>4.2370098677089185E-3</v>
      </c>
      <c r="M502" s="92">
        <f t="shared" ref="M502" si="959">WEEKDAY(A502,2)</f>
        <v>4</v>
      </c>
    </row>
    <row r="503" spans="1:13" x14ac:dyDescent="0.15">
      <c r="A503" s="90">
        <v>43105</v>
      </c>
      <c r="B503">
        <v>32.15</v>
      </c>
      <c r="C503" s="93">
        <f t="shared" ref="C503" si="960">B503/B502-1</f>
        <v>3.7464876678112713E-3</v>
      </c>
      <c r="D503" s="26">
        <f t="shared" ref="D503" si="961">+F502*(1+L503)</f>
        <v>31.927680433345202</v>
      </c>
      <c r="E503" s="26">
        <f>D503*((1-VLOOKUP(A503,FX!A:M,13,0)))</f>
        <v>31.971499541602128</v>
      </c>
      <c r="F503">
        <v>31.9696</v>
      </c>
      <c r="G503" s="93">
        <f t="shared" ref="G503" si="962">+B503/D503-1</f>
        <v>6.9632232482070844E-3</v>
      </c>
      <c r="H503" s="93">
        <f>(B503/(D503*(1-VLOOKUP(A503,FX!A:M,13,0))))-1</f>
        <v>5.5831118639149135E-3</v>
      </c>
      <c r="I503" s="93">
        <f t="shared" si="767"/>
        <v>5.6428607176817192E-3</v>
      </c>
      <c r="J503">
        <v>4128.8100000000004</v>
      </c>
      <c r="K503">
        <v>4138.75</v>
      </c>
      <c r="L503" s="93">
        <f t="shared" ref="L503" si="963">+K503/J503-1</f>
        <v>2.4074733397758674E-3</v>
      </c>
      <c r="M503" s="92">
        <f t="shared" ref="M503" si="964">WEEKDAY(A503,2)</f>
        <v>5</v>
      </c>
    </row>
    <row r="504" spans="1:13" x14ac:dyDescent="0.15">
      <c r="A504" s="90">
        <v>43108</v>
      </c>
      <c r="B504">
        <v>32.159999999999997</v>
      </c>
      <c r="C504" s="93">
        <f t="shared" ref="C504" si="965">B504/B503-1</f>
        <v>3.1104199066867011E-4</v>
      </c>
      <c r="D504" s="26">
        <f t="shared" ref="D504" si="966">+F503*(1+L504)</f>
        <v>32.134980642947745</v>
      </c>
      <c r="E504" s="26">
        <f>D504*((1-VLOOKUP(A504,FX!A:M,13,0)))</f>
        <v>32.049850618650673</v>
      </c>
      <c r="F504">
        <v>32.054200000000002</v>
      </c>
      <c r="G504" s="93">
        <f t="shared" ref="G504" si="967">+B504/D504-1</f>
        <v>7.7857078335408225E-4</v>
      </c>
      <c r="H504" s="93">
        <f>(B504/(D504*(1-VLOOKUP(A504,FX!A:M,13,0))))-1</f>
        <v>3.4368141886198522E-3</v>
      </c>
      <c r="I504" s="93">
        <f t="shared" si="767"/>
        <v>3.3006595079583256E-3</v>
      </c>
      <c r="J504">
        <v>4138.75</v>
      </c>
      <c r="K504">
        <v>4160.16</v>
      </c>
      <c r="L504" s="93">
        <f t="shared" ref="L504" si="968">+K504/J504-1</f>
        <v>5.1730594986407752E-3</v>
      </c>
      <c r="M504" s="92">
        <f t="shared" ref="M504" si="969">WEEKDAY(A504,2)</f>
        <v>1</v>
      </c>
    </row>
    <row r="505" spans="1:13" x14ac:dyDescent="0.15">
      <c r="A505" s="90">
        <v>43109</v>
      </c>
      <c r="B505">
        <v>32.130000000000003</v>
      </c>
      <c r="C505" s="93">
        <f t="shared" ref="C505" si="970">B505/B504-1</f>
        <v>-9.3283582089531691E-4</v>
      </c>
      <c r="D505" s="26">
        <f t="shared" ref="D505" si="971">+F504*(1+L505)</f>
        <v>32.278724871158801</v>
      </c>
      <c r="E505" s="26">
        <f>D505*((1-VLOOKUP(A505,FX!A:M,13,0)))</f>
        <v>32.08518678687323</v>
      </c>
      <c r="F505">
        <v>32.084099999999999</v>
      </c>
      <c r="G505" s="93">
        <f t="shared" ref="G505" si="972">+B505/D505-1</f>
        <v>-4.6075200229388491E-3</v>
      </c>
      <c r="H505" s="93">
        <f>(B505/(D505*(1-VLOOKUP(A505,FX!A:M,13,0))))-1</f>
        <v>1.396694787050734E-3</v>
      </c>
      <c r="I505" s="93">
        <f t="shared" si="767"/>
        <v>1.4306151645209209E-3</v>
      </c>
      <c r="J505">
        <v>4160.16</v>
      </c>
      <c r="K505">
        <v>4189.3</v>
      </c>
      <c r="L505" s="93">
        <f t="shared" ref="L505" si="973">+K505/J505-1</f>
        <v>7.0045382869889927E-3</v>
      </c>
      <c r="M505" s="92">
        <f t="shared" ref="M505" si="974">WEEKDAY(A505,2)</f>
        <v>2</v>
      </c>
    </row>
    <row r="506" spans="1:13" x14ac:dyDescent="0.15">
      <c r="A506" s="90">
        <v>43110</v>
      </c>
      <c r="B506">
        <v>32.32</v>
      </c>
      <c r="C506" s="93">
        <f t="shared" ref="C506" si="975">B506/B505-1</f>
        <v>5.9134765017117008E-3</v>
      </c>
      <c r="D506" s="26">
        <f t="shared" ref="D506" si="976">+F505*(1+L506)</f>
        <v>32.225860363545223</v>
      </c>
      <c r="E506" s="26">
        <f>D506*((1-VLOOKUP(A506,FX!A:M,13,0)))</f>
        <v>32.293152260023227</v>
      </c>
      <c r="F506">
        <v>32.281999999999996</v>
      </c>
      <c r="G506" s="93">
        <f t="shared" ref="G506" si="977">+B506/D506-1</f>
        <v>2.9212450930020673E-3</v>
      </c>
      <c r="H506" s="93">
        <f>(B506/(D506*(1-VLOOKUP(A506,FX!A:M,13,0))))-1</f>
        <v>8.3137563532353909E-4</v>
      </c>
      <c r="I506" s="93">
        <f t="shared" si="767"/>
        <v>1.1771265720836865E-3</v>
      </c>
      <c r="J506">
        <v>4189.3</v>
      </c>
      <c r="K506">
        <v>4207.8100000000004</v>
      </c>
      <c r="L506" s="93">
        <f t="shared" ref="L506" si="978">+K506/J506-1</f>
        <v>4.4183992552455642E-3</v>
      </c>
      <c r="M506" s="92">
        <f t="shared" ref="M506" si="979">WEEKDAY(A506,2)</f>
        <v>3</v>
      </c>
    </row>
    <row r="507" spans="1:13" x14ac:dyDescent="0.15">
      <c r="A507" s="90">
        <v>43111</v>
      </c>
      <c r="B507">
        <v>32.51</v>
      </c>
      <c r="C507" s="93">
        <f t="shared" ref="C507" si="980">B507/B506-1</f>
        <v>5.8787128712871617E-3</v>
      </c>
      <c r="D507" s="26">
        <f t="shared" ref="D507" si="981">+F506*(1+L507)</f>
        <v>32.264968327942555</v>
      </c>
      <c r="E507" s="26">
        <f>D507*((1-VLOOKUP(A507,FX!A:M,13,0)))</f>
        <v>32.418671767345643</v>
      </c>
      <c r="G507" s="93">
        <f t="shared" ref="G507" si="982">+B507/D507-1</f>
        <v>7.5943565035283545E-3</v>
      </c>
      <c r="H507" s="93">
        <f>(B507/(D507*(1-VLOOKUP(A507,FX!A:M,13,0))))-1</f>
        <v>2.8171491204136423E-3</v>
      </c>
      <c r="J507">
        <v>4207.8100000000004</v>
      </c>
      <c r="K507">
        <v>4205.59</v>
      </c>
      <c r="L507" s="93">
        <f t="shared" ref="L507" si="983">+K507/J507-1</f>
        <v>-5.2759036173222196E-4</v>
      </c>
      <c r="M507" s="92">
        <f t="shared" ref="M507" si="984">WEEKDAY(A507,2)</f>
        <v>4</v>
      </c>
    </row>
    <row r="508" spans="1:13" x14ac:dyDescent="0.15">
      <c r="A508" s="90">
        <v>43112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509"/>
  <sheetViews>
    <sheetView zoomScale="115" zoomScaleNormal="115" workbookViewId="0">
      <pane xSplit="1" ySplit="2" topLeftCell="B483" activePane="bottomRight" state="frozen"/>
      <selection pane="topRight" activeCell="B1" sqref="B1"/>
      <selection pane="bottomLeft" activeCell="A3" sqref="A3"/>
      <selection pane="bottomRight" activeCell="E508" sqref="E508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2.125" style="50" customWidth="1" collapsed="1"/>
  </cols>
  <sheetData>
    <row r="1" spans="1:14" x14ac:dyDescent="0.15">
      <c r="J1" t="s">
        <v>220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1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1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3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15">
      <c r="A407" s="1">
        <v>42969</v>
      </c>
      <c r="B407">
        <v>34.9</v>
      </c>
      <c r="C407" s="93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3">
        <f t="shared" ref="G407" si="484">+B407/D407-1</f>
        <v>2.2170796338771837E-4</v>
      </c>
      <c r="H407" s="93">
        <f>(B407/(D407*(1-VLOOKUP(A407,FX!A:M,13,0))))-1</f>
        <v>-1.7703578940297948E-4</v>
      </c>
      <c r="I407" s="93">
        <f t="shared" si="272"/>
        <v>1.2609039535060873E-4</v>
      </c>
      <c r="J407">
        <v>6403.7803000000004</v>
      </c>
      <c r="K407" s="92">
        <v>6375.98</v>
      </c>
      <c r="L407" s="93">
        <f t="shared" ref="L407" si="485">+K407/J407-1</f>
        <v>-4.3412326309821836E-3</v>
      </c>
      <c r="M407" s="92">
        <f t="shared" ref="M407" si="486">WEEKDAY(A407,2)</f>
        <v>2</v>
      </c>
      <c r="N407" s="50" t="s">
        <v>414</v>
      </c>
    </row>
    <row r="408" spans="1:14" x14ac:dyDescent="0.15">
      <c r="A408" s="1">
        <v>42970</v>
      </c>
      <c r="B408">
        <v>34.57</v>
      </c>
      <c r="C408" s="93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3">
        <f t="shared" ref="G408" si="489">+B408/D408-1</f>
        <v>-9.9517745076782571E-4</v>
      </c>
      <c r="H408" s="93">
        <f>(B408/(D408*(1-VLOOKUP(A408,FX!A:M,13,0))))-1</f>
        <v>-1.7738904161366253E-3</v>
      </c>
      <c r="I408" s="93">
        <f t="shared" si="272"/>
        <v>-1.3028996016188898E-3</v>
      </c>
      <c r="J408">
        <v>6375.98</v>
      </c>
      <c r="K408">
        <v>6322.78</v>
      </c>
      <c r="L408" s="93">
        <f t="shared" ref="L408" si="490">+K408/J408-1</f>
        <v>-8.3438153821059347E-3</v>
      </c>
      <c r="M408" s="92">
        <f t="shared" ref="M408" si="491">WEEKDAY(A408,2)</f>
        <v>3</v>
      </c>
    </row>
    <row r="409" spans="1:14" x14ac:dyDescent="0.15">
      <c r="A409" s="1">
        <v>42971</v>
      </c>
      <c r="B409">
        <v>34.28</v>
      </c>
      <c r="C409" s="93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3">
        <f t="shared" ref="G409" si="494">+B409/D409-1</f>
        <v>-2.7106768976074003E-3</v>
      </c>
      <c r="H409" s="93">
        <f>(B409/(D409*(1-VLOOKUP(A409,FX!A:M,13,0))))-1</f>
        <v>-3.0758056515591825E-3</v>
      </c>
      <c r="I409" s="93">
        <f t="shared" si="272"/>
        <v>-2.9956664630776952E-3</v>
      </c>
      <c r="J409" s="92">
        <v>6322.78</v>
      </c>
      <c r="K409">
        <v>6278.59</v>
      </c>
      <c r="L409" s="93">
        <f t="shared" ref="L409" si="495">+K409/J409-1</f>
        <v>-6.9890143259767612E-3</v>
      </c>
      <c r="M409" s="92">
        <f t="shared" ref="M409" si="496">WEEKDAY(A409,2)</f>
        <v>4</v>
      </c>
    </row>
    <row r="410" spans="1:14" x14ac:dyDescent="0.15">
      <c r="A410" s="1">
        <v>42972</v>
      </c>
      <c r="B410">
        <v>34.880000000000003</v>
      </c>
      <c r="C410" s="93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3">
        <f t="shared" ref="G410" si="499">+B410/D410-1</f>
        <v>3.5949365428373792E-3</v>
      </c>
      <c r="H410" s="93">
        <f>(B410/(D410*(1-VLOOKUP(A410,FX!A:M,13,0))))-1</f>
        <v>1.0127327043474299E-3</v>
      </c>
      <c r="I410" s="93">
        <f t="shared" si="272"/>
        <v>8.3211385613046751E-4</v>
      </c>
      <c r="J410">
        <v>6278.59</v>
      </c>
      <c r="K410">
        <v>6346.5304999999998</v>
      </c>
      <c r="L410" s="93">
        <f t="shared" ref="L410" si="500">+K410/J410-1</f>
        <v>1.0820980506769828E-2</v>
      </c>
      <c r="M410" s="92">
        <f t="shared" ref="M410" si="501">WEEKDAY(A410,2)</f>
        <v>5</v>
      </c>
    </row>
    <row r="411" spans="1:14" x14ac:dyDescent="0.15">
      <c r="A411" s="90">
        <v>42975</v>
      </c>
      <c r="B411">
        <v>35.47</v>
      </c>
      <c r="C411" s="93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3">
        <f t="shared" ref="G411" si="504">+B411/D411-1</f>
        <v>5.3963340912290825E-3</v>
      </c>
      <c r="H411" s="93">
        <f>(B411/(D411*(1-VLOOKUP(A411,FX!A:M,13,0))))-1</f>
        <v>1.6223922393223678E-3</v>
      </c>
      <c r="I411" s="93">
        <f t="shared" si="272"/>
        <v>9.3687917644946772E-4</v>
      </c>
      <c r="J411">
        <v>6346.5304999999998</v>
      </c>
      <c r="K411">
        <v>6424.5841</v>
      </c>
      <c r="L411" s="93">
        <f t="shared" ref="L411" si="505">+K411/J411-1</f>
        <v>1.2298625209474778E-2</v>
      </c>
      <c r="M411" s="92">
        <f t="shared" ref="M411" si="506">WEEKDAY(A411,2)</f>
        <v>1</v>
      </c>
    </row>
    <row r="412" spans="1:14" x14ac:dyDescent="0.15">
      <c r="A412" s="90">
        <v>42976</v>
      </c>
      <c r="B412">
        <v>35.380000000000003</v>
      </c>
      <c r="C412" s="93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3">
        <f t="shared" ref="G412" si="509">+B412/D412-1</f>
        <v>9.5655162294039364E-4</v>
      </c>
      <c r="H412" s="93">
        <f>(B412/(D412*(1-VLOOKUP(A412,FX!A:M,13,0))))-1</f>
        <v>-6.5202642384099008E-4</v>
      </c>
      <c r="I412" s="93">
        <f t="shared" si="272"/>
        <v>-9.1606431213958617E-3</v>
      </c>
      <c r="J412">
        <v>6424.5841</v>
      </c>
      <c r="K412">
        <v>6408.1566999999995</v>
      </c>
      <c r="L412" s="93">
        <f t="shared" ref="L412" si="510">+K412/J412-1</f>
        <v>-2.5569592901741878E-3</v>
      </c>
      <c r="M412" s="92">
        <f t="shared" ref="M412" si="511">WEEKDAY(A412,2)</f>
        <v>2</v>
      </c>
    </row>
    <row r="413" spans="1:14" ht="27" x14ac:dyDescent="0.15">
      <c r="A413" s="90">
        <v>42977</v>
      </c>
      <c r="B413">
        <v>35.61</v>
      </c>
      <c r="C413" s="93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3">
        <f t="shared" ref="G413" si="514">+B413/D413-1</f>
        <v>-9.7208114023720205E-3</v>
      </c>
      <c r="H413" s="93">
        <f>(B413/(D413*(1-VLOOKUP(A413,FX!A:M,13,0))))-1</f>
        <v>-1.1055168394388248E-2</v>
      </c>
      <c r="I413" s="93">
        <f t="shared" si="272"/>
        <v>-2.7193471326429908E-3</v>
      </c>
      <c r="J413">
        <v>6408.1566999999995</v>
      </c>
      <c r="K413">
        <v>6453.4636</v>
      </c>
      <c r="L413" s="93">
        <f t="shared" ref="L413" si="515">+K413/J413-1</f>
        <v>7.0701922754168312E-3</v>
      </c>
      <c r="M413" s="92">
        <f t="shared" ref="M413" si="516">WEEKDAY(A413,2)</f>
        <v>3</v>
      </c>
      <c r="N413" s="50" t="s">
        <v>429</v>
      </c>
    </row>
    <row r="414" spans="1:14" x14ac:dyDescent="0.15">
      <c r="A414" s="90">
        <v>42978</v>
      </c>
      <c r="B414">
        <v>35.874099999999999</v>
      </c>
      <c r="C414" s="93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3">
        <f t="shared" ref="G414" si="519">+B414/D414-1</f>
        <v>2.043168210343671E-3</v>
      </c>
      <c r="H414" s="93">
        <f>(B414/(D414*(1-VLOOKUP(A414,FX!A:M,13,0))))-1</f>
        <v>1.6507246362764683E-3</v>
      </c>
      <c r="I414" s="93">
        <f t="shared" si="272"/>
        <v>1.7900027925159545E-3</v>
      </c>
      <c r="J414">
        <v>6453.4636</v>
      </c>
      <c r="K414">
        <v>6470.4259000000002</v>
      </c>
      <c r="L414" s="93">
        <f t="shared" ref="L414" si="520">+K414/J414-1</f>
        <v>2.6284025217093721E-3</v>
      </c>
      <c r="M414" s="92">
        <f t="shared" ref="M414" si="521">WEEKDAY(A414,2)</f>
        <v>4</v>
      </c>
    </row>
    <row r="415" spans="1:14" x14ac:dyDescent="0.15">
      <c r="A415" s="90">
        <v>42979</v>
      </c>
      <c r="B415">
        <v>36.5</v>
      </c>
      <c r="C415" s="93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3">
        <f t="shared" ref="G415" si="524">+B415/D415-1</f>
        <v>1.0510342814445073E-2</v>
      </c>
      <c r="H415" s="93">
        <f>(B415/(D415*(1-VLOOKUP(A415,FX!A:M,13,0))))-1</f>
        <v>4.9031439048821124E-3</v>
      </c>
      <c r="I415" s="93">
        <f t="shared" si="272"/>
        <v>5.0749400397074318E-3</v>
      </c>
      <c r="J415">
        <v>6470.4259000000002</v>
      </c>
      <c r="K415">
        <v>6526.5046000000002</v>
      </c>
      <c r="L415" s="93">
        <f t="shared" ref="L415" si="525">+K415/J415-1</f>
        <v>8.6669256192239974E-3</v>
      </c>
      <c r="M415" s="92">
        <f t="shared" ref="M415" si="526">WEEKDAY(A415,2)</f>
        <v>5</v>
      </c>
    </row>
    <row r="416" spans="1:14" x14ac:dyDescent="0.15">
      <c r="A416" s="90">
        <v>42982</v>
      </c>
      <c r="B416">
        <v>36.5</v>
      </c>
      <c r="C416" s="93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3">
        <f t="shared" ref="G416" si="529">+B416/D416-1</f>
        <v>-7.6990503393370435E-4</v>
      </c>
      <c r="H416" s="93">
        <f>(B416/(D416*(1-VLOOKUP(A416,FX!A:M,13,0))))-1</f>
        <v>-5.4566327817960891E-3</v>
      </c>
      <c r="I416" s="93">
        <f t="shared" si="272"/>
        <v>-5.4495912806540314E-3</v>
      </c>
      <c r="J416">
        <v>6526.5046000000002</v>
      </c>
      <c r="K416">
        <v>6564.6804000000002</v>
      </c>
      <c r="L416" s="93">
        <f t="shared" ref="L416" si="530">+K416/J416-1</f>
        <v>5.8493485165092007E-3</v>
      </c>
      <c r="M416" s="92">
        <f t="shared" ref="M416" si="531">WEEKDAY(A416,2)</f>
        <v>1</v>
      </c>
    </row>
    <row r="417" spans="1:14" x14ac:dyDescent="0.15">
      <c r="A417" s="90">
        <v>42983</v>
      </c>
      <c r="B417">
        <v>36.82</v>
      </c>
      <c r="C417" s="93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3">
        <f t="shared" ref="G417" si="534">+B417/D417-1</f>
        <v>2.1738437820237877E-3</v>
      </c>
      <c r="H417" s="93">
        <f>(B417/(D417*(1-VLOOKUP(A417,FX!A:M,13,0))))-1</f>
        <v>3.7807043632438475E-3</v>
      </c>
      <c r="I417" s="93">
        <f t="shared" si="272"/>
        <v>4.8468440931817014E-3</v>
      </c>
      <c r="J417">
        <v>6564.6804000000002</v>
      </c>
      <c r="K417">
        <v>6571.8590999999997</v>
      </c>
      <c r="L417" s="93">
        <f t="shared" ref="L417" si="535">+K417/J417-1</f>
        <v>1.0935338146849105E-3</v>
      </c>
      <c r="M417" s="92">
        <f t="shared" ref="M417" si="536">WEEKDAY(A417,2)</f>
        <v>2</v>
      </c>
    </row>
    <row r="418" spans="1:14" x14ac:dyDescent="0.15">
      <c r="A418" s="90">
        <v>42984</v>
      </c>
      <c r="B418">
        <v>36.94</v>
      </c>
      <c r="C418" s="93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3">
        <f t="shared" ref="G418" si="539">+B418/D418-1</f>
        <v>2.7419555415286734E-3</v>
      </c>
      <c r="H418" s="93">
        <f>(B418/(D418*(1-VLOOKUP(A418,FX!A:M,13,0))))-1</f>
        <v>2.9627863203540716E-3</v>
      </c>
      <c r="I418" s="93">
        <f t="shared" si="272"/>
        <v>1.9719371909523442E-3</v>
      </c>
      <c r="J418">
        <v>6571.8590999999997</v>
      </c>
      <c r="K418">
        <v>6607.1175999999996</v>
      </c>
      <c r="L418" s="93">
        <f t="shared" ref="L418" si="540">+K418/J418-1</f>
        <v>5.3650724191576238E-3</v>
      </c>
      <c r="M418" s="92">
        <f t="shared" ref="M418" si="541">WEEKDAY(A418,2)</f>
        <v>3</v>
      </c>
    </row>
    <row r="419" spans="1:14" x14ac:dyDescent="0.15">
      <c r="A419" s="90">
        <v>42985</v>
      </c>
      <c r="B419">
        <v>36.999899999999997</v>
      </c>
      <c r="C419" s="93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3">
        <f t="shared" ref="G419" si="544">+B419/D419-1</f>
        <v>1.102141461795858E-2</v>
      </c>
      <c r="H419" s="93">
        <f>(B419/(D419*(1-VLOOKUP(A419,FX!A:M,13,0))))-1</f>
        <v>2.6606177587586988E-3</v>
      </c>
      <c r="I419" s="93">
        <f t="shared" si="272"/>
        <v>2.7073170731706231E-3</v>
      </c>
      <c r="J419">
        <v>6607.1175999999996</v>
      </c>
      <c r="K419">
        <v>6558.5963000000002</v>
      </c>
      <c r="L419" s="93">
        <f t="shared" ref="L419" si="545">+K419/J419-1</f>
        <v>-7.3437923974593033E-3</v>
      </c>
      <c r="M419" s="92">
        <f t="shared" ref="M419" si="546">WEEKDAY(A419,2)</f>
        <v>4</v>
      </c>
    </row>
    <row r="420" spans="1:14" x14ac:dyDescent="0.15">
      <c r="A420" s="90">
        <v>42986</v>
      </c>
      <c r="B420">
        <v>37.030999999999999</v>
      </c>
      <c r="C420" s="93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3">
        <f t="shared" ref="G420" si="549">+B420/D420-1</f>
        <v>1.1708840523667607E-3</v>
      </c>
      <c r="H420" s="93">
        <f>(B420/(D420*(1-VLOOKUP(A420,FX!A:M,13,0))))-1</f>
        <v>2.9706263552391476E-3</v>
      </c>
      <c r="I420" s="93">
        <f t="shared" si="272"/>
        <v>3.6507725706913519E-3</v>
      </c>
      <c r="J420">
        <v>6558.5963000000002</v>
      </c>
      <c r="K420">
        <v>6574.1826000000001</v>
      </c>
      <c r="L420" s="93">
        <f t="shared" ref="L420" si="550">+K420/J420-1</f>
        <v>2.3764688794765121E-3</v>
      </c>
      <c r="M420" s="92">
        <f t="shared" ref="M420" si="551">WEEKDAY(A420,2)</f>
        <v>5</v>
      </c>
    </row>
    <row r="421" spans="1:14" x14ac:dyDescent="0.15">
      <c r="A421" s="90">
        <v>42989</v>
      </c>
      <c r="B421">
        <v>37.450000000000003</v>
      </c>
      <c r="C421" s="93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3">
        <f t="shared" ref="G421" si="554">+B421/D421-1</f>
        <v>3.4909118803996275E-3</v>
      </c>
      <c r="H421" s="93">
        <f>(B421/(D421*(1-VLOOKUP(A421,FX!A:M,13,0))))-1</f>
        <v>9.8424304935575968E-3</v>
      </c>
      <c r="I421" s="93">
        <f t="shared" si="272"/>
        <v>9.1048472061674435E-3</v>
      </c>
      <c r="J421">
        <v>6574.1826000000001</v>
      </c>
      <c r="K421">
        <v>6649.6275999999998</v>
      </c>
      <c r="L421" s="93">
        <f t="shared" ref="L421" si="555">+K421/J421-1</f>
        <v>1.1475951398125073E-2</v>
      </c>
      <c r="M421" s="92">
        <f t="shared" ref="M421" si="556">WEEKDAY(A421,2)</f>
        <v>1</v>
      </c>
      <c r="N421" s="50" t="s">
        <v>437</v>
      </c>
    </row>
    <row r="422" spans="1:14" x14ac:dyDescent="0.15">
      <c r="A422" s="90">
        <v>42990</v>
      </c>
      <c r="B422">
        <v>37.339300000000001</v>
      </c>
      <c r="C422" s="93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3">
        <f t="shared" ref="G422" si="559">+B422/D422-1</f>
        <v>6.9724094527594538E-3</v>
      </c>
      <c r="H422" s="93">
        <f>(B422/(D422*(1-VLOOKUP(A422,FX!A:M,13,0))))-1</f>
        <v>6.3620239951027724E-3</v>
      </c>
      <c r="I422" s="93">
        <f t="shared" si="272"/>
        <v>7.2619172864385462E-3</v>
      </c>
      <c r="J422">
        <v>6649.6275999999998</v>
      </c>
      <c r="K422">
        <v>6644.0118000000002</v>
      </c>
      <c r="L422" s="93">
        <f t="shared" ref="L422" si="560">+K422/J422-1</f>
        <v>-8.4452849660321405E-4</v>
      </c>
      <c r="M422" s="92">
        <f t="shared" ref="M422" si="561">WEEKDAY(A422,2)</f>
        <v>2</v>
      </c>
    </row>
    <row r="423" spans="1:14" x14ac:dyDescent="0.15">
      <c r="A423" s="90">
        <v>42991</v>
      </c>
      <c r="B423">
        <v>37.42</v>
      </c>
      <c r="C423" s="93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3">
        <f t="shared" ref="G423" si="564">+B423/D423-1</f>
        <v>3.342716954077174E-3</v>
      </c>
      <c r="H423" s="93">
        <f>(B423/(D423*(1-VLOOKUP(A423,FX!A:M,13,0))))-1</f>
        <v>5.2651936057936943E-3</v>
      </c>
      <c r="I423" s="93">
        <f t="shared" si="272"/>
        <v>4.8335123523093326E-3</v>
      </c>
      <c r="J423">
        <v>6644.0118000000002</v>
      </c>
      <c r="K423">
        <v>6684.3797999999997</v>
      </c>
      <c r="L423" s="93">
        <f t="shared" ref="L423" si="565">+K423/J423-1</f>
        <v>6.0758471259787505E-3</v>
      </c>
      <c r="M423" s="92">
        <f t="shared" ref="M423" si="566">WEEKDAY(A423,2)</f>
        <v>3</v>
      </c>
    </row>
    <row r="424" spans="1:14" x14ac:dyDescent="0.15">
      <c r="A424" s="90">
        <v>42992</v>
      </c>
      <c r="B424">
        <v>37.241</v>
      </c>
      <c r="C424" s="93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3">
        <f t="shared" ref="G424" si="569">+B424/D424-1</f>
        <v>1.8546240563654948E-3</v>
      </c>
      <c r="H424" s="93">
        <f>(B424/(D424*(1-VLOOKUP(A424,FX!A:M,13,0))))-1</f>
        <v>1.0126718503629117E-3</v>
      </c>
      <c r="I424" s="93">
        <f t="shared" si="272"/>
        <v>1.8265896575750951E-3</v>
      </c>
      <c r="J424">
        <v>6684.3797999999997</v>
      </c>
      <c r="K424">
        <v>6672.1849000000002</v>
      </c>
      <c r="L424" s="93">
        <f t="shared" ref="L424" si="570">+K424/J424-1</f>
        <v>-1.8243876567276551E-3</v>
      </c>
      <c r="M424" s="92">
        <f t="shared" ref="M424" si="571">WEEKDAY(A424,2)</f>
        <v>4</v>
      </c>
    </row>
    <row r="425" spans="1:14" x14ac:dyDescent="0.15">
      <c r="A425" s="90">
        <v>42993</v>
      </c>
      <c r="B425">
        <v>37.200000000000003</v>
      </c>
      <c r="C425" s="93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3">
        <f t="shared" ref="G425" si="574">+B425/D425-1</f>
        <v>8.3009674862548621E-3</v>
      </c>
      <c r="H425" s="93">
        <f>(B425/(D425*(1-VLOOKUP(A425,FX!A:M,13,0))))-1</f>
        <v>9.4606281890547983E-3</v>
      </c>
      <c r="I425" s="93">
        <f t="shared" si="272"/>
        <v>8.9366837987010506E-3</v>
      </c>
      <c r="J425">
        <v>6672.1849000000002</v>
      </c>
      <c r="K425">
        <v>6622.0438000000004</v>
      </c>
      <c r="L425" s="93">
        <f t="shared" ref="L425" si="575">+K425/J425-1</f>
        <v>-7.5149446173171652E-3</v>
      </c>
      <c r="M425" s="92">
        <f t="shared" ref="M425" si="576">WEEKDAY(A425,2)</f>
        <v>5</v>
      </c>
    </row>
    <row r="426" spans="1:14" x14ac:dyDescent="0.15">
      <c r="A426" s="90">
        <v>42996</v>
      </c>
      <c r="B426">
        <v>37.229999999999997</v>
      </c>
      <c r="C426" s="93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3">
        <f t="shared" ref="G426" si="579">+B426/D426-1</f>
        <v>2.5723533706121238E-3</v>
      </c>
      <c r="H426" s="93">
        <f>(B426/(D426*(1-VLOOKUP(A426,FX!A:M,13,0))))-1</f>
        <v>6.3257581405140595E-3</v>
      </c>
      <c r="I426" s="93">
        <f t="shared" si="272"/>
        <v>6.0449166763494322E-3</v>
      </c>
      <c r="J426">
        <v>6622.0438000000004</v>
      </c>
      <c r="K426">
        <v>6669.4548000000004</v>
      </c>
      <c r="L426" s="93">
        <f t="shared" ref="L426" si="580">+K426/J426-1</f>
        <v>7.1595720946455721E-3</v>
      </c>
      <c r="M426" s="92">
        <f t="shared" ref="M426" si="581">WEEKDAY(A426,2)</f>
        <v>1</v>
      </c>
    </row>
    <row r="427" spans="1:14" x14ac:dyDescent="0.15">
      <c r="A427" s="90">
        <v>42997</v>
      </c>
      <c r="B427">
        <v>36.86</v>
      </c>
      <c r="C427" s="93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3">
        <f t="shared" ref="G427" si="584">+B427/D427-1</f>
        <v>1.065066802331982E-3</v>
      </c>
      <c r="H427" s="93">
        <f>(B427/(D427*(1-VLOOKUP(A427,FX!A:M,13,0))))-1</f>
        <v>2.5515720025526267E-3</v>
      </c>
      <c r="I427" s="93">
        <f t="shared" si="272"/>
        <v>3.1160278129294117E-3</v>
      </c>
      <c r="J427">
        <v>6669.4548000000004</v>
      </c>
      <c r="K427">
        <v>6636.0200999999997</v>
      </c>
      <c r="L427" s="93">
        <f t="shared" ref="L427" si="585">+K427/J427-1</f>
        <v>-5.0131084177975627E-3</v>
      </c>
      <c r="M427" s="92">
        <f t="shared" ref="M427" si="586">WEEKDAY(A427,2)</f>
        <v>2</v>
      </c>
    </row>
    <row r="428" spans="1:14" x14ac:dyDescent="0.15">
      <c r="A428" s="90">
        <v>42998</v>
      </c>
      <c r="B428">
        <v>37.241100000000003</v>
      </c>
      <c r="C428" s="93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3">
        <f t="shared" ref="G428" si="589">+B428/D428-1</f>
        <v>4.938403712228645E-3</v>
      </c>
      <c r="H428" s="93">
        <f>(B428/(D428*(1-VLOOKUP(A428,FX!A:M,13,0))))-1</f>
        <v>5.3925910871630567E-3</v>
      </c>
      <c r="I428" s="93">
        <f t="shared" si="272"/>
        <v>5.1633207196801756E-3</v>
      </c>
      <c r="J428">
        <v>6636.0200999999997</v>
      </c>
      <c r="K428">
        <v>6692.4723999999997</v>
      </c>
      <c r="L428" s="93">
        <f t="shared" ref="L428" si="590">+K428/J428-1</f>
        <v>8.5069513276490039E-3</v>
      </c>
      <c r="M428" s="92">
        <f t="shared" ref="M428" si="591">WEEKDAY(A428,2)</f>
        <v>3</v>
      </c>
    </row>
    <row r="429" spans="1:14" x14ac:dyDescent="0.15">
      <c r="A429" s="90">
        <v>42999</v>
      </c>
      <c r="B429">
        <v>36.86</v>
      </c>
      <c r="C429" s="93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3">
        <f t="shared" ref="G429" si="594">+B429/D429-1</f>
        <v>6.9785317804547109E-3</v>
      </c>
      <c r="H429" s="93">
        <f>(B429/(D429*(1-VLOOKUP(A429,FX!A:M,13,0))))-1</f>
        <v>4.1276433587844608E-3</v>
      </c>
      <c r="I429" s="93">
        <f t="shared" si="272"/>
        <v>4.0860800871695968E-3</v>
      </c>
      <c r="J429">
        <v>6692.4723999999997</v>
      </c>
      <c r="K429">
        <v>6612.0456000000004</v>
      </c>
      <c r="L429" s="93">
        <f t="shared" ref="L429" si="595">+K429/J429-1</f>
        <v>-1.2017501932469532E-2</v>
      </c>
      <c r="M429" s="92">
        <f t="shared" ref="M429" si="596">WEEKDAY(A429,2)</f>
        <v>4</v>
      </c>
    </row>
    <row r="430" spans="1:14" x14ac:dyDescent="0.15">
      <c r="A430" s="90">
        <v>43000</v>
      </c>
      <c r="B430">
        <v>36.51</v>
      </c>
      <c r="C430" s="93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3">
        <f t="shared" ref="G430" si="599">+B430/D430-1</f>
        <v>6.1060006939750444E-4</v>
      </c>
      <c r="H430" s="93">
        <f>(B430/(D430*(1-VLOOKUP(A430,FX!A:M,13,0))))-1</f>
        <v>2.3579352021885214E-3</v>
      </c>
      <c r="I430" s="93">
        <f t="shared" si="272"/>
        <v>2.325306860890608E-3</v>
      </c>
      <c r="J430">
        <v>6612.0456000000004</v>
      </c>
      <c r="K430">
        <v>6572.0096000000003</v>
      </c>
      <c r="L430" s="93">
        <f t="shared" ref="L430" si="600">+K430/J430-1</f>
        <v>-6.0550096629702344E-3</v>
      </c>
      <c r="M430" s="92">
        <f t="shared" ref="M430" si="601">WEEKDAY(A430,2)</f>
        <v>5</v>
      </c>
      <c r="N430" s="50" t="s">
        <v>446</v>
      </c>
    </row>
    <row r="431" spans="1:14" x14ac:dyDescent="0.15">
      <c r="A431" s="90">
        <v>43003</v>
      </c>
      <c r="B431">
        <v>35.700000000000003</v>
      </c>
      <c r="C431" s="93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3">
        <f t="shared" ref="G431" si="604">+B431/D431-1</f>
        <v>-7.5034547692470754E-3</v>
      </c>
      <c r="H431" s="93">
        <f>(B431/(D431*(1-VLOOKUP(A431,FX!A:M,13,0))))-1</f>
        <v>-2.4153910074175E-3</v>
      </c>
      <c r="I431" s="93">
        <f t="shared" si="272"/>
        <v>-2.6149926243795862E-3</v>
      </c>
      <c r="J431">
        <v>6572.0096000000003</v>
      </c>
      <c r="K431">
        <v>6489.8441000000003</v>
      </c>
      <c r="L431" s="93">
        <f t="shared" ref="L431" si="605">+K431/J431-1</f>
        <v>-1.2502340227865782E-2</v>
      </c>
      <c r="M431" s="92">
        <f t="shared" ref="M431" si="606">WEEKDAY(A431,2)</f>
        <v>1</v>
      </c>
    </row>
    <row r="432" spans="1:14" x14ac:dyDescent="0.15">
      <c r="A432" s="90">
        <v>43004</v>
      </c>
      <c r="B432">
        <v>35.950000000000003</v>
      </c>
      <c r="C432" s="93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3">
        <f t="shared" ref="G432" si="609">+B432/D432-1</f>
        <v>-3.858548876811696E-4</v>
      </c>
      <c r="H432" s="93">
        <f>(B432/(D432*(1-VLOOKUP(A432,FX!A:M,13,0))))-1</f>
        <v>1.9453240481257517E-3</v>
      </c>
      <c r="I432" s="93">
        <f t="shared" si="272"/>
        <v>2.9264808858113778E-3</v>
      </c>
      <c r="J432">
        <v>6489.8441000000003</v>
      </c>
      <c r="K432">
        <v>6520.7174999999997</v>
      </c>
      <c r="L432" s="93">
        <f t="shared" ref="L432" si="610">+K432/J432-1</f>
        <v>4.7571866942073271E-3</v>
      </c>
      <c r="M432" s="92">
        <f t="shared" ref="M432" si="611">WEEKDAY(A432,2)</f>
        <v>2</v>
      </c>
      <c r="N432" s="50" t="s">
        <v>454</v>
      </c>
    </row>
    <row r="433" spans="1:14" x14ac:dyDescent="0.15">
      <c r="A433" s="90">
        <v>43005</v>
      </c>
      <c r="B433">
        <v>36.25</v>
      </c>
      <c r="C433" s="93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3">
        <f t="shared" ref="G433" si="614">+B433/D433-1</f>
        <v>1.7065242150418047E-3</v>
      </c>
      <c r="H433" s="93">
        <f>(B433/(D433*(1-VLOOKUP(A433,FX!A:M,13,0))))-1</f>
        <v>3.372431552453925E-3</v>
      </c>
      <c r="I433" s="93">
        <f t="shared" si="272"/>
        <v>2.8106361554036674E-3</v>
      </c>
      <c r="J433">
        <v>6520.7174999999997</v>
      </c>
      <c r="K433">
        <v>6583.1400999999996</v>
      </c>
      <c r="L433" s="93">
        <f t="shared" ref="L433" si="615">+K433/J433-1</f>
        <v>9.5729649382909621E-3</v>
      </c>
      <c r="M433" s="92">
        <f t="shared" ref="M433" si="616">WEEKDAY(A433,2)</f>
        <v>3</v>
      </c>
    </row>
    <row r="434" spans="1:14" x14ac:dyDescent="0.15">
      <c r="A434" s="90">
        <v>43006</v>
      </c>
      <c r="B434">
        <v>36.159999999999997</v>
      </c>
      <c r="C434" s="93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3">
        <f t="shared" ref="G434" si="619">+B434/D434-1</f>
        <v>2.6585992767438338E-3</v>
      </c>
      <c r="H434" s="93">
        <f>(B434/(D434*(1-VLOOKUP(A434,FX!A:M,13,0))))-1</f>
        <v>4.8672408019796443E-3</v>
      </c>
      <c r="I434" s="93">
        <f t="shared" si="272"/>
        <v>5.4806481123601536E-3</v>
      </c>
      <c r="J434">
        <v>6583.1400999999996</v>
      </c>
      <c r="K434">
        <v>6567.7915000000003</v>
      </c>
      <c r="L434" s="93">
        <f t="shared" ref="L434" si="620">+K434/J434-1</f>
        <v>-2.3315013453837352E-3</v>
      </c>
      <c r="M434" s="92">
        <f t="shared" ref="M434" si="621">WEEKDAY(A434,2)</f>
        <v>4</v>
      </c>
    </row>
    <row r="435" spans="1:14" x14ac:dyDescent="0.15">
      <c r="A435" s="90">
        <v>43007</v>
      </c>
      <c r="B435">
        <v>36.435000000000002</v>
      </c>
      <c r="C435" s="93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3">
        <f t="shared" ref="G435" si="624">+B435/D435-1</f>
        <v>7.6857416717799332E-3</v>
      </c>
      <c r="H435" s="93">
        <f>(B435/(D435*(1-VLOOKUP(A435,FX!A:M,13,0))))-1</f>
        <v>7.4094183285293713E-3</v>
      </c>
      <c r="I435" s="93">
        <f t="shared" si="272"/>
        <v>6.2471001524493364E-3</v>
      </c>
      <c r="J435">
        <v>6567.7915000000003</v>
      </c>
      <c r="K435">
        <v>6603.2587000000003</v>
      </c>
      <c r="L435" s="93">
        <f t="shared" ref="L435" si="625">+K435/J435-1</f>
        <v>5.4001714274882762E-3</v>
      </c>
      <c r="M435" s="92">
        <f t="shared" ref="M435" si="626">WEEKDAY(A435,2)</f>
        <v>5</v>
      </c>
    </row>
    <row r="436" spans="1:14" x14ac:dyDescent="0.15">
      <c r="A436" s="90">
        <v>43010</v>
      </c>
      <c r="B436">
        <v>36.51</v>
      </c>
      <c r="C436" s="93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3">
        <f t="shared" ref="G436" si="629">+B436/D436-1</f>
        <v>8.3184198316432756E-3</v>
      </c>
      <c r="H436" s="93">
        <f>(B436/(D436*(1-VLOOKUP(A436,FX!A:M,13,0))))-1</f>
        <v>1.1426548965269401E-2</v>
      </c>
      <c r="I436" s="93">
        <f t="shared" si="272"/>
        <v>1.261118337664624E-2</v>
      </c>
      <c r="J436">
        <v>6603.2587000000003</v>
      </c>
      <c r="K436">
        <v>6603.2587000000003</v>
      </c>
      <c r="L436" s="93">
        <f t="shared" ref="L436" si="630">+K436/J436-1</f>
        <v>0</v>
      </c>
      <c r="M436" s="92">
        <f t="shared" ref="M436" si="631">WEEKDAY(A436,2)</f>
        <v>1</v>
      </c>
    </row>
    <row r="437" spans="1:14" x14ac:dyDescent="0.15">
      <c r="A437" s="90">
        <v>43011</v>
      </c>
      <c r="B437">
        <v>37.159999999999997</v>
      </c>
      <c r="C437" s="93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3">
        <f t="shared" ref="G437" si="634">+B437/D437-1</f>
        <v>3.0639046131913927E-2</v>
      </c>
      <c r="H437" s="93">
        <f>(B437/(D437*(1-VLOOKUP(A437,FX!A:M,13,0))))-1</f>
        <v>2.9469000165812664E-2</v>
      </c>
      <c r="I437" s="93">
        <f t="shared" si="272"/>
        <v>3.0261862844310095E-2</v>
      </c>
      <c r="J437">
        <v>6603.2587000000003</v>
      </c>
      <c r="K437">
        <v>6603.2587000000003</v>
      </c>
      <c r="L437" s="93">
        <f t="shared" ref="L437" si="635">+K437/J437-1</f>
        <v>0</v>
      </c>
      <c r="M437" s="92">
        <f t="shared" ref="M437" si="636">WEEKDAY(A437,2)</f>
        <v>2</v>
      </c>
    </row>
    <row r="438" spans="1:14" x14ac:dyDescent="0.15">
      <c r="A438" s="90">
        <v>43012</v>
      </c>
      <c r="B438">
        <v>37.31</v>
      </c>
      <c r="C438" s="93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3">
        <f t="shared" ref="G438" si="639">+B438/D438-1</f>
        <v>3.4420616327266229E-2</v>
      </c>
      <c r="H438" s="93">
        <f>(B438/(D438*(1-VLOOKUP(A438,FX!A:M,13,0))))-1</f>
        <v>3.1756329970812347E-2</v>
      </c>
      <c r="I438" s="93">
        <f t="shared" si="272"/>
        <v>3.1227024726231623E-2</v>
      </c>
      <c r="J438">
        <v>6603.2587000000003</v>
      </c>
      <c r="K438">
        <v>6603.2587000000003</v>
      </c>
      <c r="L438" s="93">
        <f t="shared" ref="L438" si="640">+K438/J438-1</f>
        <v>0</v>
      </c>
      <c r="M438" s="92">
        <f t="shared" ref="M438" si="641">WEEKDAY(A438,2)</f>
        <v>3</v>
      </c>
      <c r="N438" s="50" t="s">
        <v>465</v>
      </c>
    </row>
    <row r="439" spans="1:14" x14ac:dyDescent="0.15">
      <c r="A439" s="90">
        <v>43013</v>
      </c>
      <c r="B439">
        <v>37.4</v>
      </c>
      <c r="C439" s="93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3">
        <f t="shared" ref="G439" si="644">+B439/D439-1</f>
        <v>3.3714573164327355E-2</v>
      </c>
      <c r="H439" s="93">
        <f>(B439/(D439*(1-VLOOKUP(A439,FX!A:M,13,0))))-1</f>
        <v>3.4562315648884789E-2</v>
      </c>
      <c r="I439" s="93">
        <f t="shared" si="272"/>
        <v>3.4562315648884789E-2</v>
      </c>
      <c r="J439">
        <v>6603.2587000000003</v>
      </c>
      <c r="K439">
        <v>6603.2587000000003</v>
      </c>
      <c r="L439" s="93">
        <f t="shared" ref="L439" si="645">+K439/J439-1</f>
        <v>0</v>
      </c>
      <c r="M439" s="92">
        <f t="shared" ref="M439" si="646">WEEKDAY(A439,2)</f>
        <v>4</v>
      </c>
    </row>
    <row r="440" spans="1:14" x14ac:dyDescent="0.15">
      <c r="A440" s="90">
        <v>43014</v>
      </c>
      <c r="B440">
        <v>37.354999999999997</v>
      </c>
      <c r="C440" s="93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3">
        <f t="shared" ref="G440" si="649">+B440/D440-1</f>
        <v>3.3317521418825935E-2</v>
      </c>
      <c r="H440" s="93">
        <f>(B440/(D440*(1-VLOOKUP(A440,FX!A:M,13,0))))-1</f>
        <v>3.2943320314260394E-2</v>
      </c>
      <c r="I440" s="93">
        <f t="shared" si="272"/>
        <v>3.2924735167001673E-2</v>
      </c>
      <c r="J440">
        <v>6603.2587000000003</v>
      </c>
      <c r="K440">
        <v>6603.2587000000003</v>
      </c>
      <c r="L440" s="93">
        <f t="shared" ref="L440" si="650">+K440/J440-1</f>
        <v>0</v>
      </c>
      <c r="M440" s="92">
        <f t="shared" ref="M440" si="651">WEEKDAY(A440,2)</f>
        <v>5</v>
      </c>
    </row>
    <row r="441" spans="1:14" x14ac:dyDescent="0.15">
      <c r="A441" s="90">
        <v>43017</v>
      </c>
      <c r="B441">
        <v>36.909999999999997</v>
      </c>
      <c r="C441" s="93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3">
        <f t="shared" ref="G441" si="654">+B441/D441-1</f>
        <v>9.1407707264079541E-3</v>
      </c>
      <c r="H441" s="93">
        <f>(B441/(D441*(1-VLOOKUP(A441,FX!A:M,13,0))))-1</f>
        <v>3.7267889461338743E-3</v>
      </c>
      <c r="I441" s="93">
        <f t="shared" si="272"/>
        <v>3.174499635802297E-3</v>
      </c>
      <c r="J441">
        <v>6603.2587000000003</v>
      </c>
      <c r="K441">
        <v>6678.3710000000001</v>
      </c>
      <c r="L441" s="93">
        <f t="shared" ref="L441" si="655">+K441/J441-1</f>
        <v>1.1375035177707105E-2</v>
      </c>
      <c r="M441" s="92">
        <f t="shared" ref="M441" si="656">WEEKDAY(A441,2)</f>
        <v>1</v>
      </c>
    </row>
    <row r="442" spans="1:14" x14ac:dyDescent="0.15">
      <c r="A442" s="90">
        <v>43018</v>
      </c>
      <c r="B442">
        <v>37.39</v>
      </c>
      <c r="C442" s="93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3">
        <f t="shared" ref="G442" si="659">+B442/D442-1</f>
        <v>1.2111818686694864E-2</v>
      </c>
      <c r="H442" s="93">
        <f>(B442/(D442*(1-VLOOKUP(A442,FX!A:M,13,0))))-1</f>
        <v>4.6505590774417183E-3</v>
      </c>
      <c r="I442" s="93">
        <f t="shared" si="272"/>
        <v>4.5674368619021966E-3</v>
      </c>
      <c r="J442">
        <v>6678.3710000000001</v>
      </c>
      <c r="K442">
        <v>6705.4812000000002</v>
      </c>
      <c r="L442" s="93">
        <f t="shared" ref="L442" si="660">+K442/J442-1</f>
        <v>4.059403108931825E-3</v>
      </c>
      <c r="M442" s="92">
        <f t="shared" ref="M442" si="661">WEEKDAY(A442,2)</f>
        <v>2</v>
      </c>
    </row>
    <row r="443" spans="1:14" x14ac:dyDescent="0.15">
      <c r="A443" s="90">
        <v>43019</v>
      </c>
      <c r="B443">
        <v>37.11</v>
      </c>
      <c r="C443" s="93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3">
        <f t="shared" ref="G443" si="664">+B443/D443-1</f>
        <v>2.8792179146250874E-3</v>
      </c>
      <c r="H443" s="93">
        <f>(B443/(D443*(1-VLOOKUP(A443,FX!A:M,13,0))))-1</f>
        <v>3.9924284736796434E-3</v>
      </c>
      <c r="I443" s="93">
        <f t="shared" si="272"/>
        <v>3.7434138636140979E-3</v>
      </c>
      <c r="J443">
        <v>6705.4812000000002</v>
      </c>
      <c r="K443">
        <v>6666.4696000000004</v>
      </c>
      <c r="L443" s="93">
        <f t="shared" ref="L443" si="665">+K443/J443-1</f>
        <v>-5.8178673291933158E-3</v>
      </c>
      <c r="M443" s="92">
        <f t="shared" ref="M443" si="666">WEEKDAY(A443,2)</f>
        <v>3</v>
      </c>
    </row>
    <row r="444" spans="1:14" x14ac:dyDescent="0.15">
      <c r="A444" s="90">
        <v>43020</v>
      </c>
      <c r="B444">
        <v>36.97</v>
      </c>
      <c r="C444" s="93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3">
        <f t="shared" ref="G444" si="669">+B444/D444-1</f>
        <v>1.0640181653105429E-3</v>
      </c>
      <c r="H444" s="93">
        <f>(B444/(D444*(1-VLOOKUP(A444,FX!A:M,13,0))))-1</f>
        <v>1.7441724202491571E-3</v>
      </c>
      <c r="I444" s="93">
        <f t="shared" si="272"/>
        <v>1.6255757247358726E-3</v>
      </c>
      <c r="J444">
        <v>6666.4696000000004</v>
      </c>
      <c r="K444">
        <v>6659.0956999999999</v>
      </c>
      <c r="L444" s="93">
        <f t="shared" ref="L444" si="670">+K444/J444-1</f>
        <v>-1.106117696839215E-3</v>
      </c>
      <c r="M444" s="92">
        <f t="shared" ref="M444" si="671">WEEKDAY(A444,2)</f>
        <v>4</v>
      </c>
    </row>
    <row r="445" spans="1:14" x14ac:dyDescent="0.15">
      <c r="A445" s="90">
        <v>43021</v>
      </c>
      <c r="B445">
        <v>37.380000000000003</v>
      </c>
      <c r="C445" s="93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3">
        <f t="shared" ref="G445" si="674">+B445/D445-1</f>
        <v>5.0777026054054097E-3</v>
      </c>
      <c r="H445" s="93">
        <f>(B445/(D445*(1-VLOOKUP(A445,FX!A:M,13,0))))-1</f>
        <v>3.4579572904669398E-3</v>
      </c>
      <c r="I445" s="93">
        <f t="shared" si="272"/>
        <v>3.7081888947663177E-3</v>
      </c>
      <c r="J445">
        <v>6659.0956999999999</v>
      </c>
      <c r="K445">
        <v>6709.82</v>
      </c>
      <c r="L445" s="93">
        <f t="shared" ref="L445" si="675">+K445/J445-1</f>
        <v>7.6172955435975798E-3</v>
      </c>
      <c r="M445" s="92">
        <f t="shared" ref="M445" si="676">WEEKDAY(A445,2)</f>
        <v>5</v>
      </c>
      <c r="N445" s="50" t="s">
        <v>495</v>
      </c>
    </row>
    <row r="446" spans="1:14" x14ac:dyDescent="0.15">
      <c r="A446" s="90">
        <v>43024</v>
      </c>
      <c r="B446">
        <v>36.661000000000001</v>
      </c>
      <c r="C446" s="93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3">
        <f t="shared" ref="G446" si="679">+B446/D446-1</f>
        <v>-2.1225983744650456E-3</v>
      </c>
      <c r="H446" s="93">
        <f>(B446/(D446*(1-VLOOKUP(A446,FX!A:M,13,0))))-1</f>
        <v>2.1767492977997627E-4</v>
      </c>
      <c r="I446" s="93">
        <f t="shared" si="272"/>
        <v>3.0013642564807874E-4</v>
      </c>
      <c r="J446">
        <v>6709.82</v>
      </c>
      <c r="K446">
        <v>6619.21</v>
      </c>
      <c r="L446" s="93">
        <f t="shared" ref="L446" si="680">+K446/J446-1</f>
        <v>-1.3504088038129192E-2</v>
      </c>
      <c r="M446" s="92">
        <f t="shared" ref="M446" si="681">WEEKDAY(A446,2)</f>
        <v>1</v>
      </c>
      <c r="N446" s="50" t="s">
        <v>497</v>
      </c>
    </row>
    <row r="447" spans="1:14" x14ac:dyDescent="0.15">
      <c r="A447" s="90">
        <v>43025</v>
      </c>
      <c r="B447">
        <v>36.390999999999998</v>
      </c>
      <c r="C447" s="93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3">
        <f t="shared" ref="G447" si="684">+B447/D447-1</f>
        <v>-6.1254078680110791E-3</v>
      </c>
      <c r="H447" s="93">
        <f>(B447/(D447*(1-VLOOKUP(A447,FX!A:M,13,0))))-1</f>
        <v>-2.5999911135139442E-3</v>
      </c>
      <c r="I447" s="93">
        <f t="shared" si="272"/>
        <v>-2.2974766139911562E-3</v>
      </c>
      <c r="J447">
        <v>6619.21</v>
      </c>
      <c r="K447">
        <v>6612.94</v>
      </c>
      <c r="L447" s="93">
        <f t="shared" ref="L447" si="685">+K447/J447-1</f>
        <v>-9.4724294893200334E-4</v>
      </c>
      <c r="M447" s="92">
        <f t="shared" ref="M447" si="686">WEEKDAY(A447,2)</f>
        <v>2</v>
      </c>
    </row>
    <row r="448" spans="1:14" x14ac:dyDescent="0.15">
      <c r="A448" s="90">
        <v>43026</v>
      </c>
      <c r="B448">
        <v>36.299999999999997</v>
      </c>
      <c r="C448" s="93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3">
        <f t="shared" ref="G448" si="689">+B448/D448-1</f>
        <v>2.7132842536119472E-3</v>
      </c>
      <c r="H448" s="93">
        <f>(B448/(D448*(1-VLOOKUP(A448,FX!A:M,13,0))))-1</f>
        <v>4.812290143012099E-3</v>
      </c>
      <c r="I448" s="93">
        <f t="shared" si="272"/>
        <v>4.7052311098807476E-3</v>
      </c>
      <c r="J448">
        <v>6612.94</v>
      </c>
      <c r="K448">
        <v>6563.44</v>
      </c>
      <c r="L448" s="93">
        <f t="shared" ref="L448" si="690">+K448/J448-1</f>
        <v>-7.4853242279531162E-3</v>
      </c>
      <c r="M448" s="92">
        <f t="shared" ref="M448" si="691">WEEKDAY(A448,2)</f>
        <v>3</v>
      </c>
      <c r="N448" s="50" t="s">
        <v>506</v>
      </c>
    </row>
    <row r="449" spans="1:14" x14ac:dyDescent="0.15">
      <c r="A449" s="90">
        <v>43027</v>
      </c>
      <c r="B449">
        <v>35.76</v>
      </c>
      <c r="C449" s="93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3">
        <f t="shared" ref="G449" si="694">+B449/D449-1</f>
        <v>-7.9596047915475587E-4</v>
      </c>
      <c r="H449" s="93">
        <f>(B449/(D449*(1-VLOOKUP(A449,FX!A:M,13,0))))-1</f>
        <v>-2.978301915076087E-3</v>
      </c>
      <c r="I449" s="93">
        <f t="shared" si="272"/>
        <v>-2.7469079855543255E-3</v>
      </c>
      <c r="J449">
        <v>6563.44</v>
      </c>
      <c r="K449">
        <v>6501.4</v>
      </c>
      <c r="L449" s="93">
        <f t="shared" ref="L449" si="695">+K449/J449-1</f>
        <v>-9.4523603476225349E-3</v>
      </c>
      <c r="M449" s="92">
        <f t="shared" ref="M449" si="696">WEEKDAY(A449,2)</f>
        <v>4</v>
      </c>
    </row>
    <row r="450" spans="1:14" x14ac:dyDescent="0.15">
      <c r="A450" s="90">
        <v>43028</v>
      </c>
      <c r="B450">
        <v>36.24</v>
      </c>
      <c r="C450" s="93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3">
        <f t="shared" ref="G450" si="699">+B450/D450-1</f>
        <v>-1.2955315835916359E-4</v>
      </c>
      <c r="H450" s="93">
        <f>(B450/(D450*(1-VLOOKUP(A450,FX!A:M,13,0))))-1</f>
        <v>2.5721323013025987E-3</v>
      </c>
      <c r="I450" s="93">
        <f t="shared" si="272"/>
        <v>2.2927723738905836E-3</v>
      </c>
      <c r="J450">
        <v>6501.4</v>
      </c>
      <c r="K450">
        <v>6571.42</v>
      </c>
      <c r="L450" s="93">
        <f t="shared" ref="L450" si="700">+K450/J450-1</f>
        <v>1.0769988002584219E-2</v>
      </c>
      <c r="M450" s="92">
        <f t="shared" ref="M450" si="701">WEEKDAY(A450,2)</f>
        <v>5</v>
      </c>
    </row>
    <row r="451" spans="1:14" x14ac:dyDescent="0.15">
      <c r="A451" s="90">
        <v>43031</v>
      </c>
      <c r="B451">
        <v>36.350200000000001</v>
      </c>
      <c r="C451" s="93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3">
        <f t="shared" ref="G451" si="704">+B451/D451-1</f>
        <v>-9.4435377921153751E-4</v>
      </c>
      <c r="H451" s="93">
        <f>(B451/(D451*(1-VLOOKUP(A451,FX!A:M,13,0))))-1</f>
        <v>1.1627309998345492E-3</v>
      </c>
      <c r="I451" s="93">
        <f t="shared" si="272"/>
        <v>1.0823196340494778E-3</v>
      </c>
      <c r="J451">
        <v>6571.42</v>
      </c>
      <c r="K451">
        <v>6612.76</v>
      </c>
      <c r="L451" s="93">
        <f t="shared" ref="L451" si="705">+K451/J451-1</f>
        <v>6.2908777707102459E-3</v>
      </c>
      <c r="M451" s="92">
        <f t="shared" ref="M451" si="706">WEEKDAY(A451,2)</f>
        <v>1</v>
      </c>
    </row>
    <row r="452" spans="1:14" x14ac:dyDescent="0.15">
      <c r="A452" s="90">
        <v>43032</v>
      </c>
      <c r="B452">
        <v>36.36</v>
      </c>
      <c r="C452" s="93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3">
        <f t="shared" ref="G452" si="709">+B452/D452-1</f>
        <v>2.832325776732203E-3</v>
      </c>
      <c r="H452" s="93">
        <f>(B452/(D452*(1-VLOOKUP(A452,FX!A:M,13,0))))-1</f>
        <v>3.6046630775721233E-3</v>
      </c>
      <c r="I452" s="93">
        <f t="shared" si="272"/>
        <v>3.2475863838663521E-3</v>
      </c>
      <c r="J452">
        <v>6612.76</v>
      </c>
      <c r="K452">
        <v>6603</v>
      </c>
      <c r="L452" s="93">
        <f t="shared" ref="L452" si="710">+K452/J452-1</f>
        <v>-1.4759344056037849E-3</v>
      </c>
      <c r="M452" s="92">
        <f t="shared" ref="M452" si="711">WEEKDAY(A452,2)</f>
        <v>2</v>
      </c>
    </row>
    <row r="453" spans="1:14" x14ac:dyDescent="0.15">
      <c r="A453" s="90">
        <v>43033</v>
      </c>
      <c r="B453">
        <v>36.35</v>
      </c>
      <c r="C453" s="93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3">
        <f t="shared" ref="G453" si="714">+B453/D453-1</f>
        <v>-3.8009189902811213E-3</v>
      </c>
      <c r="H453" s="93">
        <f>(B453/(D453*(1-VLOOKUP(A453,FX!A:M,13,0))))-1</f>
        <v>-4.5714633157999396E-3</v>
      </c>
      <c r="I453" s="93">
        <f t="shared" si="272"/>
        <v>-4.2378104737197386E-3</v>
      </c>
      <c r="J453">
        <v>6603</v>
      </c>
      <c r="K453">
        <v>6647.89</v>
      </c>
      <c r="L453" s="93">
        <f t="shared" ref="L453" si="715">+K453/J453-1</f>
        <v>6.798424958352367E-3</v>
      </c>
      <c r="M453" s="92">
        <f t="shared" ref="M453" si="716">WEEKDAY(A453,2)</f>
        <v>3</v>
      </c>
    </row>
    <row r="454" spans="1:14" x14ac:dyDescent="0.15">
      <c r="A454" s="90">
        <v>43034</v>
      </c>
      <c r="B454">
        <v>36.674999999999997</v>
      </c>
      <c r="C454" s="93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3">
        <f t="shared" ref="G454" si="719">+B454/D454-1</f>
        <v>1.0451881277395714E-3</v>
      </c>
      <c r="H454" s="93">
        <f>(B454/(D454*(1-VLOOKUP(A454,FX!A:M,13,0))))-1</f>
        <v>3.4830717648990372E-3</v>
      </c>
      <c r="I454" s="93">
        <f t="shared" si="272"/>
        <v>3.1263077566896502E-3</v>
      </c>
      <c r="J454">
        <v>6647.89</v>
      </c>
      <c r="K454">
        <v>6671.93</v>
      </c>
      <c r="L454" s="93">
        <f t="shared" ref="L454" si="720">+K454/J454-1</f>
        <v>3.6161849850102623E-3</v>
      </c>
      <c r="M454" s="92">
        <f t="shared" ref="M454" si="721">WEEKDAY(A454,2)</f>
        <v>4</v>
      </c>
    </row>
    <row r="455" spans="1:14" ht="27" x14ac:dyDescent="0.15">
      <c r="A455" s="90">
        <v>43035</v>
      </c>
      <c r="B455">
        <v>36.46</v>
      </c>
      <c r="C455" s="93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3">
        <f t="shared" ref="G455" si="724">+B455/D455-1</f>
        <v>3.4299498149132912E-3</v>
      </c>
      <c r="H455" s="93">
        <f>(B455/(D455*(1-VLOOKUP(A455,FX!A:M,13,0))))-1</f>
        <v>2.4690088302816715E-3</v>
      </c>
      <c r="I455" s="93">
        <f t="shared" si="272"/>
        <v>2.8219839702510185E-3</v>
      </c>
      <c r="J455">
        <v>6671.93</v>
      </c>
      <c r="K455">
        <v>6630.81</v>
      </c>
      <c r="L455" s="93">
        <f t="shared" ref="L455" si="725">+K455/J455-1</f>
        <v>-6.1631342055447069E-3</v>
      </c>
      <c r="M455" s="92">
        <f t="shared" ref="M455" si="726">WEEKDAY(A455,2)</f>
        <v>5</v>
      </c>
      <c r="N455" s="50" t="s">
        <v>558</v>
      </c>
    </row>
    <row r="456" spans="1:14" x14ac:dyDescent="0.15">
      <c r="A456" s="90">
        <v>43038</v>
      </c>
      <c r="B456">
        <v>35.57</v>
      </c>
      <c r="C456" s="93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3">
        <f t="shared" ref="G456" si="729">+B456/D456-1</f>
        <v>-3.7708503646702862E-3</v>
      </c>
      <c r="H456" s="93">
        <f>(B456/(D456*(1-VLOOKUP(A456,FX!A:M,13,0))))-1</f>
        <v>-5.3020876556501007E-3</v>
      </c>
      <c r="I456" s="93">
        <f t="shared" si="272"/>
        <v>-5.2436551772355733E-3</v>
      </c>
      <c r="J456">
        <v>6630.81</v>
      </c>
      <c r="K456">
        <v>6511.76</v>
      </c>
      <c r="L456" s="93">
        <f t="shared" ref="L456" si="730">+K456/J456-1</f>
        <v>-1.7954065943678099E-2</v>
      </c>
      <c r="M456" s="92">
        <f t="shared" ref="M456" si="731">WEEKDAY(A456,2)</f>
        <v>1</v>
      </c>
    </row>
    <row r="457" spans="1:14" x14ac:dyDescent="0.15">
      <c r="A457" s="90">
        <v>43039</v>
      </c>
      <c r="B457">
        <v>36.096899999999998</v>
      </c>
      <c r="C457" s="93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3">
        <f t="shared" ref="G457" si="734">+B457/D457-1</f>
        <v>2.0361802792929762E-3</v>
      </c>
      <c r="H457" s="93">
        <f>(B457/(D457*(1-VLOOKUP(A457,FX!A:M,13,0))))-1</f>
        <v>1.3313738909437323E-3</v>
      </c>
      <c r="I457" s="93">
        <f t="shared" si="272"/>
        <v>1.1648902090977131E-3</v>
      </c>
      <c r="J457">
        <v>6511.76</v>
      </c>
      <c r="K457">
        <v>6560.21</v>
      </c>
      <c r="L457" s="93">
        <f t="shared" ref="L457" si="735">+K457/J457-1</f>
        <v>7.4403847807658074E-3</v>
      </c>
      <c r="M457" s="92">
        <f t="shared" ref="M457" si="736">WEEKDAY(A457,2)</f>
        <v>2</v>
      </c>
    </row>
    <row r="458" spans="1:14" x14ac:dyDescent="0.15">
      <c r="A458" s="90">
        <v>43040</v>
      </c>
      <c r="B458">
        <v>36.1905</v>
      </c>
      <c r="C458" s="93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3">
        <f t="shared" ref="G458" si="739">+B458/D458-1</f>
        <v>4.872995944224412E-3</v>
      </c>
      <c r="H458" s="93">
        <f>(B458/(D458*(1-VLOOKUP(A458,FX!A:M,13,0))))-1</f>
        <v>1.3097629470917305E-3</v>
      </c>
      <c r="I458" s="93">
        <f t="shared" si="272"/>
        <v>1.2671290673320623E-3</v>
      </c>
      <c r="J458">
        <v>6560.21</v>
      </c>
      <c r="K458">
        <v>6552.95</v>
      </c>
      <c r="L458" s="93">
        <f t="shared" ref="L458" si="740">+K458/J458-1</f>
        <v>-1.1066718900767381E-3</v>
      </c>
      <c r="M458" s="92">
        <f t="shared" ref="M458" si="741">WEEKDAY(A458,2)</f>
        <v>3</v>
      </c>
    </row>
    <row r="459" spans="1:14" x14ac:dyDescent="0.15">
      <c r="A459" s="90">
        <v>43041</v>
      </c>
      <c r="B459">
        <v>35.79</v>
      </c>
      <c r="C459" s="93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3">
        <f t="shared" ref="G459" si="744">+B459/D459-1</f>
        <v>5.7266854067683504E-4</v>
      </c>
      <c r="H459" s="93">
        <f>(B459/(D459*(1-VLOOKUP(A459,FX!A:M,13,0))))-1</f>
        <v>2.8505239387044412E-4</v>
      </c>
      <c r="I459" s="93">
        <f t="shared" si="272"/>
        <v>3.5217763168926552E-4</v>
      </c>
      <c r="J459">
        <v>6552.95</v>
      </c>
      <c r="K459">
        <v>6484.93</v>
      </c>
      <c r="L459" s="93">
        <f t="shared" ref="L459" si="745">+K459/J459-1</f>
        <v>-1.038005783654683E-2</v>
      </c>
      <c r="M459" s="92">
        <f t="shared" ref="M459" si="746">WEEKDAY(A459,2)</f>
        <v>4</v>
      </c>
    </row>
    <row r="460" spans="1:14" x14ac:dyDescent="0.15">
      <c r="A460" s="90">
        <v>43042</v>
      </c>
      <c r="B460">
        <v>35.325000000000003</v>
      </c>
      <c r="C460" s="93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3">
        <f t="shared" ref="G460" si="749">+B460/D460-1</f>
        <v>-3.7421920001183828E-3</v>
      </c>
      <c r="H460" s="93">
        <f>(B460/(D460*(1-VLOOKUP(A460,FX!A:M,13,0))))-1</f>
        <v>7.9708527587074585E-4</v>
      </c>
      <c r="I460" s="93">
        <f t="shared" si="272"/>
        <v>9.9178237461039487E-4</v>
      </c>
      <c r="J460">
        <v>6484.93</v>
      </c>
      <c r="K460">
        <v>6426.98</v>
      </c>
      <c r="L460" s="93">
        <f t="shared" ref="L460" si="750">+K460/J460-1</f>
        <v>-8.9361026256259413E-3</v>
      </c>
      <c r="M460" s="92">
        <f t="shared" ref="M460" si="751">WEEKDAY(A460,2)</f>
        <v>5</v>
      </c>
      <c r="N460" s="50" t="s">
        <v>557</v>
      </c>
    </row>
    <row r="461" spans="1:14" x14ac:dyDescent="0.15">
      <c r="A461" s="90">
        <v>43045</v>
      </c>
      <c r="B461">
        <v>35.886499999999998</v>
      </c>
      <c r="C461" s="93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3">
        <f t="shared" ref="G461" si="754">+B461/D461-1</f>
        <v>3.7649539682040878E-3</v>
      </c>
      <c r="H461" s="93">
        <f>(B461/(D461*(1-VLOOKUP(A461,FX!A:M,13,0))))-1</f>
        <v>1.7955017573882959E-3</v>
      </c>
      <c r="I461" s="93">
        <f t="shared" si="272"/>
        <v>1.6999017462371313E-3</v>
      </c>
      <c r="J461">
        <v>6426.98</v>
      </c>
      <c r="K461">
        <v>6511.1</v>
      </c>
      <c r="L461" s="93">
        <f t="shared" ref="L461" si="755">+K461/J461-1</f>
        <v>1.3088573482413324E-2</v>
      </c>
      <c r="M461" s="92">
        <f t="shared" ref="M461" si="756">WEEKDAY(A461,2)</f>
        <v>1</v>
      </c>
    </row>
    <row r="462" spans="1:14" x14ac:dyDescent="0.15">
      <c r="A462" s="90">
        <v>43046</v>
      </c>
      <c r="B462">
        <v>35.99</v>
      </c>
      <c r="C462" s="93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3">
        <f t="shared" ref="G462" si="759">+B462/D462-1</f>
        <v>-1.6729748178976322E-3</v>
      </c>
      <c r="H462" s="93">
        <f>(B462/(D462*(1-VLOOKUP(A462,FX!A:M,13,0))))-1</f>
        <v>1.1546626042737707E-3</v>
      </c>
      <c r="I462" s="93">
        <f t="shared" si="272"/>
        <v>6.9790267733260691E-4</v>
      </c>
      <c r="J462">
        <v>6511.1</v>
      </c>
      <c r="K462">
        <v>6551.94</v>
      </c>
      <c r="L462" s="93">
        <f t="shared" ref="L462" si="760">+K462/J462-1</f>
        <v>6.2723656525009996E-3</v>
      </c>
      <c r="M462" s="92">
        <f t="shared" ref="M462" si="761">WEEKDAY(A462,2)</f>
        <v>2</v>
      </c>
    </row>
    <row r="463" spans="1:14" x14ac:dyDescent="0.15">
      <c r="A463" s="90">
        <v>43047</v>
      </c>
      <c r="B463">
        <v>35.880000000000003</v>
      </c>
      <c r="C463" s="93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3">
        <f t="shared" ref="G463" si="764">+B463/D463-1</f>
        <v>-3.8430249783373283E-3</v>
      </c>
      <c r="H463" s="93">
        <f>(B463/(D463*(1-VLOOKUP(A463,FX!A:M,13,0))))-1</f>
        <v>-5.4710394751343872E-3</v>
      </c>
      <c r="I463" s="93">
        <f t="shared" si="272"/>
        <v>-5.1930696226221151E-3</v>
      </c>
      <c r="J463">
        <v>6551.94</v>
      </c>
      <c r="K463">
        <v>6561.69</v>
      </c>
      <c r="L463" s="93">
        <f t="shared" ref="L463" si="765">+K463/J463-1</f>
        <v>1.4881088654659091E-3</v>
      </c>
      <c r="M463" s="92">
        <f t="shared" ref="M463" si="766">WEEKDAY(A463,2)</f>
        <v>3</v>
      </c>
    </row>
    <row r="464" spans="1:14" x14ac:dyDescent="0.15">
      <c r="A464" s="90">
        <v>43048</v>
      </c>
      <c r="B464">
        <v>36.159999999999997</v>
      </c>
      <c r="C464" s="93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3">
        <f t="shared" ref="G464" si="769">+B464/D464-1</f>
        <v>-4.9604356298402763E-3</v>
      </c>
      <c r="H464" s="93">
        <f>(B464/(D464*(1-VLOOKUP(A464,FX!A:M,13,0))))-1</f>
        <v>-2.4222759308928365E-3</v>
      </c>
      <c r="I464" s="93">
        <f t="shared" si="272"/>
        <v>-2.325882966425219E-3</v>
      </c>
      <c r="J464">
        <v>6561.69</v>
      </c>
      <c r="K464">
        <v>6611.35</v>
      </c>
      <c r="L464" s="93">
        <f t="shared" ref="L464" si="770">+K464/J464-1</f>
        <v>7.5681722239240301E-3</v>
      </c>
      <c r="M464" s="92">
        <f t="shared" ref="M464" si="771">WEEKDAY(A464,2)</f>
        <v>4</v>
      </c>
      <c r="N464" s="50" t="s">
        <v>568</v>
      </c>
    </row>
    <row r="465" spans="1:14" x14ac:dyDescent="0.15">
      <c r="A465" s="90">
        <v>43049</v>
      </c>
      <c r="B465">
        <v>36.42</v>
      </c>
      <c r="C465" s="93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3">
        <f t="shared" ref="G465" si="774">+B465/D465-1</f>
        <v>3.2818804913614663E-4</v>
      </c>
      <c r="H465" s="93">
        <f>(B465/(D465*(1-VLOOKUP(A465,FX!A:M,13,0))))-1</f>
        <v>2.1126602846828213E-3</v>
      </c>
      <c r="I465" s="93">
        <f t="shared" si="272"/>
        <v>1.9891217325993527E-3</v>
      </c>
      <c r="J465">
        <v>6611.35</v>
      </c>
      <c r="K465">
        <v>6641.22</v>
      </c>
      <c r="L465" s="93">
        <f t="shared" ref="L465" si="775">+K465/J465-1</f>
        <v>4.5179880054753152E-3</v>
      </c>
      <c r="M465" s="92">
        <f t="shared" ref="M465" si="776">WEEKDAY(A465,2)</f>
        <v>5</v>
      </c>
      <c r="N465" s="50" t="s">
        <v>573</v>
      </c>
    </row>
    <row r="466" spans="1:14" x14ac:dyDescent="0.15">
      <c r="A466" s="90">
        <v>43052</v>
      </c>
      <c r="B466">
        <v>36.479999999999997</v>
      </c>
      <c r="C466" s="93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3">
        <f t="shared" ref="G466" si="779">+B466/D466-1</f>
        <v>-8.7195389026561987E-4</v>
      </c>
      <c r="H466" s="93">
        <f>(B466/(D466*(1-VLOOKUP(A466,FX!A:M,13,0))))-1</f>
        <v>-1.6644226939233064E-3</v>
      </c>
      <c r="I466" s="93">
        <f t="shared" si="272"/>
        <v>-1.7458501852571917E-3</v>
      </c>
      <c r="J466">
        <v>6641.22</v>
      </c>
      <c r="K466">
        <v>6671.21</v>
      </c>
      <c r="L466" s="93">
        <f t="shared" ref="L466" si="780">+K466/J466-1</f>
        <v>4.5157365664743043E-3</v>
      </c>
      <c r="M466" s="92">
        <f t="shared" ref="M466" si="781">WEEKDAY(A466,2)</f>
        <v>1</v>
      </c>
    </row>
    <row r="467" spans="1:14" x14ac:dyDescent="0.15">
      <c r="A467" s="90">
        <v>43053</v>
      </c>
      <c r="B467">
        <v>36.19</v>
      </c>
      <c r="C467" s="93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3">
        <f t="shared" ref="G467" si="784">+B467/D467-1</f>
        <v>-1.1924600211262737E-3</v>
      </c>
      <c r="H467" s="93">
        <f>(B467/(D467*(1-VLOOKUP(A467,FX!A:M,13,0))))-1</f>
        <v>-3.956057467910834E-3</v>
      </c>
      <c r="I467" s="93">
        <f t="shared" si="272"/>
        <v>-3.6643348172374912E-3</v>
      </c>
      <c r="J467">
        <v>6671.21</v>
      </c>
      <c r="K467">
        <v>6614.51</v>
      </c>
      <c r="L467" s="93">
        <f t="shared" ref="L467" si="785">+K467/J467-1</f>
        <v>-8.4992077898912166E-3</v>
      </c>
      <c r="M467" s="92">
        <f t="shared" ref="M467" si="786">WEEKDAY(A467,2)</f>
        <v>2</v>
      </c>
    </row>
    <row r="468" spans="1:14" x14ac:dyDescent="0.15">
      <c r="A468" s="90">
        <v>43054</v>
      </c>
      <c r="B468">
        <v>35.74</v>
      </c>
      <c r="C468" s="93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3">
        <f t="shared" ref="G468" si="789">+B468/D468-1</f>
        <v>-4.4868790585075313E-3</v>
      </c>
      <c r="H468" s="93">
        <f>(B468/(D468*(1-VLOOKUP(A468,FX!A:M,13,0))))-1</f>
        <v>-5.0064859237405335E-3</v>
      </c>
      <c r="I468" s="93">
        <f t="shared" si="272"/>
        <v>-4.5760535646147682E-3</v>
      </c>
      <c r="J468">
        <v>6614.51</v>
      </c>
      <c r="K468">
        <v>6537.66</v>
      </c>
      <c r="L468" s="93">
        <f t="shared" ref="L468" si="790">+K468/J468-1</f>
        <v>-1.1618396525215124E-2</v>
      </c>
      <c r="M468" s="92">
        <f t="shared" ref="M468" si="791">WEEKDAY(A468,2)</f>
        <v>3</v>
      </c>
    </row>
    <row r="469" spans="1:14" x14ac:dyDescent="0.15">
      <c r="A469" s="90">
        <v>43055</v>
      </c>
      <c r="B469">
        <v>36.07</v>
      </c>
      <c r="C469" s="93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3">
        <f t="shared" ref="G469" si="794">+B469/D469-1</f>
        <v>1.4518377970687002E-3</v>
      </c>
      <c r="H469" s="93">
        <f>(B469/(D469*(1-VLOOKUP(A469,FX!A:M,13,0))))-1</f>
        <v>1.4005088151090028E-3</v>
      </c>
      <c r="I469" s="93">
        <f t="shared" si="272"/>
        <v>1.1879912954655403E-3</v>
      </c>
      <c r="J469">
        <v>6537.66</v>
      </c>
      <c r="K469">
        <v>6558.31</v>
      </c>
      <c r="L469" s="93">
        <f t="shared" ref="L469" si="795">+K469/J469-1</f>
        <v>3.1586225040765026E-3</v>
      </c>
      <c r="M469" s="92">
        <f t="shared" ref="M469" si="796">WEEKDAY(A469,2)</f>
        <v>4</v>
      </c>
      <c r="N469" s="50" t="s">
        <v>586</v>
      </c>
    </row>
    <row r="470" spans="1:14" x14ac:dyDescent="0.15">
      <c r="A470" s="90">
        <v>43056</v>
      </c>
      <c r="B470">
        <v>34.895000000000003</v>
      </c>
      <c r="C470" s="93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3">
        <f t="shared" ref="G470" si="799">+B470/D470-1</f>
        <v>-1.5298992347102525E-3</v>
      </c>
      <c r="H470" s="93">
        <f>(B470/(D470*(1-VLOOKUP(A470,FX!A:M,13,0))))-1</f>
        <v>-9.6525333095598409E-4</v>
      </c>
      <c r="I470" s="93">
        <f t="shared" si="272"/>
        <v>-3.9531579429818997E-4</v>
      </c>
      <c r="J470">
        <v>6558.31</v>
      </c>
      <c r="K470">
        <v>6361.94</v>
      </c>
      <c r="L470" s="93">
        <f t="shared" ref="L470" si="800">+K470/J470-1</f>
        <v>-2.9942164978477792E-2</v>
      </c>
      <c r="M470" s="92">
        <f t="shared" ref="M470" si="801">WEEKDAY(A470,2)</f>
        <v>5</v>
      </c>
    </row>
    <row r="471" spans="1:14" x14ac:dyDescent="0.15">
      <c r="A471" s="90">
        <v>43059</v>
      </c>
      <c r="B471">
        <v>35.205300000000001</v>
      </c>
      <c r="C471" s="93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3">
        <f t="shared" ref="G471" si="804">+B471/D471-1</f>
        <v>-2.6727847366379009E-3</v>
      </c>
      <c r="H471" s="93">
        <f>(B471/(D471*(1-VLOOKUP(A471,FX!A:M,13,0))))-1</f>
        <v>-1.1313018238282568E-3</v>
      </c>
      <c r="I471" s="93">
        <f t="shared" si="272"/>
        <v>-1.6532628546148675E-3</v>
      </c>
      <c r="J471">
        <v>6361.94</v>
      </c>
      <c r="K471">
        <v>6433.17</v>
      </c>
      <c r="L471" s="93">
        <f t="shared" ref="L471" si="805">+K471/J471-1</f>
        <v>1.1196270320059654E-2</v>
      </c>
      <c r="M471" s="92">
        <f t="shared" ref="M471" si="806">WEEKDAY(A471,2)</f>
        <v>1</v>
      </c>
    </row>
    <row r="472" spans="1:14" x14ac:dyDescent="0.15">
      <c r="A472" s="90">
        <v>43060</v>
      </c>
      <c r="B472">
        <v>35.67</v>
      </c>
      <c r="C472" s="93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3">
        <f t="shared" ref="G472" si="809">+B472/D472-1</f>
        <v>7.8929913143983566E-3</v>
      </c>
      <c r="H472" s="93">
        <f>(B472/(D472*(1-VLOOKUP(A472,FX!A:M,13,0))))-1</f>
        <v>4.8596486998737642E-3</v>
      </c>
      <c r="I472" s="93">
        <f t="shared" si="272"/>
        <v>4.4916292364229893E-3</v>
      </c>
      <c r="J472">
        <v>6433.17</v>
      </c>
      <c r="K472">
        <v>6456.35</v>
      </c>
      <c r="L472" s="93">
        <f t="shared" ref="L472" si="810">+K472/J472-1</f>
        <v>3.6032002885046932E-3</v>
      </c>
      <c r="M472" s="92">
        <f t="shared" ref="M472" si="811">WEEKDAY(A472,2)</f>
        <v>2</v>
      </c>
    </row>
    <row r="473" spans="1:14" x14ac:dyDescent="0.15">
      <c r="A473" s="90">
        <v>43061</v>
      </c>
      <c r="B473">
        <v>35.4</v>
      </c>
      <c r="C473" s="93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3">
        <f t="shared" ref="G473" si="814">+B473/D473-1</f>
        <v>-4.9392241732149067E-4</v>
      </c>
      <c r="H473" s="93">
        <f>(B473/(D473*(1-VLOOKUP(A473,FX!A:M,13,0))))-1</f>
        <v>-4.7058195138945935E-3</v>
      </c>
      <c r="I473" s="93">
        <f t="shared" si="272"/>
        <v>-4.6645803986402612E-3</v>
      </c>
      <c r="J473">
        <v>6456.35</v>
      </c>
      <c r="K473">
        <v>6439.44</v>
      </c>
      <c r="L473" s="93">
        <f t="shared" ref="L473" si="815">+K473/J473-1</f>
        <v>-2.6191269060693578E-3</v>
      </c>
      <c r="M473" s="92">
        <f t="shared" ref="M473" si="816">WEEKDAY(A473,2)</f>
        <v>3</v>
      </c>
    </row>
    <row r="474" spans="1:14" x14ac:dyDescent="0.15">
      <c r="A474" s="90">
        <v>43062</v>
      </c>
      <c r="B474">
        <v>35.445</v>
      </c>
      <c r="C474" s="93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2">
        <v>34.76</v>
      </c>
      <c r="G474" s="93">
        <f t="shared" ref="G474" si="819">+B474/D474-1</f>
        <v>2.2797040760340836E-2</v>
      </c>
      <c r="H474" s="93">
        <f>(B474/(D474*(1-VLOOKUP(A474,FX!A:M,13,0))))-1</f>
        <v>1.9711929903651448E-2</v>
      </c>
      <c r="I474" s="93">
        <f t="shared" ref="I474:I507" si="820">+B474/F474-1</f>
        <v>1.9706559263521273E-2</v>
      </c>
      <c r="J474">
        <v>6439.44</v>
      </c>
      <c r="K474">
        <v>6274.51</v>
      </c>
      <c r="L474" s="93">
        <f t="shared" ref="L474" si="821">+K474/J474-1</f>
        <v>-2.5612475618997821E-2</v>
      </c>
      <c r="M474" s="92">
        <f t="shared" ref="M474" si="822">WEEKDAY(A474,2)</f>
        <v>4</v>
      </c>
      <c r="N474" s="50" t="s">
        <v>599</v>
      </c>
    </row>
    <row r="475" spans="1:14" x14ac:dyDescent="0.15">
      <c r="A475" s="90">
        <v>43063</v>
      </c>
      <c r="B475">
        <v>34.72</v>
      </c>
      <c r="C475" s="93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2">
        <v>34.661299999999997</v>
      </c>
      <c r="G475" s="93">
        <f t="shared" ref="G475" si="825">+B475/D475-1</f>
        <v>-1.7107882165002808E-3</v>
      </c>
      <c r="H475" s="93">
        <f>(B475/(D475*(1-VLOOKUP(A475,FX!A:M,13,0))))-1</f>
        <v>-3.153533811218745E-4</v>
      </c>
      <c r="I475" s="93">
        <f t="shared" si="820"/>
        <v>1.6935314024575376E-3</v>
      </c>
      <c r="J475">
        <v>6274.51</v>
      </c>
      <c r="K475">
        <v>6278.03</v>
      </c>
      <c r="L475" s="93">
        <f t="shared" ref="L475" si="826">+K475/J475-1</f>
        <v>5.6099998246872396E-4</v>
      </c>
      <c r="M475" s="92">
        <f t="shared" ref="M475" si="827">WEEKDAY(A475,2)</f>
        <v>5</v>
      </c>
    </row>
    <row r="476" spans="1:14" x14ac:dyDescent="0.15">
      <c r="A476" s="90">
        <v>43066</v>
      </c>
      <c r="B476">
        <v>34.049999999999997</v>
      </c>
      <c r="C476" s="93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3">
        <f t="shared" ref="G476" si="830">+B476/D476-1</f>
        <v>-4.3976961093433742E-3</v>
      </c>
      <c r="H476" s="93">
        <f>(B476/(D476*(1-VLOOKUP(A476,FX!A:M,13,0))))-1</f>
        <v>-3.3627612784591365E-3</v>
      </c>
      <c r="I476" s="93">
        <f t="shared" si="820"/>
        <v>-1.8936173954847701E-3</v>
      </c>
      <c r="J476">
        <v>6278.03</v>
      </c>
      <c r="K476">
        <v>6194.55</v>
      </c>
      <c r="L476" s="93">
        <f t="shared" ref="L476" si="831">+K476/J476-1</f>
        <v>-1.3297164874968681E-2</v>
      </c>
      <c r="M476" s="92">
        <f t="shared" ref="M476" si="832">WEEKDAY(A476,2)</f>
        <v>1</v>
      </c>
    </row>
    <row r="477" spans="1:14" x14ac:dyDescent="0.15">
      <c r="A477" s="90">
        <v>43067</v>
      </c>
      <c r="B477">
        <v>34.700000000000003</v>
      </c>
      <c r="C477" s="93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3">
        <f t="shared" ref="G477" si="835">+B477/D477-1</f>
        <v>2.4404120278398445E-4</v>
      </c>
      <c r="H477" s="93">
        <f>(B477/(D477*(1-VLOOKUP(A477,FX!A:M,13,0))))-1</f>
        <v>2.2487739750682856E-3</v>
      </c>
      <c r="I477" s="93">
        <f t="shared" si="820"/>
        <v>1.4719039510520115E-3</v>
      </c>
      <c r="J477">
        <v>6194.55</v>
      </c>
      <c r="K477">
        <v>6299.31</v>
      </c>
      <c r="L477" s="93">
        <f t="shared" ref="L477" si="836">+K477/J477-1</f>
        <v>1.6911640070707445E-2</v>
      </c>
      <c r="M477" s="92">
        <f t="shared" ref="M477" si="837">WEEKDAY(A477,2)</f>
        <v>2</v>
      </c>
    </row>
    <row r="478" spans="1:14" x14ac:dyDescent="0.15">
      <c r="A478" s="90">
        <v>43068</v>
      </c>
      <c r="B478">
        <v>34.524999999999999</v>
      </c>
      <c r="C478" s="93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3">
        <f t="shared" ref="G478" si="840">+B478/D478-1</f>
        <v>-6.5845520112572942E-3</v>
      </c>
      <c r="H478" s="93">
        <f>(B478/(D478*(1-VLOOKUP(A478,FX!A:M,13,0))))-1</f>
        <v>-5.9808026262748726E-3</v>
      </c>
      <c r="I478" s="93">
        <f t="shared" si="820"/>
        <v>-6.2860859904327882E-3</v>
      </c>
      <c r="J478">
        <v>6299.31</v>
      </c>
      <c r="K478">
        <v>6318.37</v>
      </c>
      <c r="L478" s="93">
        <f t="shared" ref="L478" si="841">+K478/J478-1</f>
        <v>3.0257282146775033E-3</v>
      </c>
      <c r="M478" s="92">
        <f t="shared" ref="M478" si="842">WEEKDAY(A478,2)</f>
        <v>3</v>
      </c>
    </row>
    <row r="479" spans="1:14" x14ac:dyDescent="0.15">
      <c r="A479" s="90">
        <v>43069</v>
      </c>
      <c r="B479">
        <v>34.409999999999997</v>
      </c>
      <c r="C479" s="93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3">
        <f t="shared" ref="G479" si="845">+B479/D479-1</f>
        <v>-9.0709275510014731E-4</v>
      </c>
      <c r="H479" s="93">
        <f>(B479/(D479*(1-VLOOKUP(A479,FX!A:M,13,0))))-1</f>
        <v>-9.7810492684002881E-4</v>
      </c>
      <c r="I479" s="93">
        <f t="shared" si="820"/>
        <v>8.7184718260413518E-6</v>
      </c>
      <c r="J479">
        <v>6318.37</v>
      </c>
      <c r="K479">
        <v>6263.42</v>
      </c>
      <c r="L479" s="93">
        <f t="shared" ref="L479" si="846">+K479/J479-1</f>
        <v>-8.696863273280897E-3</v>
      </c>
      <c r="M479" s="92">
        <f t="shared" ref="M479" si="847">WEEKDAY(A479,2)</f>
        <v>4</v>
      </c>
    </row>
    <row r="480" spans="1:14" x14ac:dyDescent="0.15">
      <c r="A480" s="90">
        <v>43070</v>
      </c>
      <c r="B480">
        <v>34.51</v>
      </c>
      <c r="C480" s="93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3">
        <f t="shared" ref="G480" si="850">+B480/D480-1</f>
        <v>-5.4988369892371436E-3</v>
      </c>
      <c r="H480" s="93">
        <f>(B480/(D480*(1-VLOOKUP(A480,FX!A:M,13,0))))-1</f>
        <v>-8.0585496947952473E-3</v>
      </c>
      <c r="I480" s="93">
        <f t="shared" si="820"/>
        <v>-8.3247844090611478E-3</v>
      </c>
      <c r="J480">
        <v>6263.42</v>
      </c>
      <c r="K480">
        <v>6316.41</v>
      </c>
      <c r="L480" s="93">
        <f t="shared" ref="L480" si="851">+K480/J480-1</f>
        <v>8.4602341851576224E-3</v>
      </c>
      <c r="M480" s="92">
        <f t="shared" ref="M480" si="852">WEEKDAY(A480,2)</f>
        <v>5</v>
      </c>
      <c r="N480" s="50" t="s">
        <v>610</v>
      </c>
    </row>
    <row r="481" spans="1:14" x14ac:dyDescent="0.15">
      <c r="A481" s="90">
        <v>43073</v>
      </c>
      <c r="B481">
        <v>34.270000000000003</v>
      </c>
      <c r="C481" s="93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3">
        <f t="shared" ref="G481" si="855">+B481/D481-1</f>
        <v>-9.4519374258414945E-3</v>
      </c>
      <c r="H481" s="93">
        <f>(B481/(D481*(1-VLOOKUP(A481,FX!A:M,13,0))))-1</f>
        <v>-6.1849501657772477E-3</v>
      </c>
      <c r="I481" s="93">
        <f t="shared" si="820"/>
        <v>-6.0587779772556249E-3</v>
      </c>
      <c r="J481">
        <v>6316.41</v>
      </c>
      <c r="K481">
        <v>6279.62</v>
      </c>
      <c r="L481" s="93">
        <f t="shared" ref="L481" si="856">+K481/J481-1</f>
        <v>-5.8245110751201645E-3</v>
      </c>
      <c r="M481" s="92">
        <f t="shared" ref="M481" si="857">WEEKDAY(A481,2)</f>
        <v>1</v>
      </c>
    </row>
    <row r="482" spans="1:14" x14ac:dyDescent="0.15">
      <c r="A482" s="90">
        <v>43074</v>
      </c>
      <c r="B482">
        <v>33.5623</v>
      </c>
      <c r="C482" s="93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3">
        <f t="shared" ref="G482" si="860">+B482/D482-1</f>
        <v>-3.2985600030729367E-3</v>
      </c>
      <c r="H482" s="93">
        <f>(B482/(D482*(1-VLOOKUP(A482,FX!A:M,13,0))))-1</f>
        <v>-3.2217318485467938E-3</v>
      </c>
      <c r="I482" s="93">
        <f t="shared" si="820"/>
        <v>-2.7840503922034188E-3</v>
      </c>
      <c r="J482">
        <v>6279.62</v>
      </c>
      <c r="K482">
        <v>6132.91</v>
      </c>
      <c r="L482" s="93">
        <f t="shared" ref="L482" si="861">+K482/J482-1</f>
        <v>-2.3362878645523111E-2</v>
      </c>
      <c r="M482" s="92">
        <f t="shared" ref="M482" si="862">WEEKDAY(A482,2)</f>
        <v>2</v>
      </c>
    </row>
    <row r="483" spans="1:14" x14ac:dyDescent="0.15">
      <c r="A483" s="90">
        <v>43075</v>
      </c>
      <c r="B483">
        <v>33.64</v>
      </c>
      <c r="C483" s="93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93">
        <f t="shared" ref="G483" si="865">+B483/D483-1</f>
        <v>-6.9345473761116549E-3</v>
      </c>
      <c r="H483" s="93">
        <f>(B483/(D483*(1-VLOOKUP(A483,FX!A:M,13,0))))-1</f>
        <v>-6.6696269542708686E-3</v>
      </c>
      <c r="I483" s="93">
        <f t="shared" si="820"/>
        <v>-6.7906702096249827E-3</v>
      </c>
      <c r="J483">
        <v>6132.91</v>
      </c>
      <c r="K483">
        <v>6172.8</v>
      </c>
      <c r="L483" s="93">
        <f t="shared" ref="L483" si="866">+K483/J483-1</f>
        <v>6.5042532826995458E-3</v>
      </c>
      <c r="M483" s="92">
        <f t="shared" ref="M483" si="867">WEEKDAY(A483,2)</f>
        <v>3</v>
      </c>
    </row>
    <row r="484" spans="1:14" x14ac:dyDescent="0.15">
      <c r="A484" s="90">
        <v>43076</v>
      </c>
      <c r="B484">
        <v>33.56</v>
      </c>
      <c r="C484" s="93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93">
        <f t="shared" ref="G484" si="870">+B484/D484-1</f>
        <v>-3.1240363582872854E-3</v>
      </c>
      <c r="H484" s="93">
        <f>(B484/(D484*(1-VLOOKUP(A484,FX!A:M,13,0))))-1</f>
        <v>-2.4799610724709487E-3</v>
      </c>
      <c r="I484" s="93">
        <f t="shared" si="820"/>
        <v>-3.8557549888839082E-3</v>
      </c>
      <c r="J484">
        <v>6172.8</v>
      </c>
      <c r="K484">
        <v>6135.47</v>
      </c>
      <c r="L484" s="93">
        <f t="shared" ref="L484" si="871">+K484/J484-1</f>
        <v>-6.0474987039916828E-3</v>
      </c>
      <c r="M484" s="92">
        <f t="shared" ref="M484" si="872">WEEKDAY(A484,2)</f>
        <v>4</v>
      </c>
    </row>
    <row r="485" spans="1:14" x14ac:dyDescent="0.15">
      <c r="A485" s="90">
        <v>43077</v>
      </c>
      <c r="B485">
        <v>34.049900000000001</v>
      </c>
      <c r="C485" s="93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93">
        <f t="shared" ref="G485" si="875">+B485/D485-1</f>
        <v>-3.3986628809523634E-4</v>
      </c>
      <c r="H485" s="93">
        <f>(B485/(D485*(1-VLOOKUP(A485,FX!A:M,13,0))))-1</f>
        <v>-3.0288643533460391E-4</v>
      </c>
      <c r="I485" s="93">
        <f t="shared" si="820"/>
        <v>-5.8996184326387535E-4</v>
      </c>
      <c r="J485">
        <v>6135.47</v>
      </c>
      <c r="K485">
        <v>6203.14</v>
      </c>
      <c r="L485" s="93">
        <f t="shared" ref="L485" si="876">+K485/J485-1</f>
        <v>1.1029309898019202E-2</v>
      </c>
      <c r="M485" s="92">
        <f t="shared" ref="M485" si="877">WEEKDAY(A485,2)</f>
        <v>5</v>
      </c>
      <c r="N485" s="50" t="s">
        <v>619</v>
      </c>
    </row>
    <row r="486" spans="1:14" x14ac:dyDescent="0.15">
      <c r="A486" s="90">
        <v>43080</v>
      </c>
      <c r="B486">
        <v>34.590000000000003</v>
      </c>
      <c r="C486" s="93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D486*(1-VLOOKUP(A486,FX!A:M,13,0))</f>
        <v>34.538258414357173</v>
      </c>
      <c r="F486">
        <v>34.545200000000001</v>
      </c>
      <c r="G486" s="93">
        <f t="shared" ref="G486" si="880">+B486/D486-1</f>
        <v>1.8527387052351685E-3</v>
      </c>
      <c r="H486" s="93">
        <f>(B486/(D486*(1-VLOOKUP(A486,FX!A:M,13,0))))-1</f>
        <v>1.4980948090110857E-3</v>
      </c>
      <c r="I486" s="93">
        <f t="shared" si="820"/>
        <v>1.2968516610123437E-3</v>
      </c>
      <c r="J486">
        <v>6203.14</v>
      </c>
      <c r="K486">
        <v>6286.17</v>
      </c>
      <c r="L486" s="93">
        <f t="shared" ref="L486" si="881">+K486/J486-1</f>
        <v>1.3385156549747368E-2</v>
      </c>
      <c r="M486" s="92">
        <f t="shared" ref="M486" si="882">WEEKDAY(A486,2)</f>
        <v>1</v>
      </c>
    </row>
    <row r="487" spans="1:14" x14ac:dyDescent="0.15">
      <c r="A487" s="90">
        <v>43081</v>
      </c>
      <c r="B487">
        <v>34.130000000000003</v>
      </c>
      <c r="C487" s="93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D487*(1-VLOOKUP(A487,FX!A:M,13,0))</f>
        <v>34.254162087884993</v>
      </c>
      <c r="F487">
        <v>34.207900000000002</v>
      </c>
      <c r="G487" s="93">
        <f t="shared" ref="G487" si="885">+B487/D487-1</f>
        <v>-3.6247299690598256E-3</v>
      </c>
      <c r="H487" s="93">
        <f>(B487/(D487*(1-VLOOKUP(A487,FX!A:M,13,0))))-1</f>
        <v>-3.6247299690598256E-3</v>
      </c>
      <c r="I487" s="93">
        <f t="shared" si="820"/>
        <v>-2.277251745941733E-3</v>
      </c>
      <c r="J487">
        <v>6286.17</v>
      </c>
      <c r="K487">
        <v>6233.21</v>
      </c>
      <c r="L487" s="93">
        <f t="shared" ref="L487" si="886">+K487/J487-1</f>
        <v>-8.4248437442830948E-3</v>
      </c>
      <c r="M487" s="92">
        <f t="shared" ref="M487" si="887">WEEKDAY(A487,2)</f>
        <v>2</v>
      </c>
    </row>
    <row r="488" spans="1:14" x14ac:dyDescent="0.15">
      <c r="A488" s="90">
        <v>43082</v>
      </c>
      <c r="B488">
        <v>34.6</v>
      </c>
      <c r="C488" s="93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D488*(1-VLOOKUP(A488,FX!A:M,13,0))</f>
        <v>34.49176466650227</v>
      </c>
      <c r="F488">
        <v>34.5319</v>
      </c>
      <c r="G488" s="93">
        <f t="shared" ref="G488" si="890">+B488/D488-1</f>
        <v>4.3356371557232709E-3</v>
      </c>
      <c r="H488" s="93">
        <f>(B488/(D488*(1-VLOOKUP(A488,FX!A:M,13,0))))-1</f>
        <v>3.1380051019207489E-3</v>
      </c>
      <c r="I488" s="93">
        <f t="shared" si="820"/>
        <v>1.9720895751464962E-3</v>
      </c>
      <c r="J488">
        <v>6233.21</v>
      </c>
      <c r="K488">
        <v>6277.44</v>
      </c>
      <c r="L488" s="93">
        <f t="shared" ref="L488" si="891">+K488/J488-1</f>
        <v>7.0958623245485075E-3</v>
      </c>
      <c r="M488" s="92">
        <f t="shared" ref="M488" si="892">WEEKDAY(A488,2)</f>
        <v>3</v>
      </c>
    </row>
    <row r="489" spans="1:14" x14ac:dyDescent="0.15">
      <c r="A489" s="90">
        <v>43083</v>
      </c>
      <c r="B489">
        <v>34.549999999999997</v>
      </c>
      <c r="C489" s="93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D489*(1-VLOOKUP(A489,FX!A:M,13,0))</f>
        <v>34.592898586052968</v>
      </c>
      <c r="F489">
        <v>34.579900000000002</v>
      </c>
      <c r="G489" s="93">
        <f t="shared" ref="G489" si="895">+B489/D489-1</f>
        <v>-5.3303917301905646E-4</v>
      </c>
      <c r="H489" s="93">
        <f>(B489/(D489*(1-VLOOKUP(A489,FX!A:M,13,0))))-1</f>
        <v>-1.2400980492067726E-3</v>
      </c>
      <c r="I489" s="93">
        <f t="shared" si="820"/>
        <v>-8.6466415461017299E-4</v>
      </c>
      <c r="J489">
        <v>6277.44</v>
      </c>
      <c r="K489">
        <v>6284.08</v>
      </c>
      <c r="L489" s="93">
        <f t="shared" ref="L489" si="896">+K489/J489-1</f>
        <v>1.0577560279350084E-3</v>
      </c>
      <c r="M489" s="92">
        <f t="shared" ref="M489" si="897">WEEKDAY(A489,2)</f>
        <v>4</v>
      </c>
    </row>
    <row r="490" spans="1:14" x14ac:dyDescent="0.15">
      <c r="A490" s="90">
        <v>43084</v>
      </c>
      <c r="B490">
        <v>34.33</v>
      </c>
      <c r="C490" s="93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D490*(1-VLOOKUP(A490,FX!A:M,13,0))</f>
        <v>34.323717033521021</v>
      </c>
      <c r="F490">
        <v>34.287100000000002</v>
      </c>
      <c r="G490" s="93">
        <f t="shared" ref="G490" si="900">+B490/D490-1</f>
        <v>4.661144725202071E-4</v>
      </c>
      <c r="H490" s="93">
        <f>(B490/(D490*(1-VLOOKUP(A490,FX!A:M,13,0))))-1</f>
        <v>1.8305029355780711E-4</v>
      </c>
      <c r="I490" s="93">
        <f t="shared" si="820"/>
        <v>1.2511994306896312E-3</v>
      </c>
      <c r="J490">
        <v>6284.08</v>
      </c>
      <c r="K490">
        <v>6235.76</v>
      </c>
      <c r="L490" s="93">
        <f t="shared" ref="L490" si="901">+K490/J490-1</f>
        <v>-7.6892719379765273E-3</v>
      </c>
      <c r="M490" s="92">
        <f t="shared" ref="M490" si="902">WEEKDAY(A490,2)</f>
        <v>5</v>
      </c>
    </row>
    <row r="491" spans="1:14" x14ac:dyDescent="0.15">
      <c r="A491" s="90">
        <v>43087</v>
      </c>
      <c r="B491">
        <v>34.159999999999997</v>
      </c>
      <c r="C491" s="93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D491*(1-VLOOKUP(A491,FX!A:M,13,0))</f>
        <v>34.067594180266184</v>
      </c>
      <c r="F491">
        <v>34.049500000000002</v>
      </c>
      <c r="G491" s="93">
        <f t="shared" ref="G491" si="905">+B491/D491-1</f>
        <v>2.0410439834128713E-3</v>
      </c>
      <c r="H491" s="93">
        <f>(B491/(D491*(1-VLOOKUP(A491,FX!A:M,13,0))))-1</f>
        <v>2.7124257511361716E-3</v>
      </c>
      <c r="I491" s="93">
        <f t="shared" si="820"/>
        <v>3.2452752610168112E-3</v>
      </c>
      <c r="J491">
        <v>6235.76</v>
      </c>
      <c r="K491">
        <v>6199.99</v>
      </c>
      <c r="L491" s="93">
        <f t="shared" ref="L491" si="906">+K491/J491-1</f>
        <v>-5.7362695164664412E-3</v>
      </c>
      <c r="M491" s="92">
        <f t="shared" ref="M491" si="907">WEEKDAY(A491,2)</f>
        <v>1</v>
      </c>
    </row>
    <row r="492" spans="1:14" x14ac:dyDescent="0.15">
      <c r="A492" s="90">
        <v>43088</v>
      </c>
      <c r="B492">
        <v>34.29</v>
      </c>
      <c r="C492" s="93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D492*(1-VLOOKUP(A492,FX!A:M,13,0))</f>
        <v>34.367354440376154</v>
      </c>
      <c r="F492">
        <v>34.385899999999999</v>
      </c>
      <c r="G492" s="93">
        <f t="shared" ref="G492" si="910">+B492/D492-1</f>
        <v>-1.1930344160849815E-3</v>
      </c>
      <c r="H492" s="93">
        <f>(B492/(D492*(1-VLOOKUP(A492,FX!A:M,13,0))))-1</f>
        <v>-2.2508116099060338E-3</v>
      </c>
      <c r="I492" s="93">
        <f t="shared" si="820"/>
        <v>-2.7889338362526717E-3</v>
      </c>
      <c r="J492">
        <v>6199.99</v>
      </c>
      <c r="K492">
        <v>6251.24</v>
      </c>
      <c r="L492" s="93">
        <f t="shared" ref="L492" si="911">+K492/J492-1</f>
        <v>8.2661423647456544E-3</v>
      </c>
      <c r="M492" s="92">
        <f t="shared" ref="M492" si="912">WEEKDAY(A492,2)</f>
        <v>2</v>
      </c>
    </row>
    <row r="493" spans="1:14" x14ac:dyDescent="0.15">
      <c r="A493" s="90">
        <v>43089</v>
      </c>
      <c r="B493">
        <v>34.21</v>
      </c>
      <c r="C493" s="93">
        <f t="shared" ref="C493" si="913">B493/B492-1</f>
        <v>-2.3330417031204309E-3</v>
      </c>
      <c r="D493" s="26">
        <f t="shared" ref="D493" si="914">+F492*(1+L493)</f>
        <v>34.100526139453933</v>
      </c>
      <c r="E493" s="26">
        <f>D493*(1-VLOOKUP(A493,FX!A:M,13,0))</f>
        <v>34.307985543512906</v>
      </c>
      <c r="F493">
        <v>34.2941</v>
      </c>
      <c r="G493" s="93">
        <f t="shared" ref="G493" si="915">+B493/D493-1</f>
        <v>3.2103276089752164E-3</v>
      </c>
      <c r="H493" s="93">
        <f>(B493/(D493*(1-VLOOKUP(A493,FX!A:M,13,0))))-1</f>
        <v>-2.8560564533475219E-3</v>
      </c>
      <c r="I493" s="93">
        <f t="shared" si="820"/>
        <v>-2.4523168708320275E-3</v>
      </c>
      <c r="J493">
        <v>6251.24</v>
      </c>
      <c r="K493">
        <v>6199.36</v>
      </c>
      <c r="L493" s="93">
        <f t="shared" ref="L493" si="916">+K493/J493-1</f>
        <v>-8.2991534479559537E-3</v>
      </c>
      <c r="M493" s="92">
        <f t="shared" ref="M493" si="917">WEEKDAY(A493,2)</f>
        <v>3</v>
      </c>
    </row>
    <row r="494" spans="1:14" x14ac:dyDescent="0.15">
      <c r="A494" s="90">
        <v>43090</v>
      </c>
      <c r="B494">
        <v>34.5</v>
      </c>
      <c r="C494" s="93">
        <f t="shared" ref="C494" si="918">B494/B493-1</f>
        <v>8.4770534931306596E-3</v>
      </c>
      <c r="D494" s="26">
        <f t="shared" ref="D494" si="919">+F493*(1+L494)</f>
        <v>34.51061768472875</v>
      </c>
      <c r="E494" s="26">
        <f>D494*(1-VLOOKUP(A494,FX!A:M,13,0))</f>
        <v>34.509198154594728</v>
      </c>
      <c r="F494">
        <v>34.51</v>
      </c>
      <c r="G494" s="93">
        <f t="shared" ref="G494" si="920">+B494/D494-1</f>
        <v>-3.0766429119721828E-4</v>
      </c>
      <c r="H494" s="93">
        <f>(B494/(D494*(1-VLOOKUP(A494,FX!A:M,13,0))))-1</f>
        <v>-2.6654211301935238E-4</v>
      </c>
      <c r="I494" s="93">
        <f t="shared" si="820"/>
        <v>-2.897710808460463E-4</v>
      </c>
      <c r="J494">
        <v>6199.36</v>
      </c>
      <c r="K494">
        <v>6238.5</v>
      </c>
      <c r="L494" s="93">
        <f t="shared" ref="L494" si="921">+K494/J494-1</f>
        <v>6.313554947607658E-3</v>
      </c>
      <c r="M494" s="92">
        <f t="shared" ref="M494" si="922">WEEKDAY(A494,2)</f>
        <v>4</v>
      </c>
    </row>
    <row r="495" spans="1:14" x14ac:dyDescent="0.15">
      <c r="A495" s="90">
        <v>43091</v>
      </c>
      <c r="B495">
        <v>34.479999999999997</v>
      </c>
      <c r="C495" s="93">
        <f t="shared" ref="C495" si="923">B495/B494-1</f>
        <v>-5.7971014492763651E-4</v>
      </c>
      <c r="D495" s="26">
        <f t="shared" ref="D495" si="924">+F494*(1+L495)</f>
        <v>34.534284507493787</v>
      </c>
      <c r="E495" s="26">
        <f>D495*(1-VLOOKUP(A495,FX!A:M,13,0))</f>
        <v>34.528287469609289</v>
      </c>
      <c r="F495">
        <v>34.546500000000002</v>
      </c>
      <c r="G495" s="93">
        <f t="shared" ref="G495" si="925">+B495/D495-1</f>
        <v>-1.5719019017755853E-3</v>
      </c>
      <c r="H495" s="93">
        <f>(B495/(D495*(1-VLOOKUP(A495,FX!A:M,13,0))))-1</f>
        <v>-1.3984901409255235E-3</v>
      </c>
      <c r="I495" s="93">
        <f t="shared" si="820"/>
        <v>-1.9249417451842055E-3</v>
      </c>
      <c r="J495">
        <v>6238.5</v>
      </c>
      <c r="K495">
        <v>6242.89</v>
      </c>
      <c r="L495" s="93">
        <f t="shared" ref="L495" si="926">+K495/J495-1</f>
        <v>7.0369479842913307E-4</v>
      </c>
      <c r="M495" s="92">
        <f t="shared" ref="M495" si="927">WEEKDAY(A495,2)</f>
        <v>5</v>
      </c>
    </row>
    <row r="496" spans="1:14" x14ac:dyDescent="0.15">
      <c r="A496" s="90">
        <v>43094</v>
      </c>
      <c r="B496">
        <v>34.479999999999997</v>
      </c>
      <c r="C496" s="93">
        <f t="shared" ref="C496" si="928">B496/B495-1</f>
        <v>0</v>
      </c>
      <c r="D496" s="26">
        <f t="shared" ref="D496" si="929">+F495*(1+L496)</f>
        <v>34.229416974350023</v>
      </c>
      <c r="E496" s="26">
        <f>D496*(1-VLOOKUP(A496,FX!A:M,13,0))</f>
        <v>34.229416974350023</v>
      </c>
      <c r="F496">
        <v>34.229999999999997</v>
      </c>
      <c r="G496" s="93">
        <f t="shared" ref="G496" si="930">+B496/D496-1</f>
        <v>7.3206921940198733E-3</v>
      </c>
      <c r="H496" s="93">
        <f>(B496/(D496*(1-VLOOKUP(A496,FX!A:M,13,0))))-1</f>
        <v>7.3206921940198733E-3</v>
      </c>
      <c r="I496" s="93">
        <f t="shared" si="820"/>
        <v>7.3035349108969694E-3</v>
      </c>
      <c r="J496">
        <v>6242.89</v>
      </c>
      <c r="K496">
        <v>6185.59</v>
      </c>
      <c r="L496" s="93">
        <f t="shared" ref="L496" si="931">+K496/J496-1</f>
        <v>-9.1784413949308474E-3</v>
      </c>
      <c r="M496" s="92">
        <f t="shared" ref="M496" si="932">WEEKDAY(A496,2)</f>
        <v>1</v>
      </c>
    </row>
    <row r="497" spans="1:13" x14ac:dyDescent="0.15">
      <c r="A497" s="90">
        <v>43095</v>
      </c>
      <c r="B497">
        <v>34.56</v>
      </c>
      <c r="C497" s="93">
        <f t="shared" ref="C497" si="933">B497/B496-1</f>
        <v>2.3201856148493682E-3</v>
      </c>
      <c r="D497" s="26">
        <f t="shared" ref="D497" si="934">+F496*(1+L497)</f>
        <v>34.421249145190671</v>
      </c>
      <c r="E497" s="26">
        <f>D497*(1-VLOOKUP(A497,FX!A:M,13,0))</f>
        <v>34.55130839989296</v>
      </c>
      <c r="F497">
        <v>34.545299999999997</v>
      </c>
      <c r="G497" s="93">
        <f t="shared" ref="G497" si="935">+B497/D497-1</f>
        <v>4.0309651234349264E-3</v>
      </c>
      <c r="H497" s="93">
        <f>(B497/(D497*(1-VLOOKUP(A497,FX!A:M,13,0))))-1</f>
        <v>2.5155632332207745E-4</v>
      </c>
      <c r="I497" s="93">
        <f t="shared" si="820"/>
        <v>4.2552821946850727E-4</v>
      </c>
      <c r="J497">
        <v>6185.59</v>
      </c>
      <c r="K497">
        <v>6220.15</v>
      </c>
      <c r="L497" s="93">
        <f t="shared" ref="L497" si="936">+K497/J497-1</f>
        <v>5.5871792343171744E-3</v>
      </c>
      <c r="M497" s="92">
        <f t="shared" ref="M497" si="937">WEEKDAY(A497,2)</f>
        <v>2</v>
      </c>
    </row>
    <row r="498" spans="1:13" x14ac:dyDescent="0.15">
      <c r="A498" s="90">
        <v>43096</v>
      </c>
      <c r="B498">
        <v>34.18</v>
      </c>
      <c r="C498" s="93">
        <f t="shared" ref="C498" si="938">B498/B497-1</f>
        <v>-1.0995370370370461E-2</v>
      </c>
      <c r="D498" s="26">
        <f t="shared" ref="D498" si="939">+F497*(1+L498)</f>
        <v>34.284272677507772</v>
      </c>
      <c r="E498" s="26">
        <f>D498*(1-VLOOKUP(A498,FX!A:M,13,0))</f>
        <v>34.218315809228635</v>
      </c>
      <c r="F498">
        <v>34.1965</v>
      </c>
      <c r="G498" s="93">
        <f t="shared" ref="G498" si="940">+B498/D498-1</f>
        <v>-3.0414143093716595E-3</v>
      </c>
      <c r="H498" s="93">
        <f>(B498/(D498*(1-VLOOKUP(A498,FX!A:M,13,0))))-1</f>
        <v>-1.1197456193416944E-3</v>
      </c>
      <c r="I498" s="93">
        <f t="shared" si="820"/>
        <v>-4.8250551957074173E-4</v>
      </c>
      <c r="J498">
        <v>6220.15</v>
      </c>
      <c r="K498">
        <v>6173.15</v>
      </c>
      <c r="L498" s="93">
        <f t="shared" ref="L498" si="941">+K498/J498-1</f>
        <v>-7.556087875694284E-3</v>
      </c>
      <c r="M498" s="92">
        <f t="shared" ref="M498" si="942">WEEKDAY(A498,2)</f>
        <v>3</v>
      </c>
    </row>
    <row r="499" spans="1:13" x14ac:dyDescent="0.15">
      <c r="A499" s="90">
        <v>43097</v>
      </c>
      <c r="B499">
        <v>34.56</v>
      </c>
      <c r="C499" s="93">
        <f t="shared" ref="C499" si="943">B499/B498-1</f>
        <v>1.1117612638970265E-2</v>
      </c>
      <c r="D499" s="26">
        <f t="shared" ref="D499" si="944">+F498*(1+L499)</f>
        <v>34.368890931696143</v>
      </c>
      <c r="E499" s="26">
        <f>D499*(1-VLOOKUP(A499,FX!A:M,13,0))</f>
        <v>34.473917592574189</v>
      </c>
      <c r="F499">
        <v>34.479199999999999</v>
      </c>
      <c r="G499" s="93">
        <f t="shared" ref="G499" si="945">+B499/D499-1</f>
        <v>5.5605247397614299E-3</v>
      </c>
      <c r="H499" s="93">
        <f>(B499/(D499*(1-VLOOKUP(A499,FX!A:M,13,0))))-1</f>
        <v>2.4970300284163915E-3</v>
      </c>
      <c r="I499" s="93">
        <f t="shared" si="820"/>
        <v>2.3434418431982351E-3</v>
      </c>
      <c r="J499">
        <v>6173.15</v>
      </c>
      <c r="K499">
        <v>6204.27</v>
      </c>
      <c r="L499" s="93">
        <f t="shared" ref="L499" si="946">+K499/J499-1</f>
        <v>5.0411864283228525E-3</v>
      </c>
      <c r="M499" s="92">
        <f t="shared" ref="M499" si="947">WEEKDAY(A499,2)</f>
        <v>4</v>
      </c>
    </row>
    <row r="500" spans="1:13" x14ac:dyDescent="0.15">
      <c r="A500" s="90">
        <v>43098</v>
      </c>
      <c r="B500">
        <v>34.840000000000003</v>
      </c>
      <c r="C500" s="93">
        <f t="shared" ref="C500" si="948">B500/B499-1</f>
        <v>8.1018518518518601E-3</v>
      </c>
      <c r="D500" s="26">
        <f t="shared" ref="D500" si="949">+F499*(1+L500)</f>
        <v>34.737893893076858</v>
      </c>
      <c r="E500" s="26">
        <f>D500*(1-VLOOKUP(A500,FX!A:M,13,0))</f>
        <v>34.840586996628339</v>
      </c>
      <c r="F500">
        <v>34.855600000000003</v>
      </c>
      <c r="G500" s="93">
        <f t="shared" ref="G500" si="950">+B500/D500-1</f>
        <v>2.9393292304198404E-3</v>
      </c>
      <c r="H500" s="93">
        <f>(B500/(D500*(1-VLOOKUP(A500,FX!A:M,13,0))))-1</f>
        <v>-1.6848069419483913E-5</v>
      </c>
      <c r="I500" s="93">
        <f t="shared" si="820"/>
        <v>-4.4756079367447299E-4</v>
      </c>
      <c r="J500">
        <v>6204.27</v>
      </c>
      <c r="K500">
        <v>6250.82</v>
      </c>
      <c r="L500" s="93">
        <f t="shared" ref="L500" si="951">+K500/J500-1</f>
        <v>7.5028971982198378E-3</v>
      </c>
      <c r="M500" s="92">
        <f t="shared" ref="M500" si="952">WEEKDAY(A500,2)</f>
        <v>5</v>
      </c>
    </row>
    <row r="501" spans="1:13" x14ac:dyDescent="0.15">
      <c r="A501" s="90">
        <v>43102</v>
      </c>
      <c r="B501">
        <v>35.520000000000003</v>
      </c>
      <c r="C501" s="93">
        <f t="shared" ref="C501" si="953">B501/B500-1</f>
        <v>1.9517795637198576E-2</v>
      </c>
      <c r="D501" s="26">
        <f t="shared" ref="D501" si="954">+F500*(1+L501)</f>
        <v>35.309555544392573</v>
      </c>
      <c r="E501" s="26">
        <f>D501*(1-VLOOKUP(A501,FX!A:M,13,0))</f>
        <v>35.379062619346293</v>
      </c>
      <c r="F501">
        <v>35.409799999999997</v>
      </c>
      <c r="G501" s="93">
        <f t="shared" ref="G501" si="955">+B501/D501-1</f>
        <v>5.9599859687513579E-3</v>
      </c>
      <c r="H501" s="93">
        <f>(B501/(D501*(1-VLOOKUP(A501,FX!A:M,13,0))))-1</f>
        <v>3.9836380678057726E-3</v>
      </c>
      <c r="I501" s="93">
        <f t="shared" si="820"/>
        <v>3.1121327993945958E-3</v>
      </c>
      <c r="J501">
        <v>6250.82</v>
      </c>
      <c r="K501">
        <v>6332.23</v>
      </c>
      <c r="L501" s="93">
        <f t="shared" ref="L501" si="956">+K501/J501-1</f>
        <v>1.3023891265465881E-2</v>
      </c>
      <c r="M501" s="92">
        <f t="shared" ref="M501" si="957">WEEKDAY(A501,2)</f>
        <v>2</v>
      </c>
    </row>
    <row r="502" spans="1:13" x14ac:dyDescent="0.15">
      <c r="A502" s="90">
        <v>43103</v>
      </c>
      <c r="B502">
        <v>35.99</v>
      </c>
      <c r="C502" s="93">
        <f t="shared" ref="C502" si="958">B502/B501-1</f>
        <v>1.3231981981981944E-2</v>
      </c>
      <c r="D502" s="26">
        <f t="shared" ref="D502" si="959">+F501*(1+L502)</f>
        <v>35.723063573180376</v>
      </c>
      <c r="E502" s="26">
        <f>D502*(1-VLOOKUP(A502,FX!A:M,13,0))</f>
        <v>35.743015817574793</v>
      </c>
      <c r="F502">
        <v>35.757100000000001</v>
      </c>
      <c r="G502" s="93">
        <f t="shared" ref="G502" si="960">+B502/D502-1</f>
        <v>7.4723833881937818E-3</v>
      </c>
      <c r="H502" s="93">
        <f>(B502/(D502*(1-VLOOKUP(A502,FX!A:M,13,0))))-1</f>
        <v>6.9099984088014654E-3</v>
      </c>
      <c r="I502" s="93">
        <f t="shared" si="820"/>
        <v>6.5133917459749835E-3</v>
      </c>
      <c r="J502">
        <v>6332.23</v>
      </c>
      <c r="K502">
        <v>6388.25</v>
      </c>
      <c r="L502" s="93">
        <f t="shared" ref="L502" si="961">+K502/J502-1</f>
        <v>8.8468043643392669E-3</v>
      </c>
      <c r="M502" s="92">
        <f t="shared" ref="M502" si="962">WEEKDAY(A502,2)</f>
        <v>3</v>
      </c>
    </row>
    <row r="503" spans="1:13" x14ac:dyDescent="0.15">
      <c r="A503" s="90">
        <v>43104</v>
      </c>
      <c r="B503">
        <v>36.15</v>
      </c>
      <c r="C503" s="93">
        <f t="shared" ref="C503" si="963">B503/B502-1</f>
        <v>4.4456793553764307E-3</v>
      </c>
      <c r="D503" s="26">
        <f t="shared" ref="D503" si="964">+F502*(1+L503)</f>
        <v>35.921045596837942</v>
      </c>
      <c r="E503" s="26">
        <f>D503*(1-VLOOKUP(A503,FX!A:M,13,0))</f>
        <v>35.966573927059841</v>
      </c>
      <c r="F503">
        <v>35.971299999999999</v>
      </c>
      <c r="G503" s="93">
        <f t="shared" ref="G503" si="965">+B503/D503-1</f>
        <v>6.373823460812833E-3</v>
      </c>
      <c r="H503" s="93">
        <f>(B503/(D503*(1-VLOOKUP(A503,FX!A:M,13,0))))-1</f>
        <v>5.0999039639456623E-3</v>
      </c>
      <c r="I503" s="93">
        <f t="shared" si="820"/>
        <v>4.9678493688023462E-3</v>
      </c>
      <c r="J503">
        <v>6388.25</v>
      </c>
      <c r="K503">
        <v>6417.54</v>
      </c>
      <c r="L503" s="93">
        <f t="shared" ref="L503" si="966">+K503/J503-1</f>
        <v>4.5849802371540349E-3</v>
      </c>
      <c r="M503" s="92">
        <f t="shared" ref="M503" si="967">WEEKDAY(A503,2)</f>
        <v>4</v>
      </c>
    </row>
    <row r="504" spans="1:13" x14ac:dyDescent="0.15">
      <c r="A504" s="90">
        <v>43105</v>
      </c>
      <c r="B504">
        <v>36.25</v>
      </c>
      <c r="C504" s="93">
        <f t="shared" ref="C504" si="968">B504/B503-1</f>
        <v>2.7662517289073207E-3</v>
      </c>
      <c r="D504" s="26">
        <f t="shared" ref="D504" si="969">+F503*(1+L504)</f>
        <v>35.969674505340052</v>
      </c>
      <c r="E504" s="26">
        <f>D504*(1-VLOOKUP(A504,FX!A:M,13,0))</f>
        <v>36.019041043708114</v>
      </c>
      <c r="F504">
        <v>36.0212</v>
      </c>
      <c r="G504" s="93">
        <f t="shared" ref="G504" si="970">+B504/D504-1</f>
        <v>7.7933842470088166E-3</v>
      </c>
      <c r="H504" s="93">
        <f>(B504/(D504*(1-VLOOKUP(A504,FX!A:M,13,0))))-1</f>
        <v>6.4121350707706526E-3</v>
      </c>
      <c r="I504" s="93">
        <f t="shared" si="820"/>
        <v>6.3518150422527953E-3</v>
      </c>
      <c r="J504">
        <v>6417.54</v>
      </c>
      <c r="K504">
        <v>6417.25</v>
      </c>
      <c r="L504" s="93">
        <f t="shared" ref="L504" si="971">+K504/J504-1</f>
        <v>-4.5188654842820419E-5</v>
      </c>
      <c r="M504" s="92">
        <f t="shared" ref="M504" si="972">WEEKDAY(A504,2)</f>
        <v>5</v>
      </c>
    </row>
    <row r="505" spans="1:13" x14ac:dyDescent="0.15">
      <c r="A505" s="90">
        <v>43108</v>
      </c>
      <c r="B505">
        <v>36.22</v>
      </c>
      <c r="C505" s="93">
        <f t="shared" ref="C505" si="973">B505/B504-1</f>
        <v>-8.2758620689660223E-4</v>
      </c>
      <c r="D505" s="26">
        <f t="shared" ref="D505" si="974">+F504*(1+L505)</f>
        <v>36.183589390470999</v>
      </c>
      <c r="E505" s="26">
        <f>D505*(1-VLOOKUP(A505,FX!A:M,13,0))</f>
        <v>36.087734039624785</v>
      </c>
      <c r="F505">
        <v>36.102499999999999</v>
      </c>
      <c r="G505" s="93">
        <f t="shared" ref="G505" si="975">+B505/D505-1</f>
        <v>1.006274118802386E-3</v>
      </c>
      <c r="H505" s="93">
        <f>(B505/(D505*(1-VLOOKUP(A505,FX!A:M,13,0))))-1</f>
        <v>3.6651223440624658E-3</v>
      </c>
      <c r="I505" s="93">
        <f t="shared" si="820"/>
        <v>3.2546222560765337E-3</v>
      </c>
      <c r="J505">
        <v>6417.25</v>
      </c>
      <c r="K505">
        <v>6446.18</v>
      </c>
      <c r="L505" s="93">
        <f t="shared" ref="L505" si="976">+K505/J505-1</f>
        <v>4.5081615956992227E-3</v>
      </c>
      <c r="M505" s="92">
        <f t="shared" ref="M505" si="977">WEEKDAY(A505,2)</f>
        <v>1</v>
      </c>
    </row>
    <row r="506" spans="1:13" x14ac:dyDescent="0.15">
      <c r="A506" s="90">
        <v>43109</v>
      </c>
      <c r="B506">
        <v>35.99</v>
      </c>
      <c r="C506" s="93">
        <f t="shared" ref="C506" si="978">B506/B505-1</f>
        <v>-6.3500828271672027E-3</v>
      </c>
      <c r="D506" s="26">
        <f t="shared" ref="D506" si="979">+F505*(1+L506)</f>
        <v>36.100091740379568</v>
      </c>
      <c r="E506" s="26">
        <f>D506*(1-VLOOKUP(A506,FX!A:M,13,0))</f>
        <v>35.883641350041842</v>
      </c>
      <c r="F506">
        <v>35.8979</v>
      </c>
      <c r="G506" s="93">
        <f t="shared" ref="G506" si="980">+B506/D506-1</f>
        <v>-3.0496249475295834E-3</v>
      </c>
      <c r="H506" s="93">
        <f>(B506/(D506*(1-VLOOKUP(A506,FX!A:M,13,0))))-1</f>
        <v>2.9639870970907811E-3</v>
      </c>
      <c r="I506" s="93">
        <f t="shared" si="820"/>
        <v>2.5656096874748791E-3</v>
      </c>
      <c r="J506">
        <v>6446.18</v>
      </c>
      <c r="K506">
        <v>6445.75</v>
      </c>
      <c r="L506" s="93">
        <f t="shared" ref="L506" si="981">+K506/J506-1</f>
        <v>-6.6706173268538116E-5</v>
      </c>
      <c r="M506" s="92">
        <f t="shared" ref="M506" si="982">WEEKDAY(A506,2)</f>
        <v>2</v>
      </c>
    </row>
    <row r="507" spans="1:13" x14ac:dyDescent="0.15">
      <c r="A507" s="90">
        <v>43110</v>
      </c>
      <c r="B507">
        <v>35.755000000000003</v>
      </c>
      <c r="C507" s="93">
        <f t="shared" ref="C507" si="983">B507/B506-1</f>
        <v>-6.5295915532092019E-3</v>
      </c>
      <c r="D507" s="26">
        <f t="shared" ref="D507" si="984">+F506*(1+L507)</f>
        <v>35.676188733041151</v>
      </c>
      <c r="E507" s="26">
        <f>D507*(1-VLOOKUP(A507,FX!A:M,13,0))</f>
        <v>35.750685375547221</v>
      </c>
      <c r="F507">
        <v>35.720799999999997</v>
      </c>
      <c r="G507" s="93">
        <f t="shared" ref="G507" si="985">+B507/D507-1</f>
        <v>2.2090719260563496E-3</v>
      </c>
      <c r="H507" s="93">
        <f>(B507/(D507*(1-VLOOKUP(A507,FX!A:M,13,0))))-1</f>
        <v>1.2068648215990407E-4</v>
      </c>
      <c r="I507" s="93">
        <f t="shared" si="820"/>
        <v>9.5742536561349567E-4</v>
      </c>
      <c r="J507">
        <v>6445.75</v>
      </c>
      <c r="K507">
        <v>6405.94</v>
      </c>
      <c r="L507" s="93">
        <f t="shared" ref="L507" si="986">+K507/J507-1</f>
        <v>-6.1761625877516657E-3</v>
      </c>
      <c r="M507" s="92">
        <f t="shared" ref="M507" si="987">WEEKDAY(A507,2)</f>
        <v>3</v>
      </c>
    </row>
    <row r="508" spans="1:13" x14ac:dyDescent="0.15">
      <c r="A508" s="90">
        <v>43111</v>
      </c>
      <c r="B508">
        <v>36.11</v>
      </c>
      <c r="C508" s="93">
        <f t="shared" ref="C508" si="988">B508/B507-1</f>
        <v>9.9286813033141463E-3</v>
      </c>
      <c r="D508" s="26">
        <f t="shared" ref="D508" si="989">+F507*(1+L508)</f>
        <v>35.832323991795114</v>
      </c>
      <c r="E508" s="26">
        <f>D508*(1-VLOOKUP(A508,FX!A:M,13,0))</f>
        <v>36.003021554035548</v>
      </c>
      <c r="G508" s="93">
        <f t="shared" ref="G508" si="990">+B508/D508-1</f>
        <v>7.7493161835795465E-3</v>
      </c>
      <c r="H508" s="93">
        <f>(B508/(D508*(1-VLOOKUP(A508,FX!A:M,13,0))))-1</f>
        <v>2.9713741054731013E-3</v>
      </c>
      <c r="J508">
        <v>6405.94</v>
      </c>
      <c r="K508">
        <v>6425.94</v>
      </c>
      <c r="L508" s="93">
        <f t="shared" ref="L508" si="991">+K508/J508-1</f>
        <v>3.1221022988039415E-3</v>
      </c>
      <c r="M508" s="92">
        <f t="shared" ref="M508" si="992">WEEKDAY(A508,2)</f>
        <v>4</v>
      </c>
    </row>
    <row r="509" spans="1:13" x14ac:dyDescent="0.15">
      <c r="A509" s="90">
        <v>43112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C55" sqref="C55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1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5" width="9.125" style="2" bestFit="1" customWidth="1" collapsed="1"/>
    <col min="16" max="18" width="9" style="2" collapsed="1"/>
    <col min="19" max="19" width="1.375" style="2" customWidth="1" collapsed="1"/>
    <col min="20" max="20" width="9.1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875" style="2" customWidth="1" collapsed="1"/>
    <col min="30" max="30" width="10.5" style="2" bestFit="1" customWidth="1" collapsed="1"/>
    <col min="31" max="31" width="9.625" style="2" customWidth="1" collapsed="1"/>
    <col min="32" max="32" width="7.875" style="2" customWidth="1" collapsed="1"/>
    <col min="33" max="33" width="10.5" style="2" bestFit="1" customWidth="1" collapsed="1"/>
    <col min="34" max="34" width="11.1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875" style="2" customWidth="1" collapsed="1"/>
    <col min="41" max="41" width="1.5" style="2" customWidth="1" collapsed="1"/>
    <col min="42" max="42" width="9.1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1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1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1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2018-01-11T21:43:04Z</dcterms:modified>
</cp:coreProperties>
</file>