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1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M343" i="25" l="1"/>
  <c r="M344" i="25"/>
  <c r="K343" i="25"/>
  <c r="K344" i="25"/>
  <c r="I343" i="25"/>
  <c r="I344" i="25"/>
  <c r="S393" i="20"/>
  <c r="T393" i="20"/>
  <c r="U393" i="20"/>
  <c r="AB393" i="20" s="1"/>
  <c r="V393" i="20"/>
  <c r="AE393" i="20" s="1"/>
  <c r="Y393" i="20"/>
  <c r="AA393" i="20"/>
  <c r="AC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AT393" i="20"/>
  <c r="AU393" i="20"/>
  <c r="AW393" i="20"/>
  <c r="AY393" i="20"/>
  <c r="AZ393" i="20"/>
  <c r="BA393" i="20"/>
  <c r="BB393" i="20"/>
  <c r="BC393" i="20"/>
  <c r="BD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M487" i="12"/>
  <c r="I486" i="12"/>
  <c r="C487" i="12"/>
  <c r="D487" i="12"/>
  <c r="G487" i="12" s="1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C480" i="6"/>
  <c r="D480" i="6"/>
  <c r="L481" i="5"/>
  <c r="M481" i="5"/>
  <c r="I480" i="5"/>
  <c r="C481" i="5"/>
  <c r="D481" i="5"/>
  <c r="E481" i="5" s="1"/>
  <c r="A1" i="27"/>
  <c r="E487" i="9" l="1"/>
  <c r="E487" i="11"/>
  <c r="E481" i="7"/>
  <c r="E480" i="6"/>
  <c r="AX393" i="20"/>
  <c r="Z393" i="20"/>
  <c r="AV393" i="20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2" i="20"/>
  <c r="U392" i="20"/>
  <c r="Z392" i="20" s="1"/>
  <c r="V392" i="20"/>
  <c r="W392" i="20"/>
  <c r="X392" i="20"/>
  <c r="Y392" i="20"/>
  <c r="AA392" i="20"/>
  <c r="AB392" i="20"/>
  <c r="AC392" i="20"/>
  <c r="AD392" i="20"/>
  <c r="AE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AT392" i="20"/>
  <c r="AU392" i="20"/>
  <c r="AV392" i="20"/>
  <c r="AW392" i="20"/>
  <c r="AX392" i="20"/>
  <c r="AY392" i="20"/>
  <c r="AZ392" i="20"/>
  <c r="BA392" i="20"/>
  <c r="BB392" i="20"/>
  <c r="BC392" i="20"/>
  <c r="BD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M486" i="12"/>
  <c r="I485" i="12"/>
  <c r="C486" i="12"/>
  <c r="D486" i="12"/>
  <c r="G486" i="12" s="1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C479" i="6"/>
  <c r="D479" i="6"/>
  <c r="E479" i="6" s="1"/>
  <c r="L480" i="5"/>
  <c r="M480" i="5"/>
  <c r="I479" i="5"/>
  <c r="C480" i="5"/>
  <c r="D480" i="5"/>
  <c r="E480" i="5" s="1"/>
  <c r="H487" i="10" l="1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1" i="20"/>
  <c r="U391" i="20"/>
  <c r="AB391" i="20" s="1"/>
  <c r="V391" i="20"/>
  <c r="AE391" i="20" s="1"/>
  <c r="Y391" i="20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AT391" i="20"/>
  <c r="AU391" i="20"/>
  <c r="AW391" i="20"/>
  <c r="AY391" i="20"/>
  <c r="AZ391" i="20"/>
  <c r="BA391" i="20"/>
  <c r="BB391" i="20"/>
  <c r="BC391" i="20"/>
  <c r="BD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D485" i="12" s="1"/>
  <c r="G485" i="12" s="1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C478" i="6"/>
  <c r="D478" i="6"/>
  <c r="E478" i="6" s="1"/>
  <c r="L479" i="5"/>
  <c r="D479" i="5" s="1"/>
  <c r="M479" i="5"/>
  <c r="I478" i="5"/>
  <c r="C479" i="5"/>
  <c r="AX391" i="20" l="1"/>
  <c r="Z391" i="20"/>
  <c r="X391" i="20"/>
  <c r="AV391" i="20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D390" i="20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C477" i="6"/>
  <c r="L478" i="5"/>
  <c r="M478" i="5"/>
  <c r="C478" i="5"/>
  <c r="B395" i="20" l="1"/>
  <c r="B394" i="20"/>
  <c r="B393" i="20"/>
  <c r="B392" i="20"/>
  <c r="B391" i="20"/>
  <c r="S390" i="20"/>
  <c r="T390" i="20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AT390" i="20"/>
  <c r="AU390" i="20"/>
  <c r="AW390" i="20"/>
  <c r="AY390" i="20"/>
  <c r="AZ390" i="20"/>
  <c r="BA390" i="20"/>
  <c r="BB390" i="20"/>
  <c r="BC390" i="20"/>
  <c r="D485" i="10"/>
  <c r="I484" i="10"/>
  <c r="D484" i="9"/>
  <c r="I483" i="9"/>
  <c r="D484" i="11"/>
  <c r="I483" i="11"/>
  <c r="D484" i="12"/>
  <c r="G484" i="12" s="1"/>
  <c r="I483" i="12"/>
  <c r="D478" i="8"/>
  <c r="D478" i="7"/>
  <c r="D477" i="6"/>
  <c r="D478" i="5"/>
  <c r="I477" i="5"/>
  <c r="Y390" i="20" l="1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W390" i="20"/>
  <c r="AD390" i="20"/>
  <c r="I483" i="10"/>
  <c r="S389" i="20"/>
  <c r="T389" i="20"/>
  <c r="U389" i="20"/>
  <c r="W389" i="20" s="1"/>
  <c r="V389" i="20"/>
  <c r="Y389" i="20"/>
  <c r="Z389" i="20"/>
  <c r="AA389" i="20"/>
  <c r="AB389" i="20"/>
  <c r="AC389" i="20"/>
  <c r="AD389" i="20"/>
  <c r="AE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AT389" i="20"/>
  <c r="AU389" i="20"/>
  <c r="AV389" i="20"/>
  <c r="AW389" i="20"/>
  <c r="AX389" i="20"/>
  <c r="AY389" i="20"/>
  <c r="AZ389" i="20"/>
  <c r="BA389" i="20"/>
  <c r="BB389" i="20"/>
  <c r="BC389" i="20"/>
  <c r="BD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M483" i="12"/>
  <c r="I482" i="12"/>
  <c r="C483" i="12"/>
  <c r="D483" i="12"/>
  <c r="G483" i="12" s="1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C476" i="6"/>
  <c r="D476" i="6"/>
  <c r="H476" i="6" s="1"/>
  <c r="L477" i="5"/>
  <c r="M477" i="5"/>
  <c r="I476" i="5"/>
  <c r="C477" i="5"/>
  <c r="D477" i="5"/>
  <c r="E477" i="5" s="1"/>
  <c r="E484" i="10" l="1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8" i="20"/>
  <c r="U388" i="20"/>
  <c r="AB388" i="20" s="1"/>
  <c r="V388" i="20"/>
  <c r="Y388" i="20"/>
  <c r="AA388" i="20"/>
  <c r="AC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AT388" i="20"/>
  <c r="AU388" i="20"/>
  <c r="AW388" i="20"/>
  <c r="AY388" i="20"/>
  <c r="AZ388" i="20"/>
  <c r="BA388" i="20"/>
  <c r="BB388" i="20"/>
  <c r="BC388" i="20"/>
  <c r="BD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M482" i="12"/>
  <c r="I481" i="12"/>
  <c r="C482" i="12"/>
  <c r="D482" i="12"/>
  <c r="G482" i="12" s="1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C475" i="6"/>
  <c r="D475" i="6"/>
  <c r="E475" i="6" s="1"/>
  <c r="L476" i="5"/>
  <c r="M476" i="5"/>
  <c r="I475" i="5"/>
  <c r="C476" i="5"/>
  <c r="D476" i="5"/>
  <c r="E476" i="5" s="1"/>
  <c r="AX388" i="20" l="1"/>
  <c r="Z388" i="20"/>
  <c r="AV388" i="20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7" i="20"/>
  <c r="U387" i="20"/>
  <c r="AB387" i="20" s="1"/>
  <c r="V387" i="20"/>
  <c r="AE387" i="20" s="1"/>
  <c r="Y387" i="20"/>
  <c r="AA387" i="20"/>
  <c r="AC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AT387" i="20"/>
  <c r="AU387" i="20"/>
  <c r="AW387" i="20"/>
  <c r="AY387" i="20"/>
  <c r="AZ387" i="20"/>
  <c r="BA387" i="20"/>
  <c r="BB387" i="20"/>
  <c r="BC387" i="20"/>
  <c r="BD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M481" i="12"/>
  <c r="I480" i="12"/>
  <c r="C481" i="12"/>
  <c r="D481" i="12"/>
  <c r="G481" i="12" s="1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C474" i="6"/>
  <c r="D474" i="6"/>
  <c r="E474" i="6" s="1"/>
  <c r="L475" i="5"/>
  <c r="M475" i="5"/>
  <c r="I474" i="5"/>
  <c r="H475" i="5"/>
  <c r="C475" i="5"/>
  <c r="D475" i="5"/>
  <c r="E475" i="5" s="1"/>
  <c r="AX387" i="20" l="1"/>
  <c r="Z387" i="20"/>
  <c r="AV387" i="20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6" i="20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AT386" i="20"/>
  <c r="AU386" i="20"/>
  <c r="AW386" i="20"/>
  <c r="AY386" i="20"/>
  <c r="AZ386" i="20"/>
  <c r="BA386" i="20"/>
  <c r="BB386" i="20"/>
  <c r="BC386" i="20"/>
  <c r="BD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M480" i="12"/>
  <c r="I479" i="12"/>
  <c r="C480" i="12"/>
  <c r="D480" i="12"/>
  <c r="G480" i="12" s="1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C473" i="6"/>
  <c r="D473" i="6"/>
  <c r="H473" i="6" s="1"/>
  <c r="L474" i="5"/>
  <c r="M474" i="5"/>
  <c r="I473" i="5"/>
  <c r="C474" i="5"/>
  <c r="D474" i="5"/>
  <c r="E474" i="5" s="1"/>
  <c r="AX386" i="20" l="1"/>
  <c r="Z386" i="20"/>
  <c r="X386" i="20"/>
  <c r="W386" i="20"/>
  <c r="AV386" i="20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D385" i="20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C472" i="6"/>
  <c r="L473" i="5"/>
  <c r="M473" i="5"/>
  <c r="C473" i="5"/>
  <c r="D480" i="10"/>
  <c r="D479" i="9"/>
  <c r="D479" i="11"/>
  <c r="D479" i="12"/>
  <c r="G479" i="12" s="1"/>
  <c r="D473" i="8"/>
  <c r="D473" i="7"/>
  <c r="D472" i="6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5" i="20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AT385" i="20"/>
  <c r="AU385" i="20"/>
  <c r="AW385" i="20"/>
  <c r="AY385" i="20"/>
  <c r="AZ385" i="20"/>
  <c r="BA385" i="20"/>
  <c r="BB385" i="20"/>
  <c r="BC385" i="20"/>
  <c r="I479" i="10"/>
  <c r="I478" i="9"/>
  <c r="I478" i="11"/>
  <c r="I478" i="12"/>
  <c r="I472" i="5"/>
  <c r="Y385" i="20" l="1"/>
  <c r="W385" i="20"/>
  <c r="AE385" i="20"/>
  <c r="AX385" i="20"/>
  <c r="AD385" i="20"/>
  <c r="Z385" i="20"/>
  <c r="AV385" i="20"/>
  <c r="AB385" i="20"/>
  <c r="X385" i="20"/>
  <c r="AR380" i="20"/>
  <c r="AR379" i="20"/>
  <c r="AR384" i="20"/>
  <c r="S384" i="20" l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M478" i="12"/>
  <c r="I477" i="12"/>
  <c r="C478" i="12"/>
  <c r="D478" i="12"/>
  <c r="G478" i="12" s="1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C471" i="6"/>
  <c r="D471" i="6"/>
  <c r="L472" i="5"/>
  <c r="M472" i="5"/>
  <c r="C472" i="5"/>
  <c r="D472" i="5"/>
  <c r="AC384" i="20" l="1"/>
  <c r="W384" i="20"/>
  <c r="AX384" i="20"/>
  <c r="AD384" i="20"/>
  <c r="Z384" i="20"/>
  <c r="AV384" i="20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Z383" i="20" s="1"/>
  <c r="W383" i="20"/>
  <c r="AA383" i="20"/>
  <c r="AD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D477" i="12" s="1"/>
  <c r="G477" i="12" s="1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D470" i="6" s="1"/>
  <c r="M470" i="6"/>
  <c r="I470" i="6"/>
  <c r="C470" i="6"/>
  <c r="L471" i="5"/>
  <c r="M471" i="5"/>
  <c r="C471" i="5"/>
  <c r="D471" i="5"/>
  <c r="E471" i="5" s="1"/>
  <c r="Y383" i="20" l="1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V382" i="20"/>
  <c r="Y382" i="20" s="1"/>
  <c r="W382" i="20"/>
  <c r="X382" i="20"/>
  <c r="Z382" i="20"/>
  <c r="AA382" i="20"/>
  <c r="AB382" i="20"/>
  <c r="AD382" i="20"/>
  <c r="AE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X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M476" i="12"/>
  <c r="I475" i="12"/>
  <c r="C476" i="12"/>
  <c r="D476" i="12"/>
  <c r="G476" i="12" s="1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C469" i="6"/>
  <c r="L470" i="5"/>
  <c r="D470" i="5" s="1"/>
  <c r="M470" i="5"/>
  <c r="I469" i="5"/>
  <c r="C470" i="5"/>
  <c r="AC382" i="20" l="1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W381" i="20"/>
  <c r="X381" i="20"/>
  <c r="Y381" i="20"/>
  <c r="AA381" i="20"/>
  <c r="AB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V381" i="20"/>
  <c r="BA382" i="20" s="1"/>
  <c r="AW381" i="20"/>
  <c r="AX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M475" i="12"/>
  <c r="I474" i="12"/>
  <c r="C475" i="12"/>
  <c r="D475" i="12"/>
  <c r="G475" i="12" s="1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C468" i="6"/>
  <c r="D468" i="6"/>
  <c r="H468" i="6" s="1"/>
  <c r="E468" i="6"/>
  <c r="L469" i="5"/>
  <c r="M469" i="5"/>
  <c r="I468" i="5"/>
  <c r="C469" i="5"/>
  <c r="D469" i="5"/>
  <c r="E469" i="5" s="1"/>
  <c r="AD381" i="20" l="1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C467" i="6"/>
  <c r="L468" i="5"/>
  <c r="M468" i="5"/>
  <c r="C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D474" i="12"/>
  <c r="G474" i="12" s="1"/>
  <c r="I472" i="12"/>
  <c r="D468" i="8"/>
  <c r="D468" i="7"/>
  <c r="D467" i="6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E466" i="5"/>
  <c r="I467" i="5"/>
  <c r="I466" i="5"/>
  <c r="S379" i="20"/>
  <c r="T380" i="20" s="1"/>
  <c r="U379" i="20"/>
  <c r="X379" i="20" s="1"/>
  <c r="V379" i="20"/>
  <c r="Y379" i="20" s="1"/>
  <c r="AA379" i="20"/>
  <c r="AE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M473" i="12"/>
  <c r="C473" i="12"/>
  <c r="D473" i="12"/>
  <c r="G473" i="12" s="1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C466" i="6"/>
  <c r="D466" i="6"/>
  <c r="L467" i="5"/>
  <c r="M467" i="5"/>
  <c r="C467" i="5"/>
  <c r="D467" i="5"/>
  <c r="G467" i="5" s="1"/>
  <c r="AC379" i="20" l="1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E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M472" i="12"/>
  <c r="I471" i="12"/>
  <c r="C472" i="12"/>
  <c r="D472" i="12"/>
  <c r="G472" i="12" s="1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C465" i="6"/>
  <c r="D465" i="6"/>
  <c r="L466" i="5"/>
  <c r="M466" i="5"/>
  <c r="I465" i="5"/>
  <c r="C466" i="5"/>
  <c r="D466" i="5"/>
  <c r="BD379" i="20" l="1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V377" i="20"/>
  <c r="W377" i="20" s="1"/>
  <c r="X377" i="20"/>
  <c r="Z377" i="20"/>
  <c r="AA377" i="20"/>
  <c r="AB377" i="20"/>
  <c r="AD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D471" i="12" s="1"/>
  <c r="G471" i="12" s="1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C464" i="6"/>
  <c r="D464" i="6"/>
  <c r="L465" i="5"/>
  <c r="M465" i="5"/>
  <c r="I464" i="5"/>
  <c r="C465" i="5"/>
  <c r="D465" i="5"/>
  <c r="E465" i="5" s="1"/>
  <c r="AV377" i="20" l="1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Z376" i="20" s="1"/>
  <c r="V376" i="20"/>
  <c r="X376" i="20"/>
  <c r="AA376" i="20"/>
  <c r="AD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M470" i="12"/>
  <c r="I469" i="12"/>
  <c r="C470" i="12"/>
  <c r="D470" i="12"/>
  <c r="G470" i="12" s="1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C463" i="6"/>
  <c r="D463" i="6"/>
  <c r="L464" i="5"/>
  <c r="D464" i="5" s="1"/>
  <c r="M464" i="5"/>
  <c r="I463" i="5"/>
  <c r="C464" i="5"/>
  <c r="AX376" i="20" l="1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C462" i="6"/>
  <c r="L463" i="5"/>
  <c r="M463" i="5"/>
  <c r="C463" i="5"/>
  <c r="B380" i="20" l="1"/>
  <c r="B379" i="20"/>
  <c r="B378" i="20"/>
  <c r="B377" i="20"/>
  <c r="B376" i="20"/>
  <c r="D470" i="10"/>
  <c r="I469" i="10"/>
  <c r="D469" i="9"/>
  <c r="I468" i="9"/>
  <c r="D469" i="11"/>
  <c r="I468" i="11"/>
  <c r="D469" i="12"/>
  <c r="G469" i="12" s="1"/>
  <c r="I468" i="12"/>
  <c r="D463" i="8"/>
  <c r="D463" i="7"/>
  <c r="D462" i="6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C461" i="6"/>
  <c r="L462" i="5"/>
  <c r="M462" i="5"/>
  <c r="C462" i="5"/>
  <c r="D469" i="10"/>
  <c r="D468" i="9"/>
  <c r="D468" i="11"/>
  <c r="D468" i="12"/>
  <c r="G468" i="12" s="1"/>
  <c r="D462" i="8"/>
  <c r="D462" i="7"/>
  <c r="D461" i="6"/>
  <c r="E461" i="6" s="1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W373" i="20" s="1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M467" i="12"/>
  <c r="I466" i="12"/>
  <c r="C467" i="12"/>
  <c r="D467" i="12"/>
  <c r="G467" i="12" s="1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D460" i="6" s="1"/>
  <c r="M460" i="6"/>
  <c r="I460" i="6"/>
  <c r="C460" i="6"/>
  <c r="L461" i="5"/>
  <c r="M461" i="5"/>
  <c r="I460" i="5"/>
  <c r="C461" i="5"/>
  <c r="D461" i="5"/>
  <c r="E461" i="5" s="1"/>
  <c r="AX373" i="20" l="1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M466" i="12"/>
  <c r="I465" i="12"/>
  <c r="C466" i="12"/>
  <c r="D466" i="12"/>
  <c r="G466" i="12" s="1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C459" i="6"/>
  <c r="D459" i="6"/>
  <c r="H459" i="6" s="1"/>
  <c r="L460" i="5"/>
  <c r="M460" i="5"/>
  <c r="C460" i="5"/>
  <c r="D460" i="5"/>
  <c r="H460" i="5" s="1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X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M465" i="12"/>
  <c r="I464" i="12"/>
  <c r="C465" i="12"/>
  <c r="D465" i="12"/>
  <c r="G465" i="12" s="1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C458" i="6"/>
  <c r="D458" i="6"/>
  <c r="E458" i="6" s="1"/>
  <c r="L459" i="5"/>
  <c r="M459" i="5"/>
  <c r="I459" i="5"/>
  <c r="C459" i="5"/>
  <c r="D459" i="5"/>
  <c r="E459" i="5" s="1"/>
  <c r="AV371" i="20" l="1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C457" i="6"/>
  <c r="L458" i="5"/>
  <c r="M458" i="5"/>
  <c r="I458" i="5"/>
  <c r="C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D464" i="12"/>
  <c r="G464" i="12" s="1"/>
  <c r="I463" i="12"/>
  <c r="D458" i="8"/>
  <c r="D458" i="7"/>
  <c r="D457" i="6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W369" i="20"/>
  <c r="Y369" i="20"/>
  <c r="AA369" i="20"/>
  <c r="AC369" i="20"/>
  <c r="AD369" i="20"/>
  <c r="AE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V369" i="20"/>
  <c r="BA370" i="20" s="1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C456" i="6"/>
  <c r="L457" i="5"/>
  <c r="D457" i="5" s="1"/>
  <c r="M457" i="5"/>
  <c r="C457" i="5"/>
  <c r="D464" i="10"/>
  <c r="D463" i="9"/>
  <c r="D463" i="11"/>
  <c r="D463" i="12"/>
  <c r="G463" i="12" s="1"/>
  <c r="D457" i="8"/>
  <c r="D457" i="7"/>
  <c r="D456" i="6"/>
  <c r="Z369" i="20" l="1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H453" i="5"/>
  <c r="H454" i="5"/>
  <c r="H455" i="5"/>
  <c r="H456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35" i="5"/>
  <c r="H434" i="5"/>
  <c r="H433" i="5"/>
  <c r="H432" i="5"/>
  <c r="H238" i="5"/>
  <c r="I456" i="5"/>
  <c r="S368" i="20" l="1"/>
  <c r="T369" i="20" s="1"/>
  <c r="U368" i="20"/>
  <c r="X368" i="20" s="1"/>
  <c r="V368" i="20"/>
  <c r="AA368" i="20"/>
  <c r="AC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M462" i="12"/>
  <c r="I461" i="12"/>
  <c r="C462" i="12"/>
  <c r="D462" i="12"/>
  <c r="G462" i="12" s="1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D455" i="6" s="1"/>
  <c r="M455" i="6"/>
  <c r="I455" i="6"/>
  <c r="C455" i="6"/>
  <c r="L456" i="5"/>
  <c r="D456" i="5" s="1"/>
  <c r="M456" i="5"/>
  <c r="C456" i="5"/>
  <c r="AV368" i="20" l="1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D461" i="12" s="1"/>
  <c r="G461" i="12" s="1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C454" i="6"/>
  <c r="D454" i="6"/>
  <c r="E454" i="6" s="1"/>
  <c r="L455" i="5"/>
  <c r="M455" i="5"/>
  <c r="I455" i="5"/>
  <c r="C455" i="5"/>
  <c r="D455" i="5"/>
  <c r="BB368" i="20" l="1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M460" i="12"/>
  <c r="I459" i="12"/>
  <c r="G460" i="12"/>
  <c r="C460" i="12"/>
  <c r="D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C453" i="6"/>
  <c r="D453" i="6"/>
  <c r="L454" i="5"/>
  <c r="D454" i="5" s="1"/>
  <c r="M454" i="5"/>
  <c r="I454" i="5"/>
  <c r="C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D187" i="5"/>
  <c r="G187" i="5" s="1"/>
  <c r="D58" i="5"/>
  <c r="D57" i="5"/>
  <c r="D56" i="5"/>
  <c r="D55" i="5"/>
  <c r="D54" i="5"/>
  <c r="D59" i="5"/>
  <c r="D60" i="5"/>
  <c r="D61" i="5"/>
  <c r="G56" i="5"/>
  <c r="G57" i="5"/>
  <c r="G58" i="5"/>
  <c r="G53" i="5"/>
  <c r="G54" i="5"/>
  <c r="D53" i="5"/>
  <c r="C56" i="5"/>
  <c r="L56" i="5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C452" i="6"/>
  <c r="L453" i="5"/>
  <c r="M453" i="5"/>
  <c r="I453" i="5"/>
  <c r="C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D459" i="12"/>
  <c r="G459" i="12" s="1"/>
  <c r="I458" i="12"/>
  <c r="D453" i="8"/>
  <c r="D453" i="7"/>
  <c r="D452" i="6"/>
  <c r="D453" i="5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V364" i="20"/>
  <c r="BA365" i="20" s="1"/>
  <c r="AW364" i="20"/>
  <c r="AX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M458" i="12"/>
  <c r="I457" i="12"/>
  <c r="C458" i="12"/>
  <c r="D458" i="12"/>
  <c r="G458" i="12" s="1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C451" i="6"/>
  <c r="D451" i="6"/>
  <c r="E451" i="6" s="1"/>
  <c r="L452" i="5"/>
  <c r="M452" i="5"/>
  <c r="I452" i="5"/>
  <c r="C452" i="5"/>
  <c r="D452" i="5"/>
  <c r="E452" i="5" s="1"/>
  <c r="BD365" i="20" l="1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V363" i="20"/>
  <c r="BA364" i="20" s="1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M457" i="12"/>
  <c r="I456" i="12"/>
  <c r="C457" i="12"/>
  <c r="D457" i="12"/>
  <c r="G457" i="12" s="1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C450" i="6"/>
  <c r="D450" i="6"/>
  <c r="E450" i="6" s="1"/>
  <c r="L451" i="5"/>
  <c r="D451" i="5" s="1"/>
  <c r="M451" i="5"/>
  <c r="I451" i="5"/>
  <c r="C451" i="5"/>
  <c r="BB364" i="20" l="1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M456" i="12"/>
  <c r="I455" i="12"/>
  <c r="G456" i="12"/>
  <c r="C456" i="12"/>
  <c r="D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C449" i="6"/>
  <c r="L450" i="5"/>
  <c r="M450" i="5"/>
  <c r="I450" i="5"/>
  <c r="C450" i="5"/>
  <c r="D450" i="5"/>
  <c r="E450" i="5" s="1"/>
  <c r="BB363" i="20" l="1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V361" i="20"/>
  <c r="Y361" i="20" s="1"/>
  <c r="X361" i="20"/>
  <c r="AA361" i="20"/>
  <c r="AB361" i="20"/>
  <c r="AD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M455" i="12"/>
  <c r="I454" i="12"/>
  <c r="C455" i="12"/>
  <c r="D455" i="12"/>
  <c r="G455" i="12" s="1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C448" i="6"/>
  <c r="L449" i="5"/>
  <c r="D449" i="5" s="1"/>
  <c r="M449" i="5"/>
  <c r="I449" i="5"/>
  <c r="C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E446" i="5"/>
  <c r="AE358" i="20" l="1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AX357" i="20" s="1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BD358" i="20" l="1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Z356" i="20" s="1"/>
  <c r="V356" i="20"/>
  <c r="W356" i="20"/>
  <c r="X356" i="20"/>
  <c r="Y356" i="20"/>
  <c r="AA356" i="20"/>
  <c r="AB356" i="20"/>
  <c r="AC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X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AD356" i="20" l="1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8" i="12"/>
  <c r="G448" i="12" s="1"/>
  <c r="D442" i="8"/>
  <c r="D442" i="7"/>
  <c r="D441" i="6"/>
  <c r="D442" i="5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AX352" i="20" l="1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BD352" i="20" l="1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V349" i="20"/>
  <c r="AC349" i="20" s="1"/>
  <c r="X349" i="20"/>
  <c r="AA349" i="20"/>
  <c r="AB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AE349" i="20" l="1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BB349" i="20" l="1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Y346" i="20"/>
  <c r="AA346" i="20"/>
  <c r="AC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X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AD346" i="20" l="1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Y339" i="20" l="1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V331" i="20" l="1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V328" i="20" l="1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Y318" i="20"/>
  <c r="AA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W318" i="20" l="1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E316" i="20" l="1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8" i="20" l="1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AV166" i="20" s="1"/>
  <c r="U166" i="20"/>
  <c r="AB166" i="20" s="1"/>
  <c r="S166" i="20"/>
  <c r="S311" i="20"/>
  <c r="T312" i="20" s="1"/>
  <c r="U311" i="20"/>
  <c r="AV311" i="20" s="1"/>
  <c r="BA312" i="20" s="1"/>
  <c r="V311" i="20"/>
  <c r="Y311" i="20" s="1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X311" i="20" l="1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AV310" i="20" l="1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AV305" i="20" s="1"/>
  <c r="BA306" i="20" s="1"/>
  <c r="V305" i="20"/>
  <c r="AE305" i="20" s="1"/>
  <c r="Y305" i="20"/>
  <c r="AA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X305" i="20" l="1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Z304" i="20" s="1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AD304" i="20" l="1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 s="1"/>
  <c r="AA303" i="20"/>
  <c r="AC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AE303" i="20" l="1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V302" i="20" s="1"/>
  <c r="BA303" i="20" s="1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Y301" i="20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X301" i="20" l="1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Z293" i="20" l="1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B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AE290" i="20" l="1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V289" i="20" s="1"/>
  <c r="BA290" i="20" s="1"/>
  <c r="AA289" i="20"/>
  <c r="AB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E289" i="20" l="1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X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V279" i="20" l="1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W274" i="20" s="1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X273" i="20" l="1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AV270" i="20" l="1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Y266" i="20" l="1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W265" i="20" s="1"/>
  <c r="V265" i="20"/>
  <c r="Y265" i="20" s="1"/>
  <c r="X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Z265" i="20" l="1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V262" i="20" l="1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Y260" i="20"/>
  <c r="AA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W260" i="20" l="1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AV259" i="20" l="1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C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Y254" i="20" l="1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Y247" i="20" l="1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V242" i="20" l="1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AV239" i="20" l="1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C238" i="20" l="1"/>
  <c r="AX237" i="20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W233" i="20" s="1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5" i="20" l="1"/>
  <c r="BJ236" i="20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A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X194" i="20" l="1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V179" i="20" l="1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Y175" i="20" l="1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<sst xmlns="http://schemas.openxmlformats.org/spreadsheetml/2006/main" count="722" uniqueCount="626">
  <si>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</si>
  <si>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</si>
  <si>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</si>
  <si>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</si>
  <si>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</si>
  <si>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</si>
  <si>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</si>
  <si>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</si>
  <si>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</si>
  <si>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</si>
  <si>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</si>
  <si>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</si>
  <si>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</si>
  <si>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</si>
  <si>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</si>
  <si>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</si>
  <si>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</si>
  <si>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</si>
  <si>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</si>
  <si>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</si>
  <si>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</si>
  <si>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</si>
  <si>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</si>
  <si>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</si>
  <si>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</si>
  <si>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</si>
  <si>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</si>
  <si>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</si>
  <si>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</si>
  <si>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</si>
  <si>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</si>
  <si>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</si>
  <si>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</si>
  <si>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</si>
  <si>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</si>
  <si>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</si>
  <si>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</si>
  <si>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</si>
  <si>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</si>
  <si>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</si>
  <si>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</si>
  <si>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</si>
  <si>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</si>
  <si>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</si>
  <si>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</si>
  <si>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</si>
  <si>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</si>
  <si>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</si>
  <si>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</si>
  <si>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</si>
  <si>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</si>
  <si>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</si>
  <si>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</si>
  <si>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</si>
  <si>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</si>
  <si>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</si>
  <si>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</si>
  <si>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</si>
  <si>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</si>
  <si>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</si>
  <si>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</si>
  <si>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</si>
  <si>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</si>
  <si>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</si>
  <si>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</si>
  <si>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</si>
  <si>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</si>
  <si>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</si>
  <si>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</si>
  <si>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</si>
  <si>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</si>
  <si>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</si>
  <si>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</si>
  <si>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</si>
  <si>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</si>
  <si>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</si>
  <si>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</si>
  <si>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</si>
  <si>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</si>
  <si>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</si>
  <si>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</si>
  <si>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</si>
  <si>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</si>
  <si>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</si>
  <si>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</si>
  <si>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</si>
  <si>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</si>
  <si>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</si>
  <si>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</si>
  <si>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</si>
  <si>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</si>
  <si>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</si>
  <si>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</si>
  <si>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</si>
  <si>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</si>
  <si>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</si>
  <si>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</si>
  <si>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</si>
  <si>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</si>
  <si>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</si>
  <si>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</si>
  <si>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</si>
  <si>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</si>
  <si>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</si>
  <si>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</si>
  <si>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</si>
  <si>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</si>
  <si>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</si>
  <si>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</si>
  <si>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</si>
  <si>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</si>
  <si>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</si>
  <si>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</si>
  <si>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</si>
  <si>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</si>
  <si>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</si>
  <si>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</si>
  <si>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</si>
  <si>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</si>
  <si>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</si>
  <si>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</si>
  <si>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</si>
  <si>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</si>
  <si>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</si>
  <si>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</si>
  <si>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</si>
  <si>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</si>
  <si>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</si>
  <si>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</si>
  <si>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</si>
  <si>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</si>
  <si>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</si>
  <si>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</si>
  <si>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</si>
  <si>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</si>
  <si>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</si>
  <si>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</si>
  <si>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</si>
  <si>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</si>
  <si>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</si>
  <si>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</si>
  <si>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</si>
  <si>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</si>
  <si>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</si>
  <si>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</si>
  <si>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</si>
  <si>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</si>
  <si>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</si>
  <si>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</si>
  <si>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</si>
  <si>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</si>
  <si>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</si>
  <si>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</si>
  <si>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</si>
  <si>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</si>
  <si>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</si>
  <si>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</si>
  <si>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</si>
  <si>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</si>
  <si>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</si>
  <si>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</si>
  <si>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</si>
  <si>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</si>
  <si>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</si>
  <si>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</si>
  <si>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</si>
  <si>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</si>
  <si>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</si>
  <si>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</si>
  <si>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</si>
  <si>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</si>
  <si>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</si>
  <si>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</si>
  <si>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</si>
  <si>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</si>
  <si>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</si>
  <si>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</si>
  <si>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</si>
  <si>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</si>
  <si>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</si>
  <si>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</si>
  <si>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</si>
  <si>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</si>
  <si>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</si>
  <si>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</si>
  <si>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</si>
  <si>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</si>
  <si>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</si>
  <si>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</si>
  <si>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</si>
  <si>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</si>
  <si>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</si>
  <si>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</si>
  <si>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</si>
  <si>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</si>
  <si>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</si>
  <si>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</si>
  <si>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</si>
  <si>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</si>
  <si>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</si>
  <si>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</si>
  <si>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</si>
  <si>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</si>
  <si>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</si>
  <si>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</si>
  <si>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</si>
  <si>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</si>
  <si>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</si>
  <si>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</si>
  <si>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</si>
  <si>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</si>
  <si>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</si>
  <si>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</si>
  <si>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</si>
  <si>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</si>
  <si>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</si>
  <si>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</si>
  <si>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</si>
  <si>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</si>
  <si>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</si>
  <si>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</si>
  <si>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</si>
  <si>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</si>
  <si>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</si>
  <si>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</si>
  <si>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</si>
  <si>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</si>
  <si>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</si>
  <si>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</si>
  <si>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</si>
  <si>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</si>
  <si>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</si>
  <si>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</si>
  <si>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</si>
  <si>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</si>
  <si>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</si>
  <si>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</si>
  <si>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</si>
  <si>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</si>
  <si>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</si>
  <si>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</si>
  <si>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</si>
  <si>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</si>
  <si>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</si>
  <si>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</si>
  <si>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</si>
  <si>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</si>
  <si>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</si>
  <si>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</si>
  <si>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</si>
  <si>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</si>
  <si>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</si>
  <si>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</si>
  <si>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</si>
  <si>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</si>
  <si>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</si>
  <si>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</si>
  <si>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</si>
  <si>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</si>
  <si>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</si>
  <si>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</si>
  <si>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</si>
  <si>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</si>
  <si>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</si>
  <si>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</si>
  <si>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</si>
  <si>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</si>
  <si>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</si>
  <si>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</si>
  <si>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</si>
  <si>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</si>
  <si>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</si>
  <si>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</si>
  <si>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</si>
  <si>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</si>
  <si>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</si>
  <si>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</si>
  <si>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</si>
  <si>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</si>
  <si>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</si>
  <si>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</si>
  <si>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</si>
  <si>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</si>
  <si>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</si>
  <si>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</si>
  <si>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</si>
  <si>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</si>
  <si>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</si>
  <si>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</si>
  <si>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</si>
  <si>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</si>
  <si>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</si>
  <si>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</si>
  <si>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</si>
  <si>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</si>
  <si>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</si>
  <si>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</si>
  <si>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</si>
  <si>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</si>
  <si>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</si>
  <si>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</si>
  <si>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</si>
  <si>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</si>
  <si>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</si>
  <si>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</si>
  <si>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</si>
  <si>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</si>
  <si>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</si>
  <si>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</si>
  <si>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</si>
  <si>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</si>
  <si>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</si>
  <si>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</si>
  <si>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</si>
  <si>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</si>
  <si>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</si>
  <si>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</si>
  <si>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</si>
  <si>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</si>
  <si>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</si>
  <si>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</si>
  <si>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</si>
  <si>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</si>
  <si>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</si>
  <si>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</si>
  <si>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</si>
  <si>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</si>
  <si>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</si>
  <si>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</si>
  <si>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</si>
  <si>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</si>
  <si>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</si>
  <si>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</si>
  <si>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</si>
  <si>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</si>
  <si>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</si>
  <si>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</si>
  <si>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</si>
  <si>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</si>
  <si>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</si>
  <si>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</si>
  <si>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</si>
  <si>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</si>
  <si>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</si>
  <si>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</si>
  <si>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</si>
  <si>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</si>
  <si>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</si>
  <si>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</si>
  <si>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</si>
  <si>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</si>
  <si>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</si>
  <si>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</si>
  <si>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</si>
  <si>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</si>
  <si>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</si>
  <si>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</si>
  <si>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</si>
  <si>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</si>
  <si>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</si>
  <si>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</si>
  <si>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</si>
  <si>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</si>
  <si>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</si>
  <si>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</si>
  <si>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</si>
  <si>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</si>
  <si>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</si>
  <si>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</si>
  <si>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</si>
  <si>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</si>
  <si>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</si>
  <si>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</si>
  <si>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</si>
  <si>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</si>
  <si>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</si>
  <si>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</si>
  <si>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</si>
  <si>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</si>
  <si>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</si>
  <si>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</si>
  <si>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</si>
  <si>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</si>
  <si>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</si>
  <si>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</si>
  <si>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</si>
  <si>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</si>
  <si>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</si>
  <si>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</si>
  <si>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</si>
  <si>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</si>
  <si>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</si>
  <si>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</si>
  <si>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</si>
  <si>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</si>
  <si>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</si>
  <si>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</si>
  <si>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</si>
  <si>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</si>
  <si>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</si>
  <si>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</si>
  <si>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</si>
  <si>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</si>
  <si>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</si>
  <si>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</si>
  <si>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</si>
  <si>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</si>
  <si>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</si>
  <si>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</si>
  <si>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</si>
  <si>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</si>
  <si>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</si>
  <si>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</si>
  <si>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</si>
  <si>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</si>
  <si>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</si>
  <si>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</si>
  <si>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</si>
  <si>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</si>
  <si>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</si>
  <si>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</si>
  <si>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</si>
  <si>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</si>
  <si>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</si>
  <si>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</si>
  <si>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</si>
  <si>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</si>
  <si>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</si>
  <si>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</si>
  <si>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</si>
  <si>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</si>
  <si>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</si>
  <si>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</si>
  <si>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</si>
  <si>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</si>
  <si>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</si>
  <si>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</si>
  <si>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</si>
  <si>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</si>
  <si>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</si>
  <si>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</si>
  <si>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</si>
  <si>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</si>
  <si>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</si>
  <si>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</si>
  <si>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</si>
  <si>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</si>
  <si>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</si>
  <si>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</si>
  <si>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</si>
  <si>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</si>
  <si>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</si>
  <si>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</si>
  <si>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</si>
  <si>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</si>
  <si>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</si>
  <si>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</si>
  <si>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</si>
  <si>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</si>
  <si>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</si>
  <si>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</si>
  <si>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</si>
  <si>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</si>
  <si>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</si>
  <si>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</si>
  <si>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</si>
  <si>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</si>
  <si>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</si>
  <si>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</si>
  <si>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</si>
  <si>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</si>
  <si>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</si>
  <si>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</si>
  <si>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</si>
  <si>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</si>
  <si>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</si>
  <si>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</si>
  <si>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</si>
  <si>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</si>
  <si>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</si>
  <si>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</si>
  <si>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</si>
  <si>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</si>
  <si>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</si>
  <si>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</si>
  <si>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</si>
  <si>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</si>
  <si>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</si>
  <si>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</si>
  <si>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</si>
  <si>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</si>
  <si>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</si>
  <si>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</si>
  <si>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</si>
  <si>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</si>
  <si>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</si>
  <si>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</si>
  <si>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</si>
  <si>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</si>
  <si>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</si>
  <si>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</si>
  <si>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</si>
  <si>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</si>
  <si>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</si>
  <si>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</si>
  <si>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</si>
  <si>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</si>
  <si>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</si>
  <si>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</si>
  <si>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</si>
  <si>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</si>
  <si>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</si>
  <si>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</si>
  <si>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</si>
  <si>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</si>
  <si>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</si>
  <si>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</si>
  <si>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</si>
  <si>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</si>
  <si>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</si>
  <si>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</si>
  <si>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</si>
  <si>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</si>
  <si>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</si>
  <si>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</si>
  <si>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</si>
  <si>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</si>
  <si>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</si>
  <si>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</si>
  <si>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</si>
  <si>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</si>
  <si>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</si>
  <si>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</si>
  <si>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</si>
  <si>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</si>
  <si>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</si>
  <si>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</si>
  <si>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</si>
  <si>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</si>
  <si>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</si>
  <si>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</si>
  <si>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</si>
  <si>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</si>
  <si>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</si>
  <si>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</si>
  <si>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</si>
  <si>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</si>
  <si>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</si>
  <si>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</si>
  <si>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</si>
  <si>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</si>
  <si>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</si>
  <si>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</si>
  <si>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</si>
  <si>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</si>
  <si>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</si>
  <si>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</si>
  <si>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</si>
  <si>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</si>
  <si>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</si>
  <si>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</si>
  <si>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</si>
  <si>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</si>
  <si>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</si>
  <si>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</si>
  <si>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</si>
  <si>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</si>
  <si>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</si>
  <si>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</si>
  <si>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</si>
  <si>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</si>
  <si>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</si>
  <si>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</si>
  <si>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</si>
  <si>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</si>
  <si>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</si>
  <si>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</si>
  <si>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</si>
  <si>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</si>
  <si>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</si>
  <si>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</si>
  <si>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</si>
  <si>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</si>
  <si>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</si>
  <si>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</si>
  <si>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</si>
  <si>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</si>
  <si>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</si>
  <si>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</si>
  <si>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</si>
  <si>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</si>
  <si>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</si>
  <si>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</si>
  <si>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</si>
  <si>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</si>
  <si>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</si>
  <si>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</si>
  <si>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</si>
  <si>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</si>
  <si>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</si>
  <si>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</si>
  <si>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</si>
  <si>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</si>
  <si>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</si>
  <si>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</si>
  <si>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</si>
  <si>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</si>
  <si>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</si>
  <si>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</si>
  <si>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</si>
  <si>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</si>
  <si>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</si>
  <si>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</si>
  <si>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</si>
  <si>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</si>
  <si>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</si>
  <si>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</si>
  <si>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</si>
  <si>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</si>
  <si>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</si>
  <si>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</si>
  <si>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HK NOON</t>
  </si>
  <si>
    <t>HK CLOSE</t>
  </si>
  <si>
    <t>US CLOSE</t>
  </si>
  <si>
    <t>relatively flat wtd</t>
    <phoneticPr fontId="1" type="noConversion"/>
  </si>
  <si>
    <t>need to cut today's position to avoid pmco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</si>
</sst>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4</xdr:row>
          <xdr:rowOff>69850</xdr:rowOff>
        </xdr:from>
        <xdr:to>
          <xdr:col>6</xdr:col>
          <xdr:colOff>31750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F6" sqref="F6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ht="13.5" x14ac:dyDescent="0.15">
      <c r="A1" s="1">
        <f>D12</f>
        <v>43082</v>
      </c>
    </row>
    <row r="2" spans="1:16" ht="13.5" x14ac:dyDescent="0.15">
      <c r="A2" s="39" t="s">
        <v>621</v>
      </c>
      <c r="B2" s="39">
        <v>6.6227900000000002</v>
      </c>
      <c r="C2" s="90">
        <v>43082</v>
      </c>
      <c r="D2" s="93">
        <v>13</v>
      </c>
    </row>
    <row r="3" spans="1:16" x14ac:dyDescent="0.25">
      <c r="A3" s="39" t="s">
        <v>622</v>
      </c>
      <c r="B3" s="39">
        <v>6.6237849999999998</v>
      </c>
      <c r="C3" s="90">
        <v>43082</v>
      </c>
      <c r="D3" s="93">
        <v>16</v>
      </c>
      <c r="J3" s="83"/>
      <c r="K3" s="84"/>
      <c r="L3" s="85"/>
    </row>
    <row r="4" spans="1:16" x14ac:dyDescent="0.25">
      <c r="A4" s="39" t="s">
        <v>623</v>
      </c>
      <c r="B4" s="39">
        <v>6.6131000000000002</v>
      </c>
      <c r="C4" s="90">
        <v>43083</v>
      </c>
      <c r="D4" s="93">
        <v>4</v>
      </c>
      <c r="J4" s="68"/>
      <c r="K4" s="69"/>
      <c r="L4" s="70"/>
    </row>
    <row r="5" spans="1:16" x14ac:dyDescent="0.25">
      <c r="A5" s="39" t="s">
        <v>348</v>
      </c>
      <c r="B5" s="39">
        <v>4050.09</v>
      </c>
      <c r="C5" s="39">
        <v>4016.02</v>
      </c>
      <c r="D5" s="93">
        <v>8.5000000000000006E-3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25">
      <c r="A6" s="39" t="s">
        <v>522</v>
      </c>
      <c r="B6" s="39">
        <v>3303.04</v>
      </c>
      <c r="C6" s="39">
        <v>3280.81</v>
      </c>
      <c r="D6" s="93">
        <v>6.7999999999999996E-3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25">
      <c r="A7" s="39" t="s">
        <v>523</v>
      </c>
      <c r="B7" s="39">
        <v>1806.09</v>
      </c>
      <c r="C7" s="39">
        <v>1798.69</v>
      </c>
      <c r="D7" s="93">
        <v>4.1000000000000003E-3</v>
      </c>
      <c r="H7" s="88"/>
      <c r="J7" s="71"/>
      <c r="K7" s="72"/>
      <c r="L7" s="73"/>
      <c r="M7" s="74"/>
    </row>
    <row r="8" spans="1:16" x14ac:dyDescent="0.25">
      <c r="A8" s="39" t="s">
        <v>524</v>
      </c>
      <c r="B8" s="39">
        <v>11143.89</v>
      </c>
      <c r="C8" s="39">
        <v>11043.21</v>
      </c>
      <c r="D8" s="93">
        <v>9.1000000000000004E-3</v>
      </c>
      <c r="J8" s="75"/>
      <c r="K8" s="76"/>
      <c r="L8" s="77"/>
      <c r="M8" s="78"/>
    </row>
    <row r="9" spans="1:16" x14ac:dyDescent="0.25">
      <c r="A9" s="39" t="s">
        <v>525</v>
      </c>
      <c r="B9" s="39">
        <v>6277.44</v>
      </c>
      <c r="C9" s="39">
        <v>6233.21</v>
      </c>
      <c r="D9" s="93">
        <v>7.1000000000000004E-3</v>
      </c>
      <c r="J9" s="79"/>
      <c r="K9" s="80"/>
      <c r="L9" s="81"/>
      <c r="M9" s="82"/>
    </row>
    <row r="10" spans="1:16" ht="13.5" x14ac:dyDescent="0.15">
      <c r="A10" s="39" t="s">
        <v>526</v>
      </c>
      <c r="B10" s="39">
        <v>2872.94</v>
      </c>
      <c r="C10" s="39">
        <v>2850.2</v>
      </c>
      <c r="D10" s="93">
        <v>8.0000000000000002E-3</v>
      </c>
    </row>
    <row r="11" spans="1:16" ht="13.5" x14ac:dyDescent="0.15">
      <c r="A11" s="39" t="s">
        <v>527</v>
      </c>
      <c r="B11" s="39">
        <v>15.16</v>
      </c>
      <c r="C11" s="39">
        <v>15.053000000000001</v>
      </c>
      <c r="D11" s="90">
        <v>43081</v>
      </c>
    </row>
    <row r="12" spans="1:16" x14ac:dyDescent="0.25">
      <c r="A12" s="39" t="s">
        <v>528</v>
      </c>
      <c r="B12" s="39">
        <v>15.58</v>
      </c>
      <c r="C12" s="39">
        <v>15.5589</v>
      </c>
      <c r="D12" s="90">
        <v>43082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7.66</v>
      </c>
      <c r="C13" s="39">
        <v>7.7119999999999997</v>
      </c>
      <c r="D13" s="90">
        <v>43082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48.85</v>
      </c>
      <c r="C14" s="39">
        <v>48.732999999999997</v>
      </c>
      <c r="D14" s="90">
        <v>43082</v>
      </c>
      <c r="J14" s="55"/>
      <c r="K14" s="58"/>
      <c r="L14" s="61"/>
      <c r="M14" s="64"/>
      <c r="N14" s="67"/>
    </row>
    <row r="15" spans="1:16" ht="13.5" x14ac:dyDescent="0.15">
      <c r="A15" s="39" t="s">
        <v>531</v>
      </c>
      <c r="B15" s="39">
        <v>46.44</v>
      </c>
      <c r="C15" s="39">
        <v>45.41</v>
      </c>
      <c r="D15" s="90">
        <v>43081</v>
      </c>
    </row>
    <row r="16" spans="1:16" x14ac:dyDescent="0.25">
      <c r="A16" s="39" t="s">
        <v>532</v>
      </c>
      <c r="B16" s="39">
        <v>35.08</v>
      </c>
      <c r="C16" s="39">
        <v>34.789099999999998</v>
      </c>
      <c r="D16" s="90">
        <v>43081</v>
      </c>
    </row>
    <row r="17" spans="1:16" x14ac:dyDescent="0.25">
      <c r="A17" s="39" t="s">
        <v>533</v>
      </c>
      <c r="B17" s="39">
        <v>31.02</v>
      </c>
      <c r="C17" s="39">
        <v>30.603100000000001</v>
      </c>
      <c r="D17" s="90">
        <v>43081</v>
      </c>
    </row>
    <row r="18" spans="1:16" x14ac:dyDescent="0.25">
      <c r="A18" s="39" t="s">
        <v>534</v>
      </c>
      <c r="B18" s="39">
        <v>34.6</v>
      </c>
      <c r="C18" s="90">
        <v>34.207900000000002</v>
      </c>
      <c r="D18" s="90">
        <v>43081</v>
      </c>
    </row>
    <row r="19" spans="1:16" x14ac:dyDescent="0.25">
      <c r="A19" s="39" t="s">
        <v>535</v>
      </c>
      <c r="B19" s="39">
        <v>13176.07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25">
      <c r="A20" s="39" t="s">
        <v>536</v>
      </c>
      <c r="B20" s="39">
        <v>20335.11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25">
      <c r="A21" s="39" t="s">
        <v>537</v>
      </c>
      <c r="B21" s="39">
        <v>6.6250999999999998</v>
      </c>
      <c r="C21" s="90">
        <v>43082</v>
      </c>
      <c r="D21" s="91">
        <v>0.62173611111111116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3278.4</v>
      </c>
      <c r="B23" s="39">
        <v>3279</v>
      </c>
      <c r="C23" s="39">
        <v>3285.7</v>
      </c>
      <c r="D23" s="39">
        <v>3278.58</v>
      </c>
      <c r="E23" s="39">
        <v>3276.83</v>
      </c>
      <c r="F23" s="39">
        <v>3286.54</v>
      </c>
      <c r="G23" s="39">
        <v>3273.49</v>
      </c>
      <c r="H23" s="39">
        <v>1028</v>
      </c>
      <c r="I23" s="39">
        <v>1113</v>
      </c>
      <c r="J23" s="39">
        <v>3277.11</v>
      </c>
      <c r="K23" s="39">
        <v>3279.36</v>
      </c>
      <c r="L23" s="39">
        <v>3303.04</v>
      </c>
      <c r="M23" s="39">
        <v>3303.92</v>
      </c>
      <c r="N23" s="39">
        <v>3276.46</v>
      </c>
      <c r="O23" s="39">
        <v>1450</v>
      </c>
      <c r="P23" s="39">
        <v>1304</v>
      </c>
    </row>
    <row r="24" spans="1:16" x14ac:dyDescent="0.25">
      <c r="D24" s="93"/>
    </row>
    <row r="25" spans="1:16" x14ac:dyDescent="0.25">
      <c r="A25" s="39"/>
      <c r="B25" s="39"/>
      <c r="C25" s="39"/>
      <c r="D25" s="93"/>
    </row>
    <row r="26" spans="1:16" x14ac:dyDescent="0.25">
      <c r="C26" s="39"/>
      <c r="D26" s="93"/>
    </row>
    <row r="27" spans="1:16" x14ac:dyDescent="0.25">
      <c r="D27" s="1"/>
    </row>
    <row r="28" spans="1:16" x14ac:dyDescent="0.25">
      <c r="D28" s="90"/>
    </row>
    <row r="29" spans="1:16" x14ac:dyDescent="0.25">
      <c r="D29" s="1"/>
    </row>
    <row r="30" spans="1:16" x14ac:dyDescent="0.25">
      <c r="C30" s="1"/>
      <c r="D30" s="90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0"/>
      <c r="D37" s="91"/>
    </row>
    <row r="38" spans="3:4" x14ac:dyDescent="0.25">
      <c r="C38" s="90"/>
      <c r="D38" s="91"/>
    </row>
    <row r="39" spans="3:4" x14ac:dyDescent="0.25">
      <c r="C39" s="1"/>
      <c r="D39" s="1"/>
    </row>
    <row r="40" spans="3:4" x14ac:dyDescent="0.25">
      <c r="C40" s="1"/>
      <c r="D40" s="86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6"/>
    </row>
    <row r="65" spans="3:4" x14ac:dyDescent="0.25">
      <c r="C65" s="1"/>
      <c r="D65" s="86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31750</xdr:colOff>
                    <xdr:row>4</xdr:row>
                    <xdr:rowOff>69850</xdr:rowOff>
                  </from>
                  <to>
                    <xdr:col>6</xdr:col>
                    <xdr:colOff>31750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95"/>
  <sheetViews>
    <sheetView tabSelected="1" zoomScale="115" zoomScaleNormal="115" workbookViewId="0">
      <pane xSplit="2" ySplit="6" topLeftCell="AV384" activePane="bottomRight" state="frozen"/>
      <selection pane="topRight" activeCell="C1" sqref="C1"/>
      <selection pane="bottomLeft" activeCell="A3" sqref="A3"/>
      <selection pane="bottomRight" activeCell="BE394" sqref="BE394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10.90625" bestFit="1" customWidth="1" collapsed="1"/>
    <col min="45" max="46" width="10.6328125" bestFit="1" customWidth="1" collapsed="1"/>
    <col min="47" max="47" width="9.453125" customWidth="1" collapsed="1"/>
    <col min="48" max="48" width="13.0898437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ht="13.5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3.5" x14ac:dyDescent="0.15">
      <c r="BK2" s="51"/>
    </row>
    <row r="3" spans="1:284" s="39" customFormat="1" ht="13.5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3.5" x14ac:dyDescent="0.15">
      <c r="C5" s="45" t="s">
        <v>49</v>
      </c>
      <c r="BE5" s="45" t="s">
        <v>82</v>
      </c>
      <c r="BK5" s="52"/>
    </row>
    <row r="6" spans="1:284" ht="13.5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3.5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ht="13.5" x14ac:dyDescent="0.1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ht="13.5" x14ac:dyDescent="0.1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ht="13.5" x14ac:dyDescent="0.1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ht="13.5" x14ac:dyDescent="0.1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ht="13.5" x14ac:dyDescent="0.1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ht="13.5" x14ac:dyDescent="0.1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ht="13.5" x14ac:dyDescent="0.1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ht="13.5" x14ac:dyDescent="0.1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ht="13.5" x14ac:dyDescent="0.1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ht="13.5" x14ac:dyDescent="0.1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ht="13.5" x14ac:dyDescent="0.1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ht="13.5" x14ac:dyDescent="0.1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ht="13.5" x14ac:dyDescent="0.1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ht="13.5" x14ac:dyDescent="0.1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ht="13.5" x14ac:dyDescent="0.1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ht="13.5" x14ac:dyDescent="0.1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ht="13.5" x14ac:dyDescent="0.1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ht="13.5" x14ac:dyDescent="0.1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ht="13.5" x14ac:dyDescent="0.1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ht="13.5" x14ac:dyDescent="0.1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ht="13.5" x14ac:dyDescent="0.1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ht="13.5" x14ac:dyDescent="0.1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ht="13.5" x14ac:dyDescent="0.1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ht="13.5" x14ac:dyDescent="0.1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ht="13.5" x14ac:dyDescent="0.1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ht="13.5" x14ac:dyDescent="0.1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ht="13.5" x14ac:dyDescent="0.1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ht="13.5" x14ac:dyDescent="0.1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ht="13.5" x14ac:dyDescent="0.1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ht="13.5" x14ac:dyDescent="0.1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ht="13.5" x14ac:dyDescent="0.1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ht="13.5" x14ac:dyDescent="0.1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ht="13.5" x14ac:dyDescent="0.1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ht="13.5" x14ac:dyDescent="0.1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ht="13.5" x14ac:dyDescent="0.1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ht="13.5" x14ac:dyDescent="0.1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ht="13.5" x14ac:dyDescent="0.1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ht="13.5" x14ac:dyDescent="0.1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ht="13.5" x14ac:dyDescent="0.1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ht="13.5" x14ac:dyDescent="0.1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ht="13.5" x14ac:dyDescent="0.1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ht="13.5" x14ac:dyDescent="0.1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ht="13.5" x14ac:dyDescent="0.1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ht="13.5" x14ac:dyDescent="0.1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ht="13.5" x14ac:dyDescent="0.1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ht="13.5" x14ac:dyDescent="0.1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ht="13.5" x14ac:dyDescent="0.1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ht="13.5" x14ac:dyDescent="0.1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ht="13.5" x14ac:dyDescent="0.1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ht="13.5" x14ac:dyDescent="0.1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ht="13.5" x14ac:dyDescent="0.1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ht="13.5" x14ac:dyDescent="0.1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ht="13.5" x14ac:dyDescent="0.1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ht="13.5" x14ac:dyDescent="0.1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ht="13.5" x14ac:dyDescent="0.1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ht="13.5" x14ac:dyDescent="0.1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ht="13.5" x14ac:dyDescent="0.1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ht="13.5" x14ac:dyDescent="0.1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ht="13.5" x14ac:dyDescent="0.1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ht="13.5" x14ac:dyDescent="0.1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ht="13.5" x14ac:dyDescent="0.1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ht="13.5" x14ac:dyDescent="0.1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ht="13.5" x14ac:dyDescent="0.1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ht="13.5" x14ac:dyDescent="0.1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ht="13.5" x14ac:dyDescent="0.1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ht="13.5" x14ac:dyDescent="0.1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ht="13.5" x14ac:dyDescent="0.1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ht="13.5" x14ac:dyDescent="0.1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ht="13.5" x14ac:dyDescent="0.1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ht="13.5" x14ac:dyDescent="0.1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ht="13.5" x14ac:dyDescent="0.1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ht="13.5" x14ac:dyDescent="0.1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ht="13.5" x14ac:dyDescent="0.1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ht="13.5" x14ac:dyDescent="0.1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ht="13.5" x14ac:dyDescent="0.1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ht="13.5" x14ac:dyDescent="0.1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ht="13.5" x14ac:dyDescent="0.1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ht="13.5" x14ac:dyDescent="0.1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ht="13.5" x14ac:dyDescent="0.1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ht="13.5" x14ac:dyDescent="0.1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ht="13.5" x14ac:dyDescent="0.1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ht="13.5" x14ac:dyDescent="0.1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ht="13.5" x14ac:dyDescent="0.1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ht="13.5" x14ac:dyDescent="0.1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ht="13.5" x14ac:dyDescent="0.1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ht="13.5" x14ac:dyDescent="0.1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ht="13.5" x14ac:dyDescent="0.1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ht="13.5" x14ac:dyDescent="0.1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ht="13.5" x14ac:dyDescent="0.1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ht="13.5" x14ac:dyDescent="0.1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ht="13.5" x14ac:dyDescent="0.1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ht="13.5" x14ac:dyDescent="0.1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ht="13.5" x14ac:dyDescent="0.1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ht="13.5" x14ac:dyDescent="0.1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ht="13.5" x14ac:dyDescent="0.1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ht="13.5" x14ac:dyDescent="0.1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ht="13.5" x14ac:dyDescent="0.1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ht="13.5" x14ac:dyDescent="0.1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ht="13.5" x14ac:dyDescent="0.1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ht="13.5" x14ac:dyDescent="0.1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ht="13.5" x14ac:dyDescent="0.1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ht="13.5" x14ac:dyDescent="0.1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ht="13.5" x14ac:dyDescent="0.1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ht="13.5" x14ac:dyDescent="0.1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ht="13.5" x14ac:dyDescent="0.1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ht="13.5" x14ac:dyDescent="0.1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ht="13.5" x14ac:dyDescent="0.1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ht="13.5" x14ac:dyDescent="0.1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ht="13.5" x14ac:dyDescent="0.1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ht="13.5" x14ac:dyDescent="0.1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ht="13.5" x14ac:dyDescent="0.1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ht="13.5" x14ac:dyDescent="0.1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ht="13.5" x14ac:dyDescent="0.1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ht="13.5" x14ac:dyDescent="0.1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ht="13.5" x14ac:dyDescent="0.1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ht="13.5" x14ac:dyDescent="0.1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ht="13.5" x14ac:dyDescent="0.1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ht="13.5" x14ac:dyDescent="0.1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ht="13.5" x14ac:dyDescent="0.1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ht="13.5" x14ac:dyDescent="0.1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ht="13.5" x14ac:dyDescent="0.1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ht="13.5" x14ac:dyDescent="0.1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ht="13.5" x14ac:dyDescent="0.1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ht="13.5" x14ac:dyDescent="0.1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ht="13.5" x14ac:dyDescent="0.1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ht="13.5" x14ac:dyDescent="0.1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ht="13.5" x14ac:dyDescent="0.1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ht="13.5" x14ac:dyDescent="0.1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ht="13.5" x14ac:dyDescent="0.1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ht="13.5" x14ac:dyDescent="0.1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ht="13.5" x14ac:dyDescent="0.1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ht="13.5" x14ac:dyDescent="0.1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ht="13.5" x14ac:dyDescent="0.1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ht="13.5" x14ac:dyDescent="0.1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ht="13.5" x14ac:dyDescent="0.1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ht="13.5" x14ac:dyDescent="0.1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ht="13.5" x14ac:dyDescent="0.1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ht="13.5" x14ac:dyDescent="0.1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ht="13.5" x14ac:dyDescent="0.1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ht="13.5" x14ac:dyDescent="0.1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ht="13.5" x14ac:dyDescent="0.1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ht="13.5" x14ac:dyDescent="0.1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ht="13.5" x14ac:dyDescent="0.1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ht="13.5" x14ac:dyDescent="0.1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ht="13.5" x14ac:dyDescent="0.1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ht="13.5" x14ac:dyDescent="0.1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ht="13.5" x14ac:dyDescent="0.1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ht="13.5" x14ac:dyDescent="0.1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ht="13.5" x14ac:dyDescent="0.1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ht="13.5" x14ac:dyDescent="0.1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ht="13.5" x14ac:dyDescent="0.1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ht="13.5" x14ac:dyDescent="0.1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ht="13.5" x14ac:dyDescent="0.1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ht="13.5" x14ac:dyDescent="0.1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ht="13.5" x14ac:dyDescent="0.1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ht="13.5" x14ac:dyDescent="0.1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ht="13.5" x14ac:dyDescent="0.1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ht="13.5" x14ac:dyDescent="0.1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7" x14ac:dyDescent="0.1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ht="13.5" x14ac:dyDescent="0.1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ht="13.5" x14ac:dyDescent="0.1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93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ht="13.5" x14ac:dyDescent="0.1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ht="13.5" x14ac:dyDescent="0.1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ht="13.5" x14ac:dyDescent="0.1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ht="13.5" x14ac:dyDescent="0.1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ht="13.5" x14ac:dyDescent="0.1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ht="13.5" x14ac:dyDescent="0.1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ht="13.5" x14ac:dyDescent="0.1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ht="13.5" x14ac:dyDescent="0.1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ht="13.5" x14ac:dyDescent="0.1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ht="13.5" x14ac:dyDescent="0.1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ht="13.5" x14ac:dyDescent="0.1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ht="13.5" x14ac:dyDescent="0.1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ht="13.5" x14ac:dyDescent="0.1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ht="13.5" x14ac:dyDescent="0.1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ht="13.5" x14ac:dyDescent="0.1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ht="13.5" x14ac:dyDescent="0.1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0.5" x14ac:dyDescent="0.1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ht="13.5" x14ac:dyDescent="0.1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ht="13.5" x14ac:dyDescent="0.1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4.5" x14ac:dyDescent="0.1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ht="13.5" x14ac:dyDescent="0.1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ht="13.5" x14ac:dyDescent="0.1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ht="13.5" x14ac:dyDescent="0.1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ht="13.5" x14ac:dyDescent="0.1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ht="13.5" x14ac:dyDescent="0.1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ht="13.5" x14ac:dyDescent="0.1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0.5" x14ac:dyDescent="0.1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ht="13.5" x14ac:dyDescent="0.1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ht="13.5" x14ac:dyDescent="0.1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ht="13.5" x14ac:dyDescent="0.1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7" x14ac:dyDescent="0.1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7" x14ac:dyDescent="0.1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3.5" x14ac:dyDescent="0.1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ht="13.5" x14ac:dyDescent="0.1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ht="13.5" x14ac:dyDescent="0.1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ht="13.5" x14ac:dyDescent="0.1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ht="13.5" x14ac:dyDescent="0.1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ht="13.5" x14ac:dyDescent="0.1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ht="13.5" x14ac:dyDescent="0.1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ht="13.5" x14ac:dyDescent="0.1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ht="13.5" x14ac:dyDescent="0.1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ht="13.5" x14ac:dyDescent="0.1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ht="13.5" x14ac:dyDescent="0.1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ht="13.5" x14ac:dyDescent="0.1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ht="13.5" x14ac:dyDescent="0.1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ht="13.5" x14ac:dyDescent="0.1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ht="13.5" x14ac:dyDescent="0.1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0.5" x14ac:dyDescent="0.1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ht="13.5" x14ac:dyDescent="0.1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ht="13.5" x14ac:dyDescent="0.1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ht="13.5" x14ac:dyDescent="0.1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ht="13.5" x14ac:dyDescent="0.1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ht="13.5" x14ac:dyDescent="0.1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ht="13.5" x14ac:dyDescent="0.1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ht="13.5" x14ac:dyDescent="0.1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4" x14ac:dyDescent="0.1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ht="13.5" x14ac:dyDescent="0.1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ht="13.5" x14ac:dyDescent="0.1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ht="13.5" x14ac:dyDescent="0.1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ht="13.5" x14ac:dyDescent="0.1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4" x14ac:dyDescent="0.1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ht="13.5" x14ac:dyDescent="0.1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ht="13.5" x14ac:dyDescent="0.1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ht="13.5" x14ac:dyDescent="0.1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ht="13.5" x14ac:dyDescent="0.1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ht="13.5" x14ac:dyDescent="0.1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ht="13.5" x14ac:dyDescent="0.1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ht="13.5" x14ac:dyDescent="0.1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ht="13.5" x14ac:dyDescent="0.1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ht="13.5" x14ac:dyDescent="0.1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ht="13.5" x14ac:dyDescent="0.1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0.5" x14ac:dyDescent="0.1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ht="13.5" x14ac:dyDescent="0.1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ht="13.5" x14ac:dyDescent="0.1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ht="13.5" x14ac:dyDescent="0.1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ht="13.5" x14ac:dyDescent="0.1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ht="13.5" x14ac:dyDescent="0.1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ht="13.5" x14ac:dyDescent="0.1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ht="13.5" x14ac:dyDescent="0.1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ht="13.5" x14ac:dyDescent="0.1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ht="13.5" x14ac:dyDescent="0.1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ht="13.5" x14ac:dyDescent="0.1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ht="13.5" x14ac:dyDescent="0.1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ht="13.5" x14ac:dyDescent="0.1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ht="13.5" x14ac:dyDescent="0.1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ht="13.5" x14ac:dyDescent="0.1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ht="13.5" x14ac:dyDescent="0.1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ht="13.5" x14ac:dyDescent="0.1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ht="13.5" x14ac:dyDescent="0.1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ht="13.5" x14ac:dyDescent="0.1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ht="13.5" x14ac:dyDescent="0.1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ht="13.5" x14ac:dyDescent="0.1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ht="13.5" x14ac:dyDescent="0.1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ht="13.5" x14ac:dyDescent="0.1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ht="13.5" x14ac:dyDescent="0.1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ht="13.5" x14ac:dyDescent="0.1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ht="13.5" x14ac:dyDescent="0.1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ht="13.5" x14ac:dyDescent="0.1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ht="13.5" x14ac:dyDescent="0.1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ht="13.5" x14ac:dyDescent="0.1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ht="13.5" x14ac:dyDescent="0.1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ht="13.5" x14ac:dyDescent="0.1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ht="13.5" x14ac:dyDescent="0.1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ht="13.5" x14ac:dyDescent="0.1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ht="13.5" x14ac:dyDescent="0.1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ht="13.5" x14ac:dyDescent="0.1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ht="13.5" x14ac:dyDescent="0.1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ht="13.5" x14ac:dyDescent="0.1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ht="13.5" x14ac:dyDescent="0.1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ht="13.5" x14ac:dyDescent="0.1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ht="13.5" x14ac:dyDescent="0.1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ht="13.5" x14ac:dyDescent="0.1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ht="13.5" x14ac:dyDescent="0.1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ht="13.5" x14ac:dyDescent="0.1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ht="13.5" x14ac:dyDescent="0.1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ht="13.5" x14ac:dyDescent="0.1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ht="13.5" x14ac:dyDescent="0.1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ht="13.5" x14ac:dyDescent="0.1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ht="13.5" x14ac:dyDescent="0.1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ht="13.5" x14ac:dyDescent="0.1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ht="13.5" x14ac:dyDescent="0.1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ht="13.5" x14ac:dyDescent="0.1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ht="13.5" x14ac:dyDescent="0.1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ht="13.5" x14ac:dyDescent="0.1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ht="13.5" x14ac:dyDescent="0.1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ht="13.5" x14ac:dyDescent="0.1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ht="13.5" x14ac:dyDescent="0.1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ht="13.5" x14ac:dyDescent="0.1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ht="13.5" x14ac:dyDescent="0.1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ht="13.5" x14ac:dyDescent="0.1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ht="13.5" x14ac:dyDescent="0.1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ht="13.5" x14ac:dyDescent="0.1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ht="13.5" x14ac:dyDescent="0.1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ht="13.5" x14ac:dyDescent="0.1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ht="13.5" x14ac:dyDescent="0.1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ht="13.5" x14ac:dyDescent="0.1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ht="13.5" x14ac:dyDescent="0.1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ht="13.5" x14ac:dyDescent="0.1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ht="13.5" x14ac:dyDescent="0.1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ht="13.5" x14ac:dyDescent="0.1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ht="13.5" x14ac:dyDescent="0.1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ht="13.5" x14ac:dyDescent="0.1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ht="13.5" x14ac:dyDescent="0.1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ht="13.5" x14ac:dyDescent="0.1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ht="13.5" x14ac:dyDescent="0.1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ht="13.5" x14ac:dyDescent="0.1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ht="13.5" x14ac:dyDescent="0.1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ht="13.5" x14ac:dyDescent="0.1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ht="13.5" x14ac:dyDescent="0.1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ht="13.5" x14ac:dyDescent="0.1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ht="13.5" x14ac:dyDescent="0.1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0.5" x14ac:dyDescent="0.1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ht="13.5" x14ac:dyDescent="0.1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ht="13.5" x14ac:dyDescent="0.1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ht="13.5" x14ac:dyDescent="0.1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ht="13.5" x14ac:dyDescent="0.1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ht="13.5" x14ac:dyDescent="0.1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ht="13.5" x14ac:dyDescent="0.1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ht="13.5" x14ac:dyDescent="0.1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ht="13.5" x14ac:dyDescent="0.1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ht="13.5" x14ac:dyDescent="0.1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ht="13.5" x14ac:dyDescent="0.15">
      <c r="A330" s="90">
        <v>42986</v>
      </c>
      <c r="B330" s="41">
        <f t="shared" ref="B330:B395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ht="13.5" x14ac:dyDescent="0.1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ht="13.5" x14ac:dyDescent="0.1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ht="13.5" x14ac:dyDescent="0.1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ht="13.5" x14ac:dyDescent="0.1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ht="13.5" x14ac:dyDescent="0.1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ht="13.5" x14ac:dyDescent="0.1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ht="13.5" x14ac:dyDescent="0.1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ht="13.5" x14ac:dyDescent="0.1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ht="13.5" x14ac:dyDescent="0.1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ht="13.5" x14ac:dyDescent="0.1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ht="13.5" x14ac:dyDescent="0.1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ht="13.5" x14ac:dyDescent="0.1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ht="13.5" x14ac:dyDescent="0.1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ht="13.5" x14ac:dyDescent="0.1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ht="13.5" x14ac:dyDescent="0.1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ht="13.5" x14ac:dyDescent="0.1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ht="13.5" x14ac:dyDescent="0.1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ht="13.5" x14ac:dyDescent="0.1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ht="13.5" x14ac:dyDescent="0.1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ht="13.5" x14ac:dyDescent="0.1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ht="13.5" x14ac:dyDescent="0.1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ht="13.5" x14ac:dyDescent="0.1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ht="13.5" x14ac:dyDescent="0.1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ht="13.5" x14ac:dyDescent="0.1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ht="13.5" x14ac:dyDescent="0.1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ht="13.5" x14ac:dyDescent="0.1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ht="13.5" x14ac:dyDescent="0.1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ht="13.5" x14ac:dyDescent="0.1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ht="13.5" x14ac:dyDescent="0.1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ht="13.5" x14ac:dyDescent="0.1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ht="13.5" x14ac:dyDescent="0.1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ht="13.5" x14ac:dyDescent="0.1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ht="13.5" x14ac:dyDescent="0.1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ht="13.5" x14ac:dyDescent="0.1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ht="13.5" x14ac:dyDescent="0.1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ht="13.5" x14ac:dyDescent="0.1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ht="13.5" x14ac:dyDescent="0.1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ht="13.5" x14ac:dyDescent="0.1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ht="13.5" x14ac:dyDescent="0.1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ht="13.5" x14ac:dyDescent="0.1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ht="13.5" x14ac:dyDescent="0.1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ht="13.5" x14ac:dyDescent="0.1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ht="13.5" x14ac:dyDescent="0.1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ht="13.5" x14ac:dyDescent="0.1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ht="13.5" x14ac:dyDescent="0.1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ht="13.5" x14ac:dyDescent="0.1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ht="13.5" x14ac:dyDescent="0.1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ht="13.5" x14ac:dyDescent="0.1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ht="13.5" x14ac:dyDescent="0.1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ht="13.5" x14ac:dyDescent="0.1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ht="13.5" x14ac:dyDescent="0.1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ht="13.5" x14ac:dyDescent="0.1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x14ac:dyDescent="0.2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625</v>
      </c>
    </row>
    <row r="394" spans="1:57" x14ac:dyDescent="0.25">
      <c r="A394" s="90">
        <v>43083</v>
      </c>
      <c r="B394" s="41">
        <f t="shared" si="2744"/>
        <v>4</v>
      </c>
    </row>
    <row r="395" spans="1:57" x14ac:dyDescent="0.25">
      <c r="A395" s="90">
        <v>43084</v>
      </c>
      <c r="B395" s="41">
        <f t="shared" si="274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46"/>
  <sheetViews>
    <sheetView zoomScale="115" zoomScaleNormal="115" workbookViewId="0">
      <pane xSplit="1" ySplit="1" topLeftCell="B328" activePane="bottomRight" state="frozen"/>
      <selection pane="topRight" activeCell="B1" sqref="B1"/>
      <selection pane="bottomLeft" activeCell="A2" sqref="A2"/>
      <selection pane="bottomRight" activeCell="C344" sqref="C344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ht="13.5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ht="13.5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ht="13.5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ht="13.5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ht="13.5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ht="13.5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ht="13.5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ht="13.5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ht="13.5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ht="13.5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ht="13.5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ht="13.5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ht="13.5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ht="13.5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ht="13.5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ht="13.5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ht="13.5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ht="13.5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ht="13.5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ht="13.5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ht="13.5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ht="13.5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ht="13.5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ht="13.5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ht="13.5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ht="13.5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ht="13.5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ht="13.5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ht="13.5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ht="13.5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ht="13.5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ht="13.5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ht="13.5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ht="13.5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ht="13.5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ht="13.5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ht="13.5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ht="13.5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ht="13.5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ht="13.5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ht="13.5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ht="13.5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ht="13.5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ht="13.5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ht="13.5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ht="13.5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ht="13.5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ht="13.5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ht="13.5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ht="13.5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ht="13.5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ht="13.5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ht="13.5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ht="13.5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ht="13.5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ht="13.5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ht="13.5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ht="13.5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ht="13.5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ht="13.5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ht="13.5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ht="13.5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ht="13.5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ht="13.5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ht="13.5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ht="13.5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ht="13.5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ht="13.5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ht="13.5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ht="13.5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ht="13.5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ht="13.5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ht="13.5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ht="13.5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ht="13.5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ht="13.5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ht="13.5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ht="13.5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ht="13.5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ht="13.5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ht="13.5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ht="13.5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ht="13.5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ht="13.5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ht="13.5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ht="13.5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ht="13.5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ht="13.5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ht="13.5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ht="13.5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ht="13.5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ht="13.5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ht="13.5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ht="13.5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ht="13.5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ht="13.5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ht="13.5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ht="13.5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ht="13.5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ht="13.5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ht="13.5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ht="13.5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ht="13.5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ht="13.5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ht="13.5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ht="13.5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ht="13.5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ht="13.5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ht="13.5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ht="13.5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ht="13.5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ht="13.5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ht="13.5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ht="13.5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ht="13.5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ht="13.5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ht="13.5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ht="13.5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ht="13.5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ht="13.5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ht="13.5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ht="13.5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ht="13.5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ht="13.5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ht="13.5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ht="13.5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ht="13.5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ht="13.5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ht="13.5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ht="13.5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ht="13.5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ht="13.5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ht="13.5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ht="13.5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ht="13.5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ht="13.5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ht="13.5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ht="13.5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ht="13.5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ht="13.5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ht="13.5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ht="13.5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ht="13.5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ht="13.5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ht="13.5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ht="13.5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ht="13.5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ht="13.5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ht="13.5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ht="13.5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ht="13.5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ht="13.5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ht="13.5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ht="13.5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ht="13.5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ht="13.5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ht="13.5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ht="13.5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ht="13.5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ht="13.5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ht="13.5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ht="13.5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ht="13.5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ht="13.5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ht="13.5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ht="13.5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ht="13.5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ht="13.5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ht="13.5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ht="13.5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ht="13.5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ht="13.5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ht="13.5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ht="13.5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ht="13.5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ht="13.5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ht="13.5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ht="13.5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ht="13.5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ht="13.5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ht="13.5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ht="13.5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ht="13.5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ht="13.5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ht="13.5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ht="13.5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ht="13.5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ht="13.5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ht="13.5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ht="13.5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ht="13.5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ht="13.5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ht="13.5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ht="13.5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ht="13.5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ht="13.5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ht="13.5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ht="13.5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ht="13.5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ht="13.5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ht="13.5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ht="13.5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ht="13.5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ht="13.5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ht="13.5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ht="13.5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ht="13.5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ht="13.5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ht="13.5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ht="13.5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ht="13.5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ht="13.5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ht="13.5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ht="13.5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ht="13.5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ht="13.5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ht="13.5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ht="13.5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ht="13.5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ht="13.5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44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ht="13.5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ht="13.5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ht="13.5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ht="13.5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ht="13.5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ht="13.5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ht="13.5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ht="13.5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ht="13.5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ht="13.5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ht="13.5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ht="13.5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ht="13.5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ht="13.5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ht="13.5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ht="13.5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ht="13.5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ht="13.5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ht="13.5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ht="13.5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ht="13.5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ht="13.5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ht="13.5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ht="13.5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ht="13.5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ht="13.5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ht="13.5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ht="13.5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ht="13.5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ht="13.5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ht="13.5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ht="13.5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ht="13.5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ht="13.5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ht="13.5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ht="13.5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ht="13.5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ht="13.5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ht="13.5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ht="13.5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ht="13.5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ht="13.5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ht="13.5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ht="13.5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ht="13.5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ht="13.5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ht="13.5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ht="13.5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ht="13.5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ht="13.5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ht="13.5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ht="13.5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ht="13.5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ht="13.5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ht="13.5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ht="13.5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ht="13.5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ht="13.5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ht="13.5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ht="13.5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ht="13.5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ht="13.5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ht="13.5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ht="13.5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ht="13.5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ht="13.5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ht="13.5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ht="13.5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ht="13.5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ht="13.5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ht="13.5" x14ac:dyDescent="0.15">
      <c r="A291" s="90">
        <v>43007</v>
      </c>
      <c r="B291" s="41">
        <f t="shared" ref="B291:B344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ht="13.5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ht="13.5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ht="13.5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ht="13.5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ht="13.5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ht="13.5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ht="13.5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ht="13.5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ht="13.5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ht="13.5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ht="13.5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ht="13.5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ht="13.5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ht="13.5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ht="13.5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ht="13.5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44" si="21">LN(L307/L306)</f>
        <v>2.1046376516050971E-3</v>
      </c>
    </row>
    <row r="308" spans="1:14" ht="13.5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ht="13.5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ht="13.5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ht="13.5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ht="13.5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ht="13.5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ht="13.5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ht="13.5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ht="13.5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ht="13.5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ht="13.5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ht="13.5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ht="13.5" x14ac:dyDescent="0.1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ht="13.5" x14ac:dyDescent="0.1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ht="13.5" x14ac:dyDescent="0.1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ht="13.5" x14ac:dyDescent="0.1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x14ac:dyDescent="0.2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2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x14ac:dyDescent="0.2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2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2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2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x14ac:dyDescent="0.2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x14ac:dyDescent="0.2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x14ac:dyDescent="0.2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x14ac:dyDescent="0.2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x14ac:dyDescent="0.2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x14ac:dyDescent="0.2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x14ac:dyDescent="0.2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x14ac:dyDescent="0.2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x14ac:dyDescent="0.2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x14ac:dyDescent="0.2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x14ac:dyDescent="0.2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x14ac:dyDescent="0.2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x14ac:dyDescent="0.2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x14ac:dyDescent="0.2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x14ac:dyDescent="0.2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" si="22">LN(H344/H343)</f>
        <v>5.9509246834607457E-4</v>
      </c>
      <c r="J344">
        <v>6.6237849999999998</v>
      </c>
      <c r="K344" s="93">
        <f t="shared" ref="K344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624</v>
      </c>
    </row>
    <row r="345" spans="1:14" x14ac:dyDescent="0.25">
      <c r="A345" s="90">
        <v>43083</v>
      </c>
    </row>
    <row r="346" spans="1:14" x14ac:dyDescent="0.25">
      <c r="A346" s="90">
        <v>43084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83"/>
  <sheetViews>
    <sheetView zoomScale="115" zoomScaleNormal="115" workbookViewId="0">
      <pane xSplit="1" ySplit="2" topLeftCell="B466" activePane="bottomRight" state="frozen"/>
      <selection pane="topRight" activeCell="B1" sqref="B1"/>
      <selection pane="bottomLeft" activeCell="A3" sqref="A3"/>
      <selection pane="bottomRight" activeCell="A481" sqref="A481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4" ht="13.5" x14ac:dyDescent="0.15">
      <c r="J1" t="s">
        <v>229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ht="13.5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ht="13.5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ht="13.5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3.5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3.5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3.5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3.5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3.5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ht="13.5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ht="13.5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ht="13.5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ht="13.5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ht="13.5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ht="13.5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ht="13.5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61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4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ht="13.5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ht="13.5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ht="13.5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ht="13.5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ht="13.5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ht="13.5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ht="13.5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ht="13.5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ht="13.5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ht="13.5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ht="13.5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93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ht="13.5" x14ac:dyDescent="0.15">
      <c r="A53" s="1">
        <v>42475</v>
      </c>
      <c r="B53">
        <v>10.28</v>
      </c>
      <c r="C53" s="25">
        <f t="shared" si="12"/>
        <v>0</v>
      </c>
      <c r="D53" s="26">
        <f t="shared" si="13"/>
        <v>11.022946686881408</v>
      </c>
      <c r="F53">
        <v>10.965999999999999</v>
      </c>
      <c r="G53" s="93">
        <f t="shared" si="15"/>
        <v>-6.7400007274425189E-2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ht="13.5" x14ac:dyDescent="0.15">
      <c r="A54" s="1">
        <v>42478</v>
      </c>
      <c r="B54">
        <v>10.1</v>
      </c>
      <c r="C54" s="25">
        <f t="shared" si="12"/>
        <v>-1.7509727626459082E-2</v>
      </c>
      <c r="D54" s="26">
        <f>+F53*(1+L54)</f>
        <v>10.869939097352287</v>
      </c>
      <c r="F54">
        <v>10.887</v>
      </c>
      <c r="G54" s="93">
        <f t="shared" si="15"/>
        <v>-7.083196055255081E-2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ht="13.5" x14ac:dyDescent="0.15">
      <c r="A55" s="1">
        <v>42479</v>
      </c>
      <c r="B55">
        <v>10.16</v>
      </c>
      <c r="C55" s="25">
        <f t="shared" si="12"/>
        <v>5.9405940594059459E-3</v>
      </c>
      <c r="D55" s="26">
        <f>+F54*(1+L55)</f>
        <v>10.909355630470785</v>
      </c>
      <c r="F55">
        <v>10.923999999999999</v>
      </c>
      <c r="G55" s="25">
        <f>+B55/D55-1</f>
        <v>-6.8689265970738766E-2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ht="13.5" x14ac:dyDescent="0.15">
      <c r="A56" s="1">
        <v>42480</v>
      </c>
      <c r="B56">
        <v>9.9700000000000006</v>
      </c>
      <c r="C56" s="93">
        <f t="shared" si="12"/>
        <v>-1.870078740157477E-2</v>
      </c>
      <c r="D56" s="26">
        <f>+F55*(1+L56)</f>
        <v>10.86745335314553</v>
      </c>
      <c r="F56" s="92">
        <v>10.923999999999999</v>
      </c>
      <c r="G56" s="93">
        <f t="shared" ref="G56:G58" si="16">+B56/D56-1</f>
        <v>-8.2581753423010218E-2</v>
      </c>
      <c r="J56" s="92">
        <v>9657.35</v>
      </c>
      <c r="K56" s="92">
        <v>9607.3599999999988</v>
      </c>
      <c r="L56" s="93">
        <f t="shared" si="10"/>
        <v>-5.1763682583733095E-3</v>
      </c>
      <c r="M56">
        <f t="shared" si="5"/>
        <v>3</v>
      </c>
    </row>
    <row r="57" spans="1:13" ht="13.5" x14ac:dyDescent="0.15">
      <c r="A57" s="1">
        <v>42481</v>
      </c>
      <c r="B57">
        <v>9.9700000000000006</v>
      </c>
      <c r="C57" s="25">
        <f t="shared" si="12"/>
        <v>0</v>
      </c>
      <c r="D57" s="26">
        <f>+F56*(1+L57)</f>
        <v>10.913505075275623</v>
      </c>
      <c r="F57">
        <v>10.847</v>
      </c>
      <c r="G57" s="93">
        <f t="shared" si="16"/>
        <v>-8.6452983598561572E-2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ht="13.5" x14ac:dyDescent="0.15">
      <c r="A58" s="1">
        <v>42482</v>
      </c>
      <c r="B58">
        <v>10</v>
      </c>
      <c r="C58" s="25">
        <f t="shared" si="12"/>
        <v>3.0090270812437314E-3</v>
      </c>
      <c r="D58" s="26">
        <f>+F57*(1+L58)</f>
        <v>10.908184478643237</v>
      </c>
      <c r="F58">
        <v>10.891999999999999</v>
      </c>
      <c r="G58" s="93">
        <f t="shared" si="16"/>
        <v>-8.3257161668042978E-2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ht="13.5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si="13"/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ht="13.5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3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ht="13.5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3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ht="13.5" x14ac:dyDescent="0.15">
      <c r="A62" s="1">
        <v>42488</v>
      </c>
      <c r="B62">
        <v>10</v>
      </c>
      <c r="C62" s="25">
        <f t="shared" si="12"/>
        <v>0</v>
      </c>
      <c r="D62" s="26">
        <f t="shared" ref="D62:D75" si="18">+F61*(1+L62)</f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ht="13.5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8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ht="13.5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8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ht="13.5" x14ac:dyDescent="0.15">
      <c r="A65" s="1">
        <v>42494</v>
      </c>
      <c r="B65">
        <v>9.98</v>
      </c>
      <c r="C65" s="25">
        <f t="shared" si="12"/>
        <v>0</v>
      </c>
      <c r="D65" s="26">
        <f t="shared" si="18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ht="13.5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8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9">WEEKDAY(A66,2)</f>
        <v>4</v>
      </c>
    </row>
    <row r="67" spans="1:13" ht="13.5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8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9"/>
        <v>5</v>
      </c>
    </row>
    <row r="68" spans="1:13" ht="13.5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8"/>
        <v>10.46704060943253</v>
      </c>
      <c r="E68" s="26"/>
      <c r="F68">
        <v>10.477</v>
      </c>
      <c r="G68" s="25">
        <f t="shared" ref="G68:G106" si="20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9"/>
        <v>1</v>
      </c>
    </row>
    <row r="69" spans="1:13" ht="13.5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8"/>
        <v>10.471435331748165</v>
      </c>
      <c r="E69" s="26"/>
      <c r="F69">
        <v>10.454000000000001</v>
      </c>
      <c r="G69" s="25">
        <f t="shared" si="20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9"/>
        <v>2</v>
      </c>
    </row>
    <row r="70" spans="1:13" ht="13.5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8"/>
        <v>10.491238033789349</v>
      </c>
      <c r="E70" s="26"/>
      <c r="F70">
        <v>10.47</v>
      </c>
      <c r="G70" s="25">
        <f t="shared" si="20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9"/>
        <v>3</v>
      </c>
    </row>
    <row r="71" spans="1:13" ht="13.5" x14ac:dyDescent="0.15">
      <c r="A71" s="1">
        <v>42502</v>
      </c>
      <c r="B71">
        <v>9.57</v>
      </c>
      <c r="C71" s="25">
        <f t="shared" si="12"/>
        <v>0</v>
      </c>
      <c r="D71" s="26">
        <f t="shared" si="18"/>
        <v>10.506109820869817</v>
      </c>
      <c r="E71" s="26"/>
      <c r="F71">
        <v>10.544</v>
      </c>
      <c r="G71" s="25">
        <f t="shared" si="20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9"/>
        <v>4</v>
      </c>
    </row>
    <row r="72" spans="1:13" ht="13.5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8"/>
        <v>10.508737891236745</v>
      </c>
      <c r="E72" s="26"/>
      <c r="F72">
        <v>10.464</v>
      </c>
      <c r="G72" s="25">
        <f t="shared" si="20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9"/>
        <v>5</v>
      </c>
    </row>
    <row r="73" spans="1:13" ht="13.5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8"/>
        <v>10.488669055559955</v>
      </c>
      <c r="E73" s="26"/>
      <c r="F73">
        <v>10.473000000000001</v>
      </c>
      <c r="G73" s="25">
        <f t="shared" si="20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1">WEEKDAY(A73,2)</f>
        <v>1</v>
      </c>
    </row>
    <row r="74" spans="1:13" ht="13.5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8"/>
        <v>10.444456150235943</v>
      </c>
      <c r="E74" s="26"/>
      <c r="F74">
        <v>10.468</v>
      </c>
      <c r="G74" s="25">
        <f t="shared" si="20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1"/>
        <v>2</v>
      </c>
    </row>
    <row r="75" spans="1:13" ht="13.5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8"/>
        <v>10.492676526860503</v>
      </c>
      <c r="E75" s="26"/>
      <c r="F75">
        <v>10.493</v>
      </c>
      <c r="G75" s="25">
        <f t="shared" si="20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1"/>
        <v>3</v>
      </c>
    </row>
    <row r="76" spans="1:13" ht="13.5" x14ac:dyDescent="0.15">
      <c r="A76" s="1">
        <v>42509</v>
      </c>
      <c r="B76">
        <v>9.43</v>
      </c>
      <c r="C76" s="25">
        <f t="shared" ref="C76:C92" si="22">B76/B75-1</f>
        <v>0</v>
      </c>
      <c r="D76" s="26">
        <f t="shared" ref="D76:D92" si="23">+F75*(1+L76)</f>
        <v>10.462262606820499</v>
      </c>
      <c r="E76" s="26"/>
      <c r="F76">
        <v>10.414099999999999</v>
      </c>
      <c r="G76" s="25">
        <f t="shared" si="20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1"/>
        <v>4</v>
      </c>
    </row>
    <row r="77" spans="1:13" ht="13.5" x14ac:dyDescent="0.15">
      <c r="A77" s="1">
        <v>42510</v>
      </c>
      <c r="B77">
        <v>9.52</v>
      </c>
      <c r="C77" s="25">
        <f t="shared" si="22"/>
        <v>9.5440084835631822E-3</v>
      </c>
      <c r="D77" s="26">
        <f t="shared" si="23"/>
        <v>10.452121866377727</v>
      </c>
      <c r="E77" s="26"/>
      <c r="F77">
        <v>10.455</v>
      </c>
      <c r="G77" s="25">
        <f t="shared" si="20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1"/>
        <v>5</v>
      </c>
    </row>
    <row r="78" spans="1:13" ht="13.5" x14ac:dyDescent="0.15">
      <c r="A78" s="1">
        <v>42513</v>
      </c>
      <c r="B78">
        <v>9.5</v>
      </c>
      <c r="C78" s="25">
        <f t="shared" si="22"/>
        <v>-2.1008403361344463E-3</v>
      </c>
      <c r="D78" s="26">
        <f t="shared" si="23"/>
        <v>10.449099968956721</v>
      </c>
      <c r="E78" s="26"/>
      <c r="F78">
        <v>10.457000000000001</v>
      </c>
      <c r="G78" s="25">
        <f t="shared" si="20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1"/>
        <v>1</v>
      </c>
    </row>
    <row r="79" spans="1:13" ht="13.5" x14ac:dyDescent="0.15">
      <c r="A79" s="1">
        <v>42514</v>
      </c>
      <c r="B79">
        <v>9.51</v>
      </c>
      <c r="C79" s="25">
        <f t="shared" si="22"/>
        <v>1.0526315789474161E-3</v>
      </c>
      <c r="D79" s="26">
        <f t="shared" si="23"/>
        <v>10.390320541119813</v>
      </c>
      <c r="E79" s="26"/>
      <c r="F79">
        <v>10.388999999999999</v>
      </c>
      <c r="G79" s="25">
        <f t="shared" si="20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1"/>
        <v>2</v>
      </c>
    </row>
    <row r="80" spans="1:13" ht="13.5" x14ac:dyDescent="0.15">
      <c r="A80" s="1">
        <v>42515</v>
      </c>
      <c r="B80">
        <v>9.5500000000000007</v>
      </c>
      <c r="C80" s="25">
        <f t="shared" si="22"/>
        <v>4.206098843323014E-3</v>
      </c>
      <c r="D80" s="26">
        <f t="shared" si="23"/>
        <v>10.420650303255567</v>
      </c>
      <c r="E80" s="26"/>
      <c r="F80">
        <v>10.381</v>
      </c>
      <c r="G80" s="25">
        <f t="shared" si="20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1"/>
        <v>3</v>
      </c>
    </row>
    <row r="81" spans="1:13" ht="13.5" x14ac:dyDescent="0.15">
      <c r="A81" s="1">
        <v>42516</v>
      </c>
      <c r="B81">
        <v>9.57</v>
      </c>
      <c r="C81" s="25">
        <f t="shared" si="22"/>
        <v>2.0942408376962707E-3</v>
      </c>
      <c r="D81" s="26">
        <f t="shared" si="23"/>
        <v>10.399455427348689</v>
      </c>
      <c r="E81" s="26"/>
      <c r="F81">
        <v>10.42</v>
      </c>
      <c r="G81" s="25">
        <f t="shared" si="20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1"/>
        <v>4</v>
      </c>
    </row>
    <row r="82" spans="1:13" ht="13.5" x14ac:dyDescent="0.15">
      <c r="A82" s="1">
        <v>42517</v>
      </c>
      <c r="B82">
        <v>9.67</v>
      </c>
      <c r="C82" s="25">
        <f t="shared" si="22"/>
        <v>1.0449320794148287E-2</v>
      </c>
      <c r="D82" s="26">
        <f t="shared" si="23"/>
        <v>10.413973427240286</v>
      </c>
      <c r="E82" s="26"/>
      <c r="F82">
        <v>10.423999999999999</v>
      </c>
      <c r="G82" s="25">
        <f t="shared" si="20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1"/>
        <v>5</v>
      </c>
    </row>
    <row r="83" spans="1:13" ht="13.5" x14ac:dyDescent="0.15">
      <c r="A83" s="1">
        <v>42520</v>
      </c>
      <c r="B83">
        <v>9.68</v>
      </c>
      <c r="C83" s="25">
        <f t="shared" si="22"/>
        <v>1.0341261633919352E-3</v>
      </c>
      <c r="D83" s="26">
        <f t="shared" si="23"/>
        <v>10.509601744873256</v>
      </c>
      <c r="E83" s="26"/>
      <c r="F83">
        <v>10.465999999999999</v>
      </c>
      <c r="G83" s="25">
        <f t="shared" si="20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1"/>
        <v>1</v>
      </c>
    </row>
    <row r="84" spans="1:13" ht="13.5" x14ac:dyDescent="0.15">
      <c r="A84" s="1">
        <v>42521</v>
      </c>
      <c r="B84">
        <v>10.02</v>
      </c>
      <c r="C84" s="25">
        <f t="shared" si="22"/>
        <v>3.512396694214881E-2</v>
      </c>
      <c r="D84" s="26">
        <f t="shared" si="23"/>
        <v>10.738773588108604</v>
      </c>
      <c r="E84" s="26"/>
      <c r="F84">
        <v>10.763</v>
      </c>
      <c r="G84" s="25">
        <f t="shared" si="20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1"/>
        <v>2</v>
      </c>
    </row>
    <row r="85" spans="1:13" ht="13.5" x14ac:dyDescent="0.15">
      <c r="A85" s="1">
        <v>42522</v>
      </c>
      <c r="B85">
        <v>9.9499999999999993</v>
      </c>
      <c r="C85" s="25">
        <f t="shared" si="22"/>
        <v>-6.98602794411185E-3</v>
      </c>
      <c r="D85" s="26">
        <f t="shared" si="23"/>
        <v>10.695757334077831</v>
      </c>
      <c r="E85" s="26"/>
      <c r="F85">
        <v>10.68</v>
      </c>
      <c r="G85" s="25">
        <f t="shared" si="20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1"/>
        <v>3</v>
      </c>
    </row>
    <row r="86" spans="1:13" ht="13.5" x14ac:dyDescent="0.15">
      <c r="A86" s="1">
        <v>42523</v>
      </c>
      <c r="B86">
        <v>9.9700000000000006</v>
      </c>
      <c r="C86" s="25">
        <f t="shared" si="22"/>
        <v>2.0100502512563345E-3</v>
      </c>
      <c r="D86" s="26">
        <f t="shared" si="23"/>
        <v>10.664931028777808</v>
      </c>
      <c r="E86" s="26"/>
      <c r="F86">
        <v>10.695</v>
      </c>
      <c r="G86" s="25">
        <f t="shared" si="20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1"/>
        <v>4</v>
      </c>
    </row>
    <row r="87" spans="1:13" ht="13.5" x14ac:dyDescent="0.15">
      <c r="A87" s="1">
        <v>42524</v>
      </c>
      <c r="B87">
        <v>9.98</v>
      </c>
      <c r="C87" s="25">
        <f t="shared" si="22"/>
        <v>1.0030090270811698E-3</v>
      </c>
      <c r="D87" s="26">
        <f t="shared" si="23"/>
        <v>10.760226665291235</v>
      </c>
      <c r="E87" s="26"/>
      <c r="F87">
        <v>10.593999999999999</v>
      </c>
      <c r="G87" s="25">
        <f t="shared" si="20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1"/>
        <v>5</v>
      </c>
    </row>
    <row r="88" spans="1:13" ht="13.5" x14ac:dyDescent="0.15">
      <c r="A88" s="1">
        <v>42527</v>
      </c>
      <c r="B88">
        <v>9.9600000000000009</v>
      </c>
      <c r="C88" s="25">
        <f t="shared" si="22"/>
        <v>-2.0040080160320661E-3</v>
      </c>
      <c r="D88" s="26">
        <f t="shared" si="23"/>
        <v>10.527290331935166</v>
      </c>
      <c r="E88" s="26"/>
      <c r="F88">
        <v>10.592000000000001</v>
      </c>
      <c r="G88" s="25">
        <f t="shared" si="20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1"/>
        <v>1</v>
      </c>
    </row>
    <row r="89" spans="1:13" ht="13.5" x14ac:dyDescent="0.15">
      <c r="A89" s="1">
        <v>42528</v>
      </c>
      <c r="B89">
        <v>9.99</v>
      </c>
      <c r="C89" s="25">
        <f t="shared" si="22"/>
        <v>3.0120481927711218E-3</v>
      </c>
      <c r="D89" s="26">
        <f t="shared" si="23"/>
        <v>10.597089176316089</v>
      </c>
      <c r="E89" s="26"/>
      <c r="F89">
        <v>10.577999999999999</v>
      </c>
      <c r="G89" s="25">
        <f t="shared" si="20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1"/>
        <v>2</v>
      </c>
    </row>
    <row r="90" spans="1:13" ht="13.5" x14ac:dyDescent="0.15">
      <c r="A90" s="1">
        <v>42529</v>
      </c>
      <c r="B90">
        <v>9.92</v>
      </c>
      <c r="C90" s="25">
        <f t="shared" si="22"/>
        <v>-7.0070070070070711E-3</v>
      </c>
      <c r="D90" s="26">
        <f t="shared" si="23"/>
        <v>10.550076480497035</v>
      </c>
      <c r="E90" s="26"/>
      <c r="F90">
        <v>10.554</v>
      </c>
      <c r="G90" s="25">
        <f t="shared" si="20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1"/>
        <v>3</v>
      </c>
    </row>
    <row r="91" spans="1:13" ht="13.5" x14ac:dyDescent="0.15">
      <c r="A91" s="1">
        <v>42530</v>
      </c>
      <c r="B91">
        <v>9.92</v>
      </c>
      <c r="C91" s="25">
        <f t="shared" si="22"/>
        <v>0</v>
      </c>
      <c r="D91" s="26">
        <f t="shared" si="23"/>
        <v>10.554</v>
      </c>
      <c r="E91" s="26"/>
      <c r="F91">
        <v>10.554</v>
      </c>
      <c r="G91" s="25">
        <f t="shared" si="20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4">+K91/J91-1</f>
        <v>0</v>
      </c>
      <c r="M91">
        <f t="shared" si="21"/>
        <v>4</v>
      </c>
    </row>
    <row r="92" spans="1:13" ht="13.5" x14ac:dyDescent="0.15">
      <c r="A92" s="1">
        <v>42531</v>
      </c>
      <c r="B92">
        <v>9.81</v>
      </c>
      <c r="C92" s="25">
        <f t="shared" si="22"/>
        <v>-1.1088709677419262E-2</v>
      </c>
      <c r="D92" s="26">
        <f t="shared" si="23"/>
        <v>10.554</v>
      </c>
      <c r="E92" s="26"/>
      <c r="F92">
        <v>10.535</v>
      </c>
      <c r="G92" s="25">
        <f t="shared" si="20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4"/>
        <v>0</v>
      </c>
      <c r="M92">
        <f t="shared" si="21"/>
        <v>5</v>
      </c>
    </row>
    <row r="93" spans="1:13" ht="13.5" x14ac:dyDescent="0.15">
      <c r="A93" s="1">
        <v>42534</v>
      </c>
      <c r="B93">
        <v>9.5500000000000007</v>
      </c>
      <c r="C93" s="25">
        <f t="shared" ref="C93:C99" si="25">B93/B92-1</f>
        <v>-2.6503567787971472E-2</v>
      </c>
      <c r="D93" s="26">
        <f t="shared" ref="D93:D99" si="26">+F92*(1+L93)</f>
        <v>10.330626521704163</v>
      </c>
      <c r="E93" s="26"/>
      <c r="F93">
        <v>10.287000000000001</v>
      </c>
      <c r="G93" s="25">
        <f t="shared" si="20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4"/>
        <v>-1.9399475870511385E-2</v>
      </c>
      <c r="M93">
        <f t="shared" si="21"/>
        <v>1</v>
      </c>
    </row>
    <row r="94" spans="1:13" ht="13.5" x14ac:dyDescent="0.15">
      <c r="A94" s="1">
        <v>42535</v>
      </c>
      <c r="B94">
        <v>9.6199999999999992</v>
      </c>
      <c r="C94" s="25">
        <f t="shared" si="25"/>
        <v>7.3298429319370584E-3</v>
      </c>
      <c r="D94" s="26">
        <f t="shared" si="26"/>
        <v>10.342257791662762</v>
      </c>
      <c r="E94" s="26"/>
      <c r="F94">
        <v>10.336</v>
      </c>
      <c r="G94" s="25">
        <f t="shared" si="20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4"/>
        <v>5.3716138488151266E-3</v>
      </c>
      <c r="M94">
        <f t="shared" si="21"/>
        <v>2</v>
      </c>
    </row>
    <row r="95" spans="1:13" ht="13.5" x14ac:dyDescent="0.15">
      <c r="A95" s="1">
        <v>42536</v>
      </c>
      <c r="B95">
        <v>9.66</v>
      </c>
      <c r="C95" s="25">
        <f t="shared" si="25"/>
        <v>4.1580041580042693E-3</v>
      </c>
      <c r="D95" s="26">
        <f t="shared" si="26"/>
        <v>10.379299049548294</v>
      </c>
      <c r="E95" s="26"/>
      <c r="F95">
        <v>10.342000000000001</v>
      </c>
      <c r="G95" s="25">
        <f t="shared" si="20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4"/>
        <v>4.1891495306012327E-3</v>
      </c>
      <c r="M95">
        <f t="shared" si="21"/>
        <v>3</v>
      </c>
    </row>
    <row r="96" spans="1:13" ht="13.5" x14ac:dyDescent="0.15">
      <c r="A96" s="1">
        <v>42537</v>
      </c>
      <c r="B96">
        <v>9.61</v>
      </c>
      <c r="C96" s="25">
        <f t="shared" si="25"/>
        <v>-5.1759834368531044E-3</v>
      </c>
      <c r="D96" s="26">
        <f t="shared" si="26"/>
        <v>10.286657668483819</v>
      </c>
      <c r="E96" s="26"/>
      <c r="F96">
        <v>10.319000000000001</v>
      </c>
      <c r="G96" s="25">
        <f t="shared" si="20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4"/>
        <v>-5.351221380408222E-3</v>
      </c>
      <c r="M96">
        <f t="shared" si="21"/>
        <v>4</v>
      </c>
    </row>
    <row r="97" spans="1:13" ht="13.5" x14ac:dyDescent="0.15">
      <c r="A97" s="1">
        <v>42538</v>
      </c>
      <c r="B97">
        <v>9.6300000000000008</v>
      </c>
      <c r="C97" s="25">
        <f t="shared" si="25"/>
        <v>2.0811654526535772E-3</v>
      </c>
      <c r="D97" s="26">
        <f t="shared" si="26"/>
        <v>10.107475325882074</v>
      </c>
      <c r="E97" s="26"/>
      <c r="F97">
        <v>10.367000000000001</v>
      </c>
      <c r="G97" s="25">
        <f t="shared" si="20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4"/>
        <v>-2.0498563244299439E-2</v>
      </c>
      <c r="M97">
        <f t="shared" si="21"/>
        <v>5</v>
      </c>
    </row>
    <row r="98" spans="1:13" ht="13.5" x14ac:dyDescent="0.15">
      <c r="A98" s="1">
        <v>42541</v>
      </c>
      <c r="B98">
        <v>9.7100000000000009</v>
      </c>
      <c r="C98" s="25">
        <f t="shared" si="25"/>
        <v>8.3073727933540287E-3</v>
      </c>
      <c r="D98" s="26">
        <f t="shared" si="26"/>
        <v>10.384210524092943</v>
      </c>
      <c r="E98" s="26"/>
      <c r="F98">
        <v>10.387</v>
      </c>
      <c r="G98" s="25">
        <f t="shared" si="20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4"/>
        <v>1.6601257927020274E-3</v>
      </c>
      <c r="M98">
        <f t="shared" si="21"/>
        <v>1</v>
      </c>
    </row>
    <row r="99" spans="1:13" ht="13.5" x14ac:dyDescent="0.15">
      <c r="A99" s="1">
        <v>42542</v>
      </c>
      <c r="B99">
        <v>9.7799999999999994</v>
      </c>
      <c r="C99" s="25">
        <f t="shared" si="25"/>
        <v>7.2090628218330899E-3</v>
      </c>
      <c r="D99" s="26">
        <f t="shared" si="26"/>
        <v>10.386034244835166</v>
      </c>
      <c r="E99" s="26"/>
      <c r="F99">
        <v>10.395</v>
      </c>
      <c r="G99" s="25">
        <f t="shared" si="20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4"/>
        <v>-9.2977295160778795E-5</v>
      </c>
      <c r="M99">
        <f t="shared" si="21"/>
        <v>2</v>
      </c>
    </row>
    <row r="100" spans="1:13" ht="13.5" x14ac:dyDescent="0.15">
      <c r="A100" s="1">
        <v>42543</v>
      </c>
      <c r="B100">
        <v>9.8699999999999992</v>
      </c>
      <c r="C100" s="25">
        <f t="shared" ref="C100:C128" si="27">B100/B99-1</f>
        <v>9.2024539877300082E-3</v>
      </c>
      <c r="D100" s="26">
        <f t="shared" ref="D100:D108" si="28">+F99*(1+L100)</f>
        <v>10.455085860622724</v>
      </c>
      <c r="E100" s="26"/>
      <c r="F100">
        <v>10.411</v>
      </c>
      <c r="G100" s="25">
        <f t="shared" si="20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4"/>
        <v>5.7802655721717056E-3</v>
      </c>
      <c r="M100">
        <f t="shared" si="21"/>
        <v>3</v>
      </c>
    </row>
    <row r="101" spans="1:13" ht="13.5" x14ac:dyDescent="0.15">
      <c r="A101" s="1">
        <v>42544</v>
      </c>
      <c r="B101">
        <v>9.8000000000000007</v>
      </c>
      <c r="C101" s="25">
        <f t="shared" si="27"/>
        <v>-7.0921985815601829E-3</v>
      </c>
      <c r="D101" s="26">
        <f t="shared" si="28"/>
        <v>10.356282252420671</v>
      </c>
      <c r="E101" s="26"/>
      <c r="F101">
        <v>10.411</v>
      </c>
      <c r="G101" s="25">
        <f t="shared" si="20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4"/>
        <v>-5.2557629026345198E-3</v>
      </c>
      <c r="M101">
        <f t="shared" si="21"/>
        <v>4</v>
      </c>
    </row>
    <row r="102" spans="1:13" ht="13.5" x14ac:dyDescent="0.15">
      <c r="A102" s="1">
        <v>42545</v>
      </c>
      <c r="B102">
        <v>9.6300000000000008</v>
      </c>
      <c r="C102" s="25">
        <f t="shared" si="27"/>
        <v>-1.734693877551019E-2</v>
      </c>
      <c r="D102" s="26">
        <f t="shared" si="28"/>
        <v>10.26960685400204</v>
      </c>
      <c r="E102" s="26"/>
      <c r="F102">
        <v>10.281000000000001</v>
      </c>
      <c r="G102" s="25">
        <f t="shared" si="20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4"/>
        <v>-1.3581130150606024E-2</v>
      </c>
      <c r="M102">
        <f t="shared" si="21"/>
        <v>5</v>
      </c>
    </row>
    <row r="103" spans="1:13" ht="13.5" x14ac:dyDescent="0.15">
      <c r="A103" s="1">
        <v>42548</v>
      </c>
      <c r="B103">
        <v>9.65</v>
      </c>
      <c r="C103" s="25">
        <f t="shared" si="27"/>
        <v>2.0768431983384517E-3</v>
      </c>
      <c r="D103" s="26">
        <f t="shared" si="28"/>
        <v>10.374443054644097</v>
      </c>
      <c r="E103" s="26"/>
      <c r="F103">
        <v>10.268000000000001</v>
      </c>
      <c r="G103" s="25">
        <f t="shared" si="20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4"/>
        <v>9.0889071728523785E-3</v>
      </c>
      <c r="M103">
        <f t="shared" si="21"/>
        <v>1</v>
      </c>
    </row>
    <row r="104" spans="1:13" ht="13.5" x14ac:dyDescent="0.15">
      <c r="A104" s="1">
        <v>42549</v>
      </c>
      <c r="B104">
        <v>9.65</v>
      </c>
      <c r="C104" s="25">
        <f t="shared" si="27"/>
        <v>0</v>
      </c>
      <c r="D104" s="26">
        <f t="shared" si="28"/>
        <v>10.296059670574136</v>
      </c>
      <c r="E104" s="26"/>
      <c r="F104">
        <v>10.269</v>
      </c>
      <c r="G104" s="25">
        <f t="shared" si="20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4"/>
        <v>2.7327298961954405E-3</v>
      </c>
      <c r="M104">
        <f t="shared" si="21"/>
        <v>2</v>
      </c>
    </row>
    <row r="105" spans="1:13" ht="13.5" x14ac:dyDescent="0.15">
      <c r="A105" s="1">
        <v>42550</v>
      </c>
      <c r="B105">
        <v>9.77</v>
      </c>
      <c r="C105" s="25">
        <f t="shared" si="27"/>
        <v>1.2435233160621673E-2</v>
      </c>
      <c r="D105" s="26">
        <f t="shared" si="28"/>
        <v>10.367156435759345</v>
      </c>
      <c r="E105" s="26"/>
      <c r="F105">
        <v>10.382999999999999</v>
      </c>
      <c r="G105" s="25">
        <f t="shared" si="20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4"/>
        <v>9.5585194039677912E-3</v>
      </c>
      <c r="M105">
        <f t="shared" si="21"/>
        <v>3</v>
      </c>
    </row>
    <row r="106" spans="1:13" ht="13.5" x14ac:dyDescent="0.15">
      <c r="A106" s="1">
        <v>42551</v>
      </c>
      <c r="B106">
        <v>9.85</v>
      </c>
      <c r="C106" s="25">
        <f t="shared" si="27"/>
        <v>8.1883316274309337E-3</v>
      </c>
      <c r="D106" s="26">
        <f t="shared" si="28"/>
        <v>10.374414333088087</v>
      </c>
      <c r="E106" s="26"/>
      <c r="F106">
        <v>10.398999999999999</v>
      </c>
      <c r="G106" s="25">
        <f t="shared" si="20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4"/>
        <v>-8.2689655320355993E-4</v>
      </c>
      <c r="M106">
        <f t="shared" ref="M106:M112" si="29">WEEKDAY(A106,2)</f>
        <v>4</v>
      </c>
    </row>
    <row r="107" spans="1:13" ht="13.5" x14ac:dyDescent="0.15">
      <c r="A107" s="1">
        <v>42552</v>
      </c>
      <c r="B107">
        <v>9.85</v>
      </c>
      <c r="C107" s="25">
        <f t="shared" si="27"/>
        <v>0</v>
      </c>
      <c r="D107" s="26">
        <f t="shared" si="28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4"/>
        <v>2.9206842623314966E-3</v>
      </c>
      <c r="M107">
        <f t="shared" si="29"/>
        <v>5</v>
      </c>
    </row>
    <row r="108" spans="1:13" ht="13.5" x14ac:dyDescent="0.15">
      <c r="A108" s="1">
        <v>42555</v>
      </c>
      <c r="B108">
        <v>10.039999999999999</v>
      </c>
      <c r="C108" s="25">
        <f t="shared" si="27"/>
        <v>1.9289340101522834E-2</v>
      </c>
      <c r="D108" s="26">
        <f t="shared" si="28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4"/>
        <v>1.5227665804750101E-2</v>
      </c>
      <c r="M108">
        <f t="shared" si="29"/>
        <v>1</v>
      </c>
    </row>
    <row r="109" spans="1:13" ht="13.5" x14ac:dyDescent="0.15">
      <c r="A109" s="1">
        <v>42556</v>
      </c>
      <c r="B109">
        <v>9.9700000000000006</v>
      </c>
      <c r="C109" s="25">
        <f t="shared" si="27"/>
        <v>-6.9721115537847433E-3</v>
      </c>
      <c r="D109" s="26">
        <f t="shared" ref="D109:D128" si="30">+F108*(1+L109)</f>
        <v>10.587517468215648</v>
      </c>
      <c r="E109" s="26"/>
      <c r="F109">
        <v>10.574999999999999</v>
      </c>
      <c r="G109" s="25">
        <f t="shared" ref="G109:G123" si="31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4"/>
        <v>7.1053574817092624E-4</v>
      </c>
      <c r="M109">
        <f t="shared" si="29"/>
        <v>2</v>
      </c>
    </row>
    <row r="110" spans="1:13" ht="13.5" x14ac:dyDescent="0.15">
      <c r="A110" s="1">
        <v>42557</v>
      </c>
      <c r="B110">
        <v>9.94</v>
      </c>
      <c r="C110" s="25">
        <f t="shared" si="27"/>
        <v>-3.0090270812438424E-3</v>
      </c>
      <c r="D110" s="26">
        <f t="shared" si="30"/>
        <v>10.576871574942004</v>
      </c>
      <c r="E110" s="26"/>
      <c r="F110">
        <v>10.6</v>
      </c>
      <c r="G110" s="25">
        <f t="shared" si="31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4"/>
        <v>1.769810819862716E-4</v>
      </c>
      <c r="M110">
        <f t="shared" si="29"/>
        <v>3</v>
      </c>
    </row>
    <row r="111" spans="1:13" ht="13.5" x14ac:dyDescent="0.15">
      <c r="A111" s="1">
        <v>42558</v>
      </c>
      <c r="B111">
        <v>9.9499999999999993</v>
      </c>
      <c r="C111" s="25">
        <f t="shared" si="27"/>
        <v>1.006036217303885E-3</v>
      </c>
      <c r="D111" s="26">
        <f t="shared" si="30"/>
        <v>10.579468139562808</v>
      </c>
      <c r="E111" s="26"/>
      <c r="F111">
        <v>10.599</v>
      </c>
      <c r="G111" s="25">
        <f t="shared" si="31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4"/>
        <v>-1.9369679657728067E-3</v>
      </c>
      <c r="M111">
        <f t="shared" si="29"/>
        <v>4</v>
      </c>
    </row>
    <row r="112" spans="1:13" ht="13.5" x14ac:dyDescent="0.15">
      <c r="A112" s="1">
        <v>42559</v>
      </c>
      <c r="B112">
        <v>9.8800000000000008</v>
      </c>
      <c r="C112" s="25">
        <f t="shared" si="27"/>
        <v>-7.0351758793968378E-3</v>
      </c>
      <c r="D112" s="26">
        <f t="shared" si="30"/>
        <v>10.514260168238559</v>
      </c>
      <c r="E112" s="26"/>
      <c r="F112">
        <v>10.535</v>
      </c>
      <c r="G112" s="25">
        <f t="shared" si="31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4"/>
        <v>-7.9950780037211233E-3</v>
      </c>
      <c r="M112">
        <f t="shared" si="29"/>
        <v>5</v>
      </c>
    </row>
    <row r="113" spans="1:13" ht="13.5" x14ac:dyDescent="0.15">
      <c r="A113" s="1">
        <v>42562</v>
      </c>
      <c r="B113">
        <v>9.94</v>
      </c>
      <c r="C113" s="25">
        <f t="shared" si="27"/>
        <v>6.0728744939269053E-3</v>
      </c>
      <c r="D113" s="26">
        <f t="shared" si="30"/>
        <v>10.570224743007232</v>
      </c>
      <c r="E113" s="26"/>
      <c r="F113">
        <v>10.576000000000001</v>
      </c>
      <c r="G113" s="25">
        <f t="shared" si="31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4"/>
        <v>3.3435921221862674E-3</v>
      </c>
      <c r="M113">
        <f t="shared" ref="M113:M124" si="32">WEEKDAY(A113,2)</f>
        <v>1</v>
      </c>
    </row>
    <row r="114" spans="1:13" ht="13.5" x14ac:dyDescent="0.15">
      <c r="A114" s="1">
        <v>42563</v>
      </c>
      <c r="B114">
        <v>10.18</v>
      </c>
      <c r="C114" s="25">
        <f t="shared" si="27"/>
        <v>2.4144869215291687E-2</v>
      </c>
      <c r="D114" s="26">
        <f t="shared" si="30"/>
        <v>10.775734625457245</v>
      </c>
      <c r="E114" s="26"/>
      <c r="F114">
        <v>10.763</v>
      </c>
      <c r="G114" s="25">
        <f t="shared" si="31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4"/>
        <v>1.8885649154429363E-2</v>
      </c>
      <c r="M114">
        <f t="shared" si="32"/>
        <v>2</v>
      </c>
    </row>
    <row r="115" spans="1:13" ht="13.5" x14ac:dyDescent="0.15">
      <c r="A115" s="1">
        <v>42564</v>
      </c>
      <c r="B115">
        <v>10.14</v>
      </c>
      <c r="C115" s="25">
        <f t="shared" si="27"/>
        <v>-3.9292730844793233E-3</v>
      </c>
      <c r="D115" s="26">
        <f t="shared" si="30"/>
        <v>10.743993201604225</v>
      </c>
      <c r="E115" s="26"/>
      <c r="F115">
        <v>10.798999999999999</v>
      </c>
      <c r="G115" s="25">
        <f t="shared" si="31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4"/>
        <v>-1.7659387155788409E-3</v>
      </c>
      <c r="M115">
        <f t="shared" si="32"/>
        <v>3</v>
      </c>
    </row>
    <row r="116" spans="1:13" ht="13.5" x14ac:dyDescent="0.15">
      <c r="A116" s="1">
        <v>42565</v>
      </c>
      <c r="B116">
        <v>10.14</v>
      </c>
      <c r="C116" s="25">
        <f t="shared" si="27"/>
        <v>0</v>
      </c>
      <c r="D116" s="26">
        <f t="shared" si="30"/>
        <v>10.776541133054996</v>
      </c>
      <c r="E116" s="26"/>
      <c r="F116">
        <v>10.781000000000001</v>
      </c>
      <c r="G116" s="25">
        <f t="shared" si="31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4"/>
        <v>-2.0797172835450572E-3</v>
      </c>
      <c r="M116">
        <f t="shared" si="32"/>
        <v>4</v>
      </c>
    </row>
    <row r="117" spans="1:13" ht="13.5" x14ac:dyDescent="0.15">
      <c r="A117" s="1">
        <v>42566</v>
      </c>
      <c r="B117">
        <v>10.220000000000001</v>
      </c>
      <c r="C117" s="25">
        <f t="shared" si="27"/>
        <v>7.8895463510848529E-3</v>
      </c>
      <c r="D117" s="26">
        <f t="shared" si="30"/>
        <v>10.805596721927984</v>
      </c>
      <c r="E117" s="26"/>
      <c r="F117">
        <v>10.818</v>
      </c>
      <c r="G117" s="25">
        <f t="shared" si="31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4"/>
        <v>2.2814879814472278E-3</v>
      </c>
      <c r="M117">
        <f t="shared" si="32"/>
        <v>5</v>
      </c>
    </row>
    <row r="118" spans="1:13" ht="13.5" x14ac:dyDescent="0.15">
      <c r="A118" s="1">
        <v>42569</v>
      </c>
      <c r="B118">
        <v>10.220000000000001</v>
      </c>
      <c r="C118" s="25">
        <f t="shared" si="27"/>
        <v>0</v>
      </c>
      <c r="D118" s="26">
        <f t="shared" si="30"/>
        <v>10.815102283173553</v>
      </c>
      <c r="E118" s="26"/>
      <c r="F118">
        <v>10.787000000000001</v>
      </c>
      <c r="G118" s="25">
        <f t="shared" si="31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2"/>
        <v>1</v>
      </c>
    </row>
    <row r="119" spans="1:13" ht="13.5" x14ac:dyDescent="0.15">
      <c r="A119" s="1">
        <v>42570</v>
      </c>
      <c r="B119">
        <v>10.1</v>
      </c>
      <c r="C119" s="25">
        <f t="shared" si="27"/>
        <v>-1.1741682974559797E-2</v>
      </c>
      <c r="D119" s="26">
        <f t="shared" si="30"/>
        <v>10.713440796833185</v>
      </c>
      <c r="E119" s="26"/>
      <c r="F119">
        <v>10.72</v>
      </c>
      <c r="G119" s="25">
        <f t="shared" si="31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3">+K119/J119-1</f>
        <v>-6.8192456815440172E-3</v>
      </c>
      <c r="M119">
        <f t="shared" si="32"/>
        <v>2</v>
      </c>
    </row>
    <row r="120" spans="1:13" ht="13.5" x14ac:dyDescent="0.15">
      <c r="A120" s="1">
        <v>42571</v>
      </c>
      <c r="B120">
        <v>10.08</v>
      </c>
      <c r="C120" s="25">
        <f t="shared" si="27"/>
        <v>-1.980198019801982E-3</v>
      </c>
      <c r="D120" s="26">
        <f t="shared" si="30"/>
        <v>10.67416754841202</v>
      </c>
      <c r="E120" s="26"/>
      <c r="F120">
        <v>10.675000000000001</v>
      </c>
      <c r="G120" s="25">
        <f t="shared" si="31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3"/>
        <v>-4.2754152600728013E-3</v>
      </c>
      <c r="M120">
        <f t="shared" si="32"/>
        <v>3</v>
      </c>
    </row>
    <row r="121" spans="1:13" ht="13.5" x14ac:dyDescent="0.15">
      <c r="A121" s="1">
        <v>42572</v>
      </c>
      <c r="B121">
        <v>10.16</v>
      </c>
      <c r="C121" s="25">
        <f t="shared" si="27"/>
        <v>7.9365079365079083E-3</v>
      </c>
      <c r="D121" s="26">
        <f t="shared" si="30"/>
        <v>10.7382566417488</v>
      </c>
      <c r="E121" s="26"/>
      <c r="F121">
        <v>10.75</v>
      </c>
      <c r="G121" s="25">
        <f t="shared" si="31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3"/>
        <v>5.9256807258827315E-3</v>
      </c>
      <c r="M121">
        <f t="shared" si="32"/>
        <v>4</v>
      </c>
    </row>
    <row r="122" spans="1:13" ht="13.5" x14ac:dyDescent="0.15">
      <c r="A122" s="1">
        <v>42573</v>
      </c>
      <c r="B122">
        <v>10.08</v>
      </c>
      <c r="C122" s="25">
        <f t="shared" si="27"/>
        <v>-7.8740157480314821E-3</v>
      </c>
      <c r="D122" s="26">
        <f t="shared" si="30"/>
        <v>10.646691378363537</v>
      </c>
      <c r="E122" s="26"/>
      <c r="F122">
        <v>10.679</v>
      </c>
      <c r="G122" s="25">
        <f t="shared" si="31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3"/>
        <v>-9.6101043382756934E-3</v>
      </c>
      <c r="M122">
        <f t="shared" si="32"/>
        <v>5</v>
      </c>
    </row>
    <row r="123" spans="1:13" ht="13.5" x14ac:dyDescent="0.15">
      <c r="A123" s="1">
        <v>42576</v>
      </c>
      <c r="B123">
        <v>10.039999999999999</v>
      </c>
      <c r="C123" s="25">
        <f t="shared" si="27"/>
        <v>-3.9682539682540652E-3</v>
      </c>
      <c r="D123" s="26">
        <f t="shared" si="30"/>
        <v>10.675327460176037</v>
      </c>
      <c r="E123" s="26"/>
      <c r="F123">
        <v>10.648999999999999</v>
      </c>
      <c r="G123" s="25">
        <f t="shared" si="31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3"/>
        <v>-3.4390297068676023E-4</v>
      </c>
      <c r="M123">
        <f t="shared" si="32"/>
        <v>1</v>
      </c>
    </row>
    <row r="124" spans="1:13" ht="13.5" x14ac:dyDescent="0.15">
      <c r="A124" s="1">
        <v>42577</v>
      </c>
      <c r="B124">
        <v>10.18</v>
      </c>
      <c r="C124" s="25">
        <f t="shared" si="27"/>
        <v>1.3944223107569709E-2</v>
      </c>
      <c r="D124" s="26">
        <f t="shared" si="30"/>
        <v>10.756221682020598</v>
      </c>
      <c r="E124" s="26"/>
      <c r="F124">
        <v>10.768000000000001</v>
      </c>
      <c r="G124" s="25">
        <f t="shared" ref="G124:G142" si="34">+B124/D124-1</f>
        <v>-5.3571012113275196E-2</v>
      </c>
      <c r="H124" s="25"/>
      <c r="I124" s="25">
        <f t="shared" ref="I124:I144" si="35">+B124/F124-1</f>
        <v>-5.4606240713224508E-2</v>
      </c>
      <c r="J124">
        <v>9447.09</v>
      </c>
      <c r="K124">
        <v>9542.2099999999991</v>
      </c>
      <c r="L124" s="25">
        <f t="shared" si="33"/>
        <v>1.006870898869372E-2</v>
      </c>
      <c r="M124">
        <f t="shared" si="32"/>
        <v>2</v>
      </c>
    </row>
    <row r="125" spans="1:13" ht="13.5" x14ac:dyDescent="0.15">
      <c r="A125" s="1">
        <v>42578</v>
      </c>
      <c r="B125">
        <v>10.1</v>
      </c>
      <c r="C125" s="25">
        <f t="shared" si="27"/>
        <v>-7.8585461689587577E-3</v>
      </c>
      <c r="D125" s="26">
        <f t="shared" si="30"/>
        <v>10.738795461428747</v>
      </c>
      <c r="E125" s="26"/>
      <c r="F125">
        <v>10.757</v>
      </c>
      <c r="G125" s="25">
        <f t="shared" si="34"/>
        <v>-5.9484833631774814E-2</v>
      </c>
      <c r="H125" s="25"/>
      <c r="I125" s="25">
        <f t="shared" si="35"/>
        <v>-6.1076508320163647E-2</v>
      </c>
      <c r="J125">
        <v>9542.2099999999991</v>
      </c>
      <c r="K125">
        <v>9516.33</v>
      </c>
      <c r="L125" s="25">
        <f t="shared" si="33"/>
        <v>-2.7121599713273437E-3</v>
      </c>
      <c r="M125">
        <f t="shared" ref="M125:M133" si="36">WEEKDAY(A125,2)</f>
        <v>3</v>
      </c>
    </row>
    <row r="126" spans="1:13" ht="13.5" x14ac:dyDescent="0.15">
      <c r="A126" s="1">
        <v>42579</v>
      </c>
      <c r="B126">
        <v>10.16</v>
      </c>
      <c r="C126" s="25">
        <f t="shared" si="27"/>
        <v>5.9405940594059459E-3</v>
      </c>
      <c r="D126" s="26">
        <f t="shared" si="30"/>
        <v>10.70525153604383</v>
      </c>
      <c r="E126" s="26"/>
      <c r="F126">
        <v>10.715</v>
      </c>
      <c r="G126" s="25">
        <f t="shared" si="34"/>
        <v>-5.0933089634373041E-2</v>
      </c>
      <c r="H126" s="25"/>
      <c r="I126" s="25">
        <f t="shared" si="35"/>
        <v>-5.1796546896873519E-2</v>
      </c>
      <c r="J126">
        <v>9516.33</v>
      </c>
      <c r="K126">
        <v>9470.5499999999993</v>
      </c>
      <c r="L126" s="25">
        <f t="shared" si="33"/>
        <v>-4.8106780660192028E-3</v>
      </c>
      <c r="M126">
        <f t="shared" si="36"/>
        <v>4</v>
      </c>
    </row>
    <row r="127" spans="1:13" ht="13.5" x14ac:dyDescent="0.15">
      <c r="A127" s="1">
        <v>42580</v>
      </c>
      <c r="B127">
        <v>10.08</v>
      </c>
      <c r="C127" s="25">
        <f t="shared" si="27"/>
        <v>-7.8740157480314821E-3</v>
      </c>
      <c r="D127" s="26">
        <f t="shared" si="30"/>
        <v>10.699703443833782</v>
      </c>
      <c r="E127" s="26"/>
      <c r="F127">
        <v>10.712</v>
      </c>
      <c r="G127" s="25">
        <f t="shared" si="34"/>
        <v>-5.7917814927002986E-2</v>
      </c>
      <c r="H127" s="25"/>
      <c r="I127" s="25">
        <f t="shared" si="35"/>
        <v>-5.8999253174010446E-2</v>
      </c>
      <c r="J127">
        <v>9470.5499999999993</v>
      </c>
      <c r="K127">
        <v>9457.0300000000007</v>
      </c>
      <c r="L127" s="25">
        <f t="shared" si="33"/>
        <v>-1.4275834032868584E-3</v>
      </c>
      <c r="M127">
        <f t="shared" si="36"/>
        <v>5</v>
      </c>
    </row>
    <row r="128" spans="1:13" ht="13.5" x14ac:dyDescent="0.15">
      <c r="A128" s="1">
        <v>42583</v>
      </c>
      <c r="B128">
        <v>10.1</v>
      </c>
      <c r="C128" s="25">
        <f t="shared" si="27"/>
        <v>1.9841269841269771E-3</v>
      </c>
      <c r="D128" s="26">
        <f t="shared" si="30"/>
        <v>10.689844342251211</v>
      </c>
      <c r="E128" s="26"/>
      <c r="F128">
        <v>10.73</v>
      </c>
      <c r="G128" s="25">
        <f t="shared" si="34"/>
        <v>-5.5178010396266797E-2</v>
      </c>
      <c r="H128" s="25"/>
      <c r="I128" s="25">
        <f t="shared" si="35"/>
        <v>-5.8713886300093221E-2</v>
      </c>
      <c r="J128">
        <v>9457.0300000000007</v>
      </c>
      <c r="K128">
        <v>9437.4699999999993</v>
      </c>
      <c r="L128" s="25">
        <f t="shared" si="33"/>
        <v>-2.0683026277807937E-3</v>
      </c>
      <c r="M128">
        <f>WEEKDAY(A128,2)</f>
        <v>1</v>
      </c>
    </row>
    <row r="129" spans="1:13" ht="13.5" x14ac:dyDescent="0.15">
      <c r="A129" s="1">
        <v>42584</v>
      </c>
      <c r="B129">
        <v>10.1</v>
      </c>
      <c r="C129" s="25">
        <f t="shared" ref="C129:C158" si="37">B129/B128-1</f>
        <v>0</v>
      </c>
      <c r="D129" s="26">
        <f t="shared" ref="D129:D142" si="38">+F128*(1+L129)</f>
        <v>10.728794825308055</v>
      </c>
      <c r="E129" s="26"/>
      <c r="F129">
        <v>10.73</v>
      </c>
      <c r="G129" s="25">
        <f t="shared" si="34"/>
        <v>-5.8608150826483962E-2</v>
      </c>
      <c r="H129" s="25"/>
      <c r="I129" s="25">
        <f t="shared" si="35"/>
        <v>-5.8713886300093221E-2</v>
      </c>
      <c r="J129">
        <v>9437.4699999999993</v>
      </c>
      <c r="K129">
        <v>9436.41</v>
      </c>
      <c r="L129" s="25">
        <f t="shared" ref="L129:L142" si="39">+K129/J129-1</f>
        <v>-1.1231823783275363E-4</v>
      </c>
      <c r="M129">
        <f>WEEKDAY(A129,2)</f>
        <v>2</v>
      </c>
    </row>
    <row r="130" spans="1:13" ht="13.5" x14ac:dyDescent="0.15">
      <c r="A130" s="1">
        <v>42585</v>
      </c>
      <c r="B130">
        <v>10.08</v>
      </c>
      <c r="C130" s="25">
        <f t="shared" si="37"/>
        <v>-1.980198019801982E-3</v>
      </c>
      <c r="D130" s="26">
        <f t="shared" si="38"/>
        <v>10.716855297724454</v>
      </c>
      <c r="E130" s="26"/>
      <c r="F130">
        <v>10.728</v>
      </c>
      <c r="G130" s="25">
        <f t="shared" si="34"/>
        <v>-5.9425575883223836E-2</v>
      </c>
      <c r="H130" s="25"/>
      <c r="I130" s="25">
        <f t="shared" si="35"/>
        <v>-6.0402684563758413E-2</v>
      </c>
      <c r="J130">
        <v>9436.41</v>
      </c>
      <c r="K130">
        <v>9424.85</v>
      </c>
      <c r="L130" s="25">
        <f t="shared" si="39"/>
        <v>-1.2250421505635156E-3</v>
      </c>
      <c r="M130">
        <f>WEEKDAY(A130,2)</f>
        <v>3</v>
      </c>
    </row>
    <row r="131" spans="1:13" ht="13.5" x14ac:dyDescent="0.15">
      <c r="A131" s="1">
        <v>42586</v>
      </c>
      <c r="B131">
        <v>10.08</v>
      </c>
      <c r="C131" s="25">
        <f t="shared" si="37"/>
        <v>0</v>
      </c>
      <c r="D131" s="26">
        <f t="shared" si="38"/>
        <v>10.709537301919923</v>
      </c>
      <c r="E131" s="26"/>
      <c r="F131">
        <v>10.667</v>
      </c>
      <c r="G131" s="25">
        <f t="shared" si="34"/>
        <v>-5.878286653962761E-2</v>
      </c>
      <c r="H131" s="25"/>
      <c r="I131" s="25">
        <f t="shared" si="35"/>
        <v>-5.5029530327177278E-2</v>
      </c>
      <c r="J131">
        <v>9424.85</v>
      </c>
      <c r="K131">
        <v>9408.6299999999992</v>
      </c>
      <c r="L131" s="25">
        <f t="shared" si="39"/>
        <v>-1.7209822968006216E-3</v>
      </c>
      <c r="M131">
        <f>WEEKDAY(A131,2)</f>
        <v>4</v>
      </c>
    </row>
    <row r="132" spans="1:13" ht="13.5" x14ac:dyDescent="0.15">
      <c r="A132" s="1">
        <v>42587</v>
      </c>
      <c r="B132">
        <v>10.119999999999999</v>
      </c>
      <c r="C132" s="25">
        <f t="shared" si="37"/>
        <v>3.9682539682539542E-3</v>
      </c>
      <c r="D132" s="26">
        <f t="shared" si="38"/>
        <v>10.696409380536805</v>
      </c>
      <c r="E132" s="26"/>
      <c r="F132">
        <v>10.707000000000001</v>
      </c>
      <c r="G132" s="25">
        <f t="shared" si="34"/>
        <v>-5.3888118903306026E-2</v>
      </c>
      <c r="H132" s="25"/>
      <c r="I132" s="25">
        <f t="shared" si="35"/>
        <v>-5.4823946950593228E-2</v>
      </c>
      <c r="J132">
        <v>9408.6299999999992</v>
      </c>
      <c r="K132">
        <v>9434.57</v>
      </c>
      <c r="L132" s="25">
        <f t="shared" si="39"/>
        <v>2.7570432677233025E-3</v>
      </c>
      <c r="M132">
        <f t="shared" si="36"/>
        <v>5</v>
      </c>
    </row>
    <row r="133" spans="1:13" ht="13.5" x14ac:dyDescent="0.15">
      <c r="A133" s="1">
        <v>42590</v>
      </c>
      <c r="B133">
        <v>10.18</v>
      </c>
      <c r="C133" s="25">
        <f t="shared" si="37"/>
        <v>5.9288537549406772E-3</v>
      </c>
      <c r="D133" s="26">
        <f t="shared" si="38"/>
        <v>10.751940808113142</v>
      </c>
      <c r="E133" s="26"/>
      <c r="F133">
        <v>10.715999999999999</v>
      </c>
      <c r="G133" s="25">
        <f t="shared" si="34"/>
        <v>-5.3194192408645868E-2</v>
      </c>
      <c r="H133" s="25"/>
      <c r="I133" s="25">
        <f t="shared" si="35"/>
        <v>-5.0018663680477804E-2</v>
      </c>
      <c r="J133">
        <f>K133-39.6</f>
        <v>9434.57</v>
      </c>
      <c r="K133">
        <v>9474.17</v>
      </c>
      <c r="L133" s="25">
        <f t="shared" si="39"/>
        <v>4.1973296080266564E-3</v>
      </c>
      <c r="M133">
        <f t="shared" si="36"/>
        <v>1</v>
      </c>
    </row>
    <row r="134" spans="1:13" ht="13.5" x14ac:dyDescent="0.15">
      <c r="A134" s="1">
        <v>42591</v>
      </c>
      <c r="B134">
        <v>10.24</v>
      </c>
      <c r="C134" s="25">
        <f t="shared" si="37"/>
        <v>5.893909626719207E-3</v>
      </c>
      <c r="D134" s="26">
        <f t="shared" si="38"/>
        <v>10.789870530083373</v>
      </c>
      <c r="E134" s="26"/>
      <c r="F134">
        <v>10.794</v>
      </c>
      <c r="G134" s="25">
        <f t="shared" si="34"/>
        <v>-5.0961735689994847E-2</v>
      </c>
      <c r="H134" s="25"/>
      <c r="I134" s="25">
        <f t="shared" si="35"/>
        <v>-5.1324810079673933E-2</v>
      </c>
      <c r="J134">
        <v>9474.17</v>
      </c>
      <c r="K134">
        <v>9539.48</v>
      </c>
      <c r="L134" s="25">
        <f t="shared" si="39"/>
        <v>6.8934798510054129E-3</v>
      </c>
      <c r="M134">
        <f t="shared" ref="M134:M142" si="40">WEEKDAY(A134,2)</f>
        <v>2</v>
      </c>
    </row>
    <row r="135" spans="1:13" ht="13.5" x14ac:dyDescent="0.15">
      <c r="A135" s="1">
        <v>42592</v>
      </c>
      <c r="B135">
        <v>10.220000000000001</v>
      </c>
      <c r="C135" s="25">
        <f t="shared" si="37"/>
        <v>-1.953125E-3</v>
      </c>
      <c r="D135" s="26">
        <f t="shared" si="38"/>
        <v>10.772094000930871</v>
      </c>
      <c r="E135" s="26"/>
      <c r="F135">
        <v>10.781000000000001</v>
      </c>
      <c r="G135" s="25">
        <f t="shared" si="34"/>
        <v>-5.1252245002982755E-2</v>
      </c>
      <c r="H135" s="25"/>
      <c r="I135" s="25">
        <f t="shared" si="35"/>
        <v>-5.2035989240330149E-2</v>
      </c>
      <c r="J135">
        <v>9539.48</v>
      </c>
      <c r="K135">
        <v>9520.1200000000008</v>
      </c>
      <c r="L135" s="25">
        <f t="shared" si="39"/>
        <v>-2.0294607253223962E-3</v>
      </c>
      <c r="M135">
        <f t="shared" si="40"/>
        <v>3</v>
      </c>
    </row>
    <row r="136" spans="1:13" ht="13.5" x14ac:dyDescent="0.15">
      <c r="A136" s="1">
        <v>42593</v>
      </c>
      <c r="B136">
        <v>10.28</v>
      </c>
      <c r="C136" s="25">
        <f t="shared" si="37"/>
        <v>5.8708414872796766E-3</v>
      </c>
      <c r="D136" s="26">
        <f t="shared" si="38"/>
        <v>10.838698006957896</v>
      </c>
      <c r="E136" s="26"/>
      <c r="F136">
        <v>10.891</v>
      </c>
      <c r="G136" s="25">
        <f t="shared" si="34"/>
        <v>-5.1546597810847916E-2</v>
      </c>
      <c r="H136" s="25"/>
      <c r="I136" s="25">
        <f t="shared" si="35"/>
        <v>-5.6101368102102755E-2</v>
      </c>
      <c r="J136">
        <v>9520.1200000000008</v>
      </c>
      <c r="K136">
        <v>9571.07</v>
      </c>
      <c r="L136" s="25">
        <f t="shared" si="39"/>
        <v>5.3518232963449819E-3</v>
      </c>
      <c r="M136">
        <f t="shared" si="40"/>
        <v>4</v>
      </c>
    </row>
    <row r="137" spans="1:13" ht="13.5" x14ac:dyDescent="0.15">
      <c r="A137" s="1">
        <v>42594</v>
      </c>
      <c r="B137">
        <v>10.54</v>
      </c>
      <c r="C137" s="25">
        <f t="shared" si="37"/>
        <v>2.5291828793774229E-2</v>
      </c>
      <c r="D137" s="26">
        <f t="shared" si="38"/>
        <v>11.110502511213479</v>
      </c>
      <c r="E137" s="26"/>
      <c r="F137">
        <v>11.180999999999999</v>
      </c>
      <c r="G137" s="25">
        <f t="shared" si="34"/>
        <v>-5.1348038546203401E-2</v>
      </c>
      <c r="H137" s="25"/>
      <c r="I137" s="25">
        <f t="shared" si="35"/>
        <v>-5.7329398086038874E-2</v>
      </c>
      <c r="J137">
        <v>9571.07</v>
      </c>
      <c r="K137">
        <v>9763.9699999999993</v>
      </c>
      <c r="L137" s="25">
        <f t="shared" si="39"/>
        <v>2.01544863844898E-2</v>
      </c>
      <c r="M137">
        <f t="shared" si="40"/>
        <v>5</v>
      </c>
    </row>
    <row r="138" spans="1:13" ht="13.5" x14ac:dyDescent="0.15">
      <c r="A138" s="1">
        <v>42597</v>
      </c>
      <c r="B138">
        <v>10.9</v>
      </c>
      <c r="C138" s="25">
        <f t="shared" si="37"/>
        <v>3.4155597722960174E-2</v>
      </c>
      <c r="D138" s="26">
        <f t="shared" si="38"/>
        <v>11.483302464059189</v>
      </c>
      <c r="E138" s="26"/>
      <c r="F138">
        <v>11.496</v>
      </c>
      <c r="G138" s="25">
        <f t="shared" si="34"/>
        <v>-5.0795706712840505E-2</v>
      </c>
      <c r="H138" s="25"/>
      <c r="I138" s="25">
        <f t="shared" si="35"/>
        <v>-5.1844119693806534E-2</v>
      </c>
      <c r="J138">
        <v>9763.9699999999993</v>
      </c>
      <c r="K138">
        <v>10027.959999999999</v>
      </c>
      <c r="L138" s="25">
        <f t="shared" si="39"/>
        <v>2.7037158041247622E-2</v>
      </c>
      <c r="M138">
        <f t="shared" si="40"/>
        <v>1</v>
      </c>
    </row>
    <row r="139" spans="1:13" ht="13.5" x14ac:dyDescent="0.15">
      <c r="A139" s="1">
        <v>42598</v>
      </c>
      <c r="B139">
        <v>10.8</v>
      </c>
      <c r="C139" s="25">
        <f t="shared" si="37"/>
        <v>-9.1743119266054496E-3</v>
      </c>
      <c r="D139" s="26">
        <f t="shared" si="38"/>
        <v>11.341110614721241</v>
      </c>
      <c r="E139" s="26"/>
      <c r="F139">
        <v>11.363</v>
      </c>
      <c r="G139" s="25">
        <f t="shared" si="34"/>
        <v>-4.7712312585934558E-2</v>
      </c>
      <c r="H139" s="25"/>
      <c r="I139" s="25">
        <f t="shared" si="35"/>
        <v>-4.954677461937862E-2</v>
      </c>
      <c r="J139">
        <v>10027.959999999999</v>
      </c>
      <c r="K139">
        <v>9892.85</v>
      </c>
      <c r="L139" s="25">
        <f t="shared" si="39"/>
        <v>-1.3473328573308851E-2</v>
      </c>
      <c r="M139">
        <f t="shared" si="40"/>
        <v>2</v>
      </c>
    </row>
    <row r="140" spans="1:13" ht="13.5" x14ac:dyDescent="0.15">
      <c r="A140" s="1">
        <v>42599</v>
      </c>
      <c r="B140">
        <v>10.76</v>
      </c>
      <c r="C140" s="25">
        <f t="shared" si="37"/>
        <v>-3.7037037037037646E-3</v>
      </c>
      <c r="D140" s="26">
        <f t="shared" si="38"/>
        <v>11.361070339689775</v>
      </c>
      <c r="E140" s="26"/>
      <c r="F140">
        <v>11.398999999999999</v>
      </c>
      <c r="G140" s="25">
        <f t="shared" si="34"/>
        <v>-5.2906136633090184E-2</v>
      </c>
      <c r="H140" s="25"/>
      <c r="I140" s="25">
        <f t="shared" si="35"/>
        <v>-5.6057548907798904E-2</v>
      </c>
      <c r="J140">
        <v>9892.85</v>
      </c>
      <c r="K140">
        <v>9891.17</v>
      </c>
      <c r="L140" s="25">
        <f t="shared" si="39"/>
        <v>-1.6981961719830796E-4</v>
      </c>
      <c r="M140">
        <f t="shared" si="40"/>
        <v>3</v>
      </c>
    </row>
    <row r="141" spans="1:13" ht="13.5" x14ac:dyDescent="0.15">
      <c r="A141" s="1">
        <v>42600</v>
      </c>
      <c r="B141">
        <v>10.74</v>
      </c>
      <c r="C141" s="25">
        <f t="shared" si="37"/>
        <v>-1.8587360594795044E-3</v>
      </c>
      <c r="D141" s="26">
        <f t="shared" si="38"/>
        <v>11.34258796279914</v>
      </c>
      <c r="E141" s="26"/>
      <c r="F141">
        <v>11.305</v>
      </c>
      <c r="G141" s="25">
        <f t="shared" si="34"/>
        <v>-5.3126144119444163E-2</v>
      </c>
      <c r="H141" s="25"/>
      <c r="I141" s="25">
        <f t="shared" si="35"/>
        <v>-4.9977885891198559E-2</v>
      </c>
      <c r="J141">
        <v>9891.17</v>
      </c>
      <c r="K141">
        <v>9842.2199999999993</v>
      </c>
      <c r="L141" s="25">
        <f t="shared" si="39"/>
        <v>-4.9488584262530333E-3</v>
      </c>
      <c r="M141">
        <f t="shared" si="40"/>
        <v>4</v>
      </c>
    </row>
    <row r="142" spans="1:13" ht="13.5" x14ac:dyDescent="0.15">
      <c r="A142" s="1">
        <v>42601</v>
      </c>
      <c r="B142">
        <v>10.7</v>
      </c>
      <c r="C142" s="25">
        <f t="shared" si="37"/>
        <v>-3.7243947858474069E-3</v>
      </c>
      <c r="D142" s="26">
        <f t="shared" si="38"/>
        <v>11.329867687371346</v>
      </c>
      <c r="E142" s="26"/>
      <c r="F142">
        <v>11.35</v>
      </c>
      <c r="G142" s="25">
        <f t="shared" si="34"/>
        <v>-5.5593560732701053E-2</v>
      </c>
      <c r="H142" s="25"/>
      <c r="I142" s="25">
        <f t="shared" si="35"/>
        <v>-5.7268722466960353E-2</v>
      </c>
      <c r="J142">
        <v>9842.2199999999993</v>
      </c>
      <c r="K142">
        <v>9863.8700000000008</v>
      </c>
      <c r="L142" s="25">
        <f t="shared" si="39"/>
        <v>2.1997069766781507E-3</v>
      </c>
      <c r="M142">
        <f t="shared" si="40"/>
        <v>5</v>
      </c>
    </row>
    <row r="143" spans="1:13" ht="13.5" x14ac:dyDescent="0.15">
      <c r="A143" s="1">
        <v>42604</v>
      </c>
      <c r="B143">
        <v>10.6</v>
      </c>
      <c r="C143" s="25">
        <f t="shared" si="37"/>
        <v>-9.3457943925233655E-3</v>
      </c>
      <c r="D143" s="26">
        <f t="shared" ref="D143:D158" si="41">+F142*(1+L143)</f>
        <v>11.293157198949295</v>
      </c>
      <c r="E143" s="26"/>
      <c r="F143">
        <v>11.215999999999999</v>
      </c>
      <c r="G143" s="25">
        <f t="shared" ref="G143:G154" si="42">+B143/D143-1</f>
        <v>-6.1378513265872736E-2</v>
      </c>
      <c r="H143" s="25"/>
      <c r="I143" s="25">
        <f t="shared" si="35"/>
        <v>-5.4921540656205359E-2</v>
      </c>
      <c r="J143">
        <v>9863.8700000000008</v>
      </c>
      <c r="K143">
        <v>9814.4699999999993</v>
      </c>
      <c r="L143" s="25">
        <f t="shared" ref="L143:L185" si="43">+K143/J143-1</f>
        <v>-5.0081763040268346E-3</v>
      </c>
      <c r="M143">
        <f t="shared" ref="M143:M167" si="44">WEEKDAY(A143,2)</f>
        <v>1</v>
      </c>
    </row>
    <row r="144" spans="1:13" ht="13.5" x14ac:dyDescent="0.15">
      <c r="A144" s="1">
        <v>42605</v>
      </c>
      <c r="B144">
        <v>10.72</v>
      </c>
      <c r="C144" s="25">
        <f t="shared" si="37"/>
        <v>1.132075471698113E-2</v>
      </c>
      <c r="D144" s="26">
        <f t="shared" si="41"/>
        <v>11.250044083888382</v>
      </c>
      <c r="E144" s="26"/>
      <c r="F144">
        <v>11.260999999999999</v>
      </c>
      <c r="G144" s="25">
        <f t="shared" si="42"/>
        <v>-4.7114845056249854E-2</v>
      </c>
      <c r="H144" s="25"/>
      <c r="I144" s="25">
        <f t="shared" si="35"/>
        <v>-4.804191457241791E-2</v>
      </c>
      <c r="J144">
        <v>9814.4699999999993</v>
      </c>
      <c r="K144">
        <v>9844.26</v>
      </c>
      <c r="L144" s="25">
        <f t="shared" si="43"/>
        <v>3.035314184056892E-3</v>
      </c>
      <c r="M144">
        <f t="shared" si="44"/>
        <v>2</v>
      </c>
    </row>
    <row r="145" spans="1:13" ht="13.5" x14ac:dyDescent="0.15">
      <c r="A145" s="1">
        <v>42606</v>
      </c>
      <c r="B145">
        <v>10.64</v>
      </c>
      <c r="C145" s="25">
        <f t="shared" si="37"/>
        <v>-7.4626865671642006E-3</v>
      </c>
      <c r="D145" s="26">
        <f t="shared" si="41"/>
        <v>11.208162550562459</v>
      </c>
      <c r="E145" s="26"/>
      <c r="F145">
        <v>11.260999999999999</v>
      </c>
      <c r="G145" s="25">
        <f t="shared" si="42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3"/>
        <v>-4.692074366178911E-3</v>
      </c>
      <c r="M145">
        <f t="shared" si="44"/>
        <v>3</v>
      </c>
    </row>
    <row r="146" spans="1:13" ht="13.5" x14ac:dyDescent="0.15">
      <c r="A146" s="1">
        <v>42607</v>
      </c>
      <c r="B146">
        <v>10.62</v>
      </c>
      <c r="C146" s="25">
        <f t="shared" si="37"/>
        <v>-1.8796992481204811E-3</v>
      </c>
      <c r="D146" s="26">
        <f t="shared" si="41"/>
        <v>11.218889355760879</v>
      </c>
      <c r="E146" s="26"/>
      <c r="F146">
        <v>11.17</v>
      </c>
      <c r="G146" s="25">
        <f t="shared" si="42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3"/>
        <v>-3.7395119651114639E-3</v>
      </c>
      <c r="M146">
        <f t="shared" si="44"/>
        <v>4</v>
      </c>
    </row>
    <row r="147" spans="1:13" ht="13.5" x14ac:dyDescent="0.15">
      <c r="A147" s="1">
        <v>42608</v>
      </c>
      <c r="B147">
        <v>10.58</v>
      </c>
      <c r="C147" s="25">
        <f t="shared" si="37"/>
        <v>-3.7664783427494575E-3</v>
      </c>
      <c r="D147" s="26">
        <f t="shared" si="41"/>
        <v>11.149425494010611</v>
      </c>
      <c r="E147" s="26"/>
      <c r="F147">
        <v>11.169</v>
      </c>
      <c r="G147" s="25">
        <f t="shared" si="42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3"/>
        <v>-1.8419432398736335E-3</v>
      </c>
      <c r="M147">
        <f t="shared" si="44"/>
        <v>5</v>
      </c>
    </row>
    <row r="148" spans="1:13" ht="13.5" x14ac:dyDescent="0.15">
      <c r="A148" s="1">
        <v>42611</v>
      </c>
      <c r="B148">
        <v>10.52</v>
      </c>
      <c r="C148" s="25">
        <f t="shared" si="37"/>
        <v>-5.6710775047259521E-3</v>
      </c>
      <c r="D148" s="26">
        <f t="shared" si="41"/>
        <v>11.153249720581517</v>
      </c>
      <c r="E148" s="26"/>
      <c r="F148">
        <v>11.090999999999999</v>
      </c>
      <c r="G148" s="25">
        <f t="shared" si="42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3"/>
        <v>-1.4101781196600438E-3</v>
      </c>
      <c r="M148">
        <f t="shared" si="44"/>
        <v>1</v>
      </c>
    </row>
    <row r="149" spans="1:13" ht="13.5" x14ac:dyDescent="0.15">
      <c r="A149" s="1">
        <v>42612</v>
      </c>
      <c r="B149">
        <v>10.56</v>
      </c>
      <c r="C149" s="25">
        <f t="shared" si="37"/>
        <v>3.8022813688214363E-3</v>
      </c>
      <c r="D149" s="26">
        <f t="shared" si="41"/>
        <v>11.138693861379219</v>
      </c>
      <c r="E149" s="26"/>
      <c r="F149">
        <v>11.145</v>
      </c>
      <c r="G149" s="25">
        <f t="shared" si="42"/>
        <v>-5.1953475746891797E-2</v>
      </c>
      <c r="H149" s="25"/>
      <c r="I149" s="25">
        <f t="shared" ref="I149:I154" si="45">+B149/F149-1</f>
        <v>-5.2489905787348468E-2</v>
      </c>
      <c r="J149">
        <v>9729.7099999999991</v>
      </c>
      <c r="K149">
        <v>9771.5499999999993</v>
      </c>
      <c r="L149" s="25">
        <f t="shared" si="43"/>
        <v>4.3002309421349416E-3</v>
      </c>
      <c r="M149">
        <f t="shared" si="44"/>
        <v>2</v>
      </c>
    </row>
    <row r="150" spans="1:13" ht="13.5" x14ac:dyDescent="0.15">
      <c r="A150" s="1">
        <v>42613</v>
      </c>
      <c r="B150">
        <v>10.56</v>
      </c>
      <c r="C150" s="25">
        <f t="shared" si="37"/>
        <v>0</v>
      </c>
      <c r="D150" s="26">
        <f t="shared" si="41"/>
        <v>11.190097584313646</v>
      </c>
      <c r="E150" s="26"/>
      <c r="F150">
        <v>11.175000000000001</v>
      </c>
      <c r="G150" s="25">
        <f t="shared" si="42"/>
        <v>-5.6308497720066408E-2</v>
      </c>
      <c r="H150" s="25"/>
      <c r="I150" s="25">
        <f t="shared" si="45"/>
        <v>-5.5033557046979875E-2</v>
      </c>
      <c r="J150">
        <v>9771.5499999999993</v>
      </c>
      <c r="K150">
        <v>9811.09</v>
      </c>
      <c r="L150" s="25">
        <f t="shared" si="43"/>
        <v>4.0464409433509374E-3</v>
      </c>
      <c r="M150">
        <f t="shared" si="44"/>
        <v>3</v>
      </c>
    </row>
    <row r="151" spans="1:13" ht="13.5" x14ac:dyDescent="0.15">
      <c r="A151" s="1">
        <v>42614</v>
      </c>
      <c r="B151">
        <v>10.54</v>
      </c>
      <c r="C151" s="25">
        <f t="shared" si="37"/>
        <v>-1.8939393939395588E-3</v>
      </c>
      <c r="D151" s="26">
        <f t="shared" si="41"/>
        <v>11.12549831364303</v>
      </c>
      <c r="E151" s="26"/>
      <c r="F151">
        <v>11.145</v>
      </c>
      <c r="G151" s="25">
        <f t="shared" si="42"/>
        <v>-5.2626704632640409E-2</v>
      </c>
      <c r="H151" s="25"/>
      <c r="I151" s="25">
        <f t="shared" si="45"/>
        <v>-5.4284432480933176E-2</v>
      </c>
      <c r="J151">
        <v>9811.09</v>
      </c>
      <c r="K151">
        <v>9767.6299999999992</v>
      </c>
      <c r="L151" s="25">
        <f t="shared" si="43"/>
        <v>-4.4296811057691343E-3</v>
      </c>
      <c r="M151">
        <f t="shared" si="44"/>
        <v>4</v>
      </c>
    </row>
    <row r="152" spans="1:13" ht="13.5" x14ac:dyDescent="0.15">
      <c r="A152" s="1">
        <v>42615</v>
      </c>
      <c r="B152">
        <v>10.6</v>
      </c>
      <c r="C152" s="25">
        <f t="shared" si="37"/>
        <v>5.6925996204935103E-3</v>
      </c>
      <c r="D152" s="26">
        <f t="shared" si="41"/>
        <v>11.187160457552139</v>
      </c>
      <c r="E152" s="26"/>
      <c r="F152">
        <v>11.196</v>
      </c>
      <c r="G152" s="25">
        <f t="shared" si="42"/>
        <v>-5.2485209252162268E-2</v>
      </c>
      <c r="H152" s="25"/>
      <c r="I152" s="25">
        <f t="shared" si="45"/>
        <v>-5.3233297606287922E-2</v>
      </c>
      <c r="J152">
        <v>9767.6299999999992</v>
      </c>
      <c r="K152">
        <v>9804.58</v>
      </c>
      <c r="L152" s="25">
        <f t="shared" si="43"/>
        <v>3.7829033245526666E-3</v>
      </c>
      <c r="M152">
        <f t="shared" si="44"/>
        <v>5</v>
      </c>
    </row>
    <row r="153" spans="1:13" ht="13.5" x14ac:dyDescent="0.15">
      <c r="A153" s="1">
        <v>42618</v>
      </c>
      <c r="B153">
        <v>10.68</v>
      </c>
      <c r="C153" s="25">
        <f t="shared" si="37"/>
        <v>7.547169811320753E-3</v>
      </c>
      <c r="D153" s="26">
        <f t="shared" si="41"/>
        <v>11.214636057842355</v>
      </c>
      <c r="E153" s="26"/>
      <c r="F153">
        <v>11.191000000000001</v>
      </c>
      <c r="G153" s="25">
        <f t="shared" si="42"/>
        <v>-4.7673063582699737E-2</v>
      </c>
      <c r="H153" s="25"/>
      <c r="I153" s="25">
        <f t="shared" si="45"/>
        <v>-4.5661692431418155E-2</v>
      </c>
      <c r="J153">
        <v>9804.58</v>
      </c>
      <c r="K153">
        <v>9820.9</v>
      </c>
      <c r="L153" s="25">
        <f t="shared" si="43"/>
        <v>1.6645282102853987E-3</v>
      </c>
      <c r="M153">
        <f t="shared" si="44"/>
        <v>1</v>
      </c>
    </row>
    <row r="154" spans="1:13" ht="13.5" x14ac:dyDescent="0.15">
      <c r="A154" s="1">
        <v>42619</v>
      </c>
      <c r="B154">
        <v>10.72</v>
      </c>
      <c r="C154" s="25">
        <f t="shared" si="37"/>
        <v>3.7453183520599342E-3</v>
      </c>
      <c r="D154" s="26">
        <f t="shared" si="41"/>
        <v>11.207408923825719</v>
      </c>
      <c r="E154" s="26"/>
      <c r="F154">
        <v>11.241</v>
      </c>
      <c r="G154" s="25">
        <f t="shared" si="42"/>
        <v>-4.3489884873348483E-2</v>
      </c>
      <c r="H154" s="25"/>
      <c r="I154" s="25">
        <f t="shared" si="45"/>
        <v>-4.6348189662841266E-2</v>
      </c>
      <c r="J154">
        <v>9820.9</v>
      </c>
      <c r="K154">
        <v>9835.2999999999993</v>
      </c>
      <c r="L154" s="25">
        <f t="shared" si="43"/>
        <v>1.4662607296682673E-3</v>
      </c>
      <c r="M154">
        <f t="shared" si="44"/>
        <v>2</v>
      </c>
    </row>
    <row r="155" spans="1:13" ht="13.5" x14ac:dyDescent="0.15">
      <c r="A155" s="1">
        <v>42620</v>
      </c>
      <c r="B155">
        <v>10.78</v>
      </c>
      <c r="C155" s="25">
        <f t="shared" si="37"/>
        <v>5.5970149253730117E-3</v>
      </c>
      <c r="D155" s="26">
        <f t="shared" si="41"/>
        <v>11.25334357874188</v>
      </c>
      <c r="E155" s="26"/>
      <c r="F155">
        <v>11.273999999999999</v>
      </c>
      <c r="G155" s="25">
        <f t="shared" ref="G155:G185" si="46">+B155/D155-1</f>
        <v>-4.2062483512549154E-2</v>
      </c>
      <c r="H155" s="25"/>
      <c r="I155" s="25">
        <f t="shared" ref="I155:I200" si="47">+B155/F155-1</f>
        <v>-4.3817633492992725E-2</v>
      </c>
      <c r="J155">
        <v>9835.2999999999993</v>
      </c>
      <c r="K155">
        <v>9846.1</v>
      </c>
      <c r="L155" s="25">
        <f t="shared" si="43"/>
        <v>1.0980854676523322E-3</v>
      </c>
      <c r="M155">
        <f t="shared" si="44"/>
        <v>3</v>
      </c>
    </row>
    <row r="156" spans="1:13" ht="13.5" x14ac:dyDescent="0.15">
      <c r="A156" s="1">
        <v>42621</v>
      </c>
      <c r="B156">
        <v>10.82</v>
      </c>
      <c r="C156" s="25">
        <f t="shared" si="37"/>
        <v>3.7105751391466324E-3</v>
      </c>
      <c r="D156" s="26">
        <f t="shared" si="41"/>
        <v>11.272328268045213</v>
      </c>
      <c r="E156" s="26"/>
      <c r="F156">
        <v>11.260999999999999</v>
      </c>
      <c r="G156" s="25">
        <f t="shared" si="46"/>
        <v>-4.0127315075402126E-2</v>
      </c>
      <c r="H156" s="25"/>
      <c r="I156" s="25">
        <f t="shared" si="47"/>
        <v>-3.9161708551638252E-2</v>
      </c>
      <c r="J156">
        <v>9846.1</v>
      </c>
      <c r="K156">
        <v>9844.64</v>
      </c>
      <c r="L156" s="25">
        <f t="shared" si="43"/>
        <v>-1.4828206091765939E-4</v>
      </c>
      <c r="M156">
        <f t="shared" si="44"/>
        <v>4</v>
      </c>
    </row>
    <row r="157" spans="1:13" ht="13.5" x14ac:dyDescent="0.15">
      <c r="A157" s="1">
        <v>42622</v>
      </c>
      <c r="B157">
        <v>10.76</v>
      </c>
      <c r="C157" s="25">
        <f t="shared" si="37"/>
        <v>-5.5452865064695711E-3</v>
      </c>
      <c r="D157" s="26">
        <f t="shared" si="41"/>
        <v>11.223366638089356</v>
      </c>
      <c r="E157" s="26"/>
      <c r="F157">
        <v>11.214</v>
      </c>
      <c r="G157" s="25">
        <f t="shared" si="46"/>
        <v>-4.1285886225689516E-2</v>
      </c>
      <c r="H157" s="25"/>
      <c r="I157" s="25">
        <f t="shared" si="47"/>
        <v>-4.0485107900838257E-2</v>
      </c>
      <c r="J157">
        <v>9844.64</v>
      </c>
      <c r="K157">
        <v>9811.74</v>
      </c>
      <c r="L157" s="25">
        <f t="shared" si="43"/>
        <v>-3.3419200702107243E-3</v>
      </c>
      <c r="M157">
        <f t="shared" si="44"/>
        <v>5</v>
      </c>
    </row>
    <row r="158" spans="1:13" ht="13.5" x14ac:dyDescent="0.15">
      <c r="A158" s="1">
        <v>42625</v>
      </c>
      <c r="B158">
        <v>10.44</v>
      </c>
      <c r="C158" s="25">
        <f t="shared" si="37"/>
        <v>-2.9739776951672847E-2</v>
      </c>
      <c r="D158" s="26">
        <f t="shared" si="41"/>
        <v>11.051557271187376</v>
      </c>
      <c r="E158" s="26"/>
      <c r="F158">
        <v>11.012</v>
      </c>
      <c r="G158" s="25">
        <f t="shared" si="46"/>
        <v>-5.5336750847029825E-2</v>
      </c>
      <c r="H158" s="25"/>
      <c r="I158" s="25">
        <f t="shared" si="47"/>
        <v>-5.1943334544133801E-2</v>
      </c>
      <c r="J158">
        <v>9811.74</v>
      </c>
      <c r="K158">
        <v>9669.61</v>
      </c>
      <c r="L158" s="25">
        <f t="shared" si="43"/>
        <v>-1.4485707937633818E-2</v>
      </c>
      <c r="M158">
        <f t="shared" si="44"/>
        <v>1</v>
      </c>
    </row>
    <row r="159" spans="1:13" ht="13.5" x14ac:dyDescent="0.15">
      <c r="A159" s="1">
        <v>42626</v>
      </c>
      <c r="B159">
        <v>10.46</v>
      </c>
      <c r="C159" s="25">
        <f t="shared" ref="C159:C177" si="48">B159/B158-1</f>
        <v>1.9157088122607746E-3</v>
      </c>
      <c r="D159" s="26">
        <f t="shared" ref="D159:D177" si="49">+F158*(1+L159)</f>
        <v>10.982937169130917</v>
      </c>
      <c r="E159" s="26"/>
      <c r="F159">
        <v>11.013</v>
      </c>
      <c r="G159" s="25">
        <f t="shared" si="46"/>
        <v>-4.7613599265659445E-2</v>
      </c>
      <c r="H159" s="25"/>
      <c r="I159" s="25">
        <f t="shared" si="47"/>
        <v>-5.0213384182329901E-2</v>
      </c>
      <c r="J159">
        <f>K159+25.52</f>
        <v>9669.61</v>
      </c>
      <c r="K159">
        <v>9644.09</v>
      </c>
      <c r="L159" s="25">
        <f t="shared" si="43"/>
        <v>-2.6391964101964982E-3</v>
      </c>
      <c r="M159">
        <f t="shared" si="44"/>
        <v>2</v>
      </c>
    </row>
    <row r="160" spans="1:13" ht="13.5" x14ac:dyDescent="0.15">
      <c r="A160" s="1">
        <v>42627</v>
      </c>
      <c r="B160">
        <v>10.38</v>
      </c>
      <c r="C160" s="25">
        <f t="shared" si="48"/>
        <v>-7.6481835564053968E-3</v>
      </c>
      <c r="D160" s="26">
        <f t="shared" si="49"/>
        <v>10.914062068064483</v>
      </c>
      <c r="E160" s="26"/>
      <c r="F160">
        <v>10.888999999999999</v>
      </c>
      <c r="G160" s="25">
        <f t="shared" si="46"/>
        <v>-4.893339113648576E-2</v>
      </c>
      <c r="H160" s="25"/>
      <c r="I160" s="25">
        <f t="shared" si="47"/>
        <v>-4.6744420975296075E-2</v>
      </c>
      <c r="J160">
        <v>9644.09</v>
      </c>
      <c r="K160">
        <v>9557.4500000000007</v>
      </c>
      <c r="L160" s="25">
        <f t="shared" si="43"/>
        <v>-8.9837403010547545E-3</v>
      </c>
      <c r="M160">
        <f t="shared" si="44"/>
        <v>3</v>
      </c>
    </row>
    <row r="161" spans="1:13" ht="13.5" x14ac:dyDescent="0.15">
      <c r="A161" s="1">
        <v>42628</v>
      </c>
      <c r="B161">
        <v>10.4</v>
      </c>
      <c r="C161" s="25">
        <f t="shared" si="48"/>
        <v>1.9267822736031004E-3</v>
      </c>
      <c r="D161" s="26">
        <f t="shared" si="49"/>
        <v>10.888999999999999</v>
      </c>
      <c r="E161" s="26"/>
      <c r="F161">
        <v>10.887</v>
      </c>
      <c r="G161" s="25">
        <f t="shared" si="46"/>
        <v>-4.490770502341801E-2</v>
      </c>
      <c r="H161" s="25"/>
      <c r="I161" s="25">
        <f t="shared" si="47"/>
        <v>-4.4732249471847174E-2</v>
      </c>
      <c r="J161">
        <v>9557.4500000000007</v>
      </c>
      <c r="K161">
        <v>9557.4500000000007</v>
      </c>
      <c r="L161" s="25">
        <f t="shared" si="43"/>
        <v>0</v>
      </c>
      <c r="M161">
        <f t="shared" si="44"/>
        <v>4</v>
      </c>
    </row>
    <row r="162" spans="1:13" ht="13.5" x14ac:dyDescent="0.15">
      <c r="A162" s="1">
        <v>42632</v>
      </c>
      <c r="B162">
        <v>10.44</v>
      </c>
      <c r="C162" s="25">
        <f t="shared" si="48"/>
        <v>3.8461538461538325E-3</v>
      </c>
      <c r="D162" s="26">
        <f t="shared" si="49"/>
        <v>10.960222079111059</v>
      </c>
      <c r="E162" s="26"/>
      <c r="F162">
        <v>10.975</v>
      </c>
      <c r="G162" s="25">
        <f t="shared" si="46"/>
        <v>-4.7464556407350922E-2</v>
      </c>
      <c r="H162" s="25"/>
      <c r="I162" s="25">
        <f t="shared" si="47"/>
        <v>-4.8747152619589951E-2</v>
      </c>
      <c r="J162">
        <v>9557.4500000000007</v>
      </c>
      <c r="K162">
        <v>9621.73</v>
      </c>
      <c r="L162" s="25">
        <f t="shared" si="43"/>
        <v>6.725643346289889E-3</v>
      </c>
      <c r="M162">
        <f t="shared" si="44"/>
        <v>1</v>
      </c>
    </row>
    <row r="163" spans="1:13" ht="13.5" x14ac:dyDescent="0.15">
      <c r="A163" s="1">
        <v>42633</v>
      </c>
      <c r="B163">
        <v>10.48</v>
      </c>
      <c r="C163" s="25">
        <f t="shared" si="48"/>
        <v>3.8314176245211051E-3</v>
      </c>
      <c r="D163" s="26">
        <f t="shared" si="49"/>
        <v>10.945457235860911</v>
      </c>
      <c r="E163" s="26"/>
      <c r="F163">
        <v>10.975</v>
      </c>
      <c r="G163" s="25">
        <f t="shared" si="46"/>
        <v>-4.2525152292032131E-2</v>
      </c>
      <c r="H163" s="25"/>
      <c r="I163" s="25">
        <f t="shared" si="47"/>
        <v>-4.5102505694760708E-2</v>
      </c>
      <c r="J163">
        <v>9621.73</v>
      </c>
      <c r="K163">
        <v>9595.83</v>
      </c>
      <c r="L163" s="25">
        <f t="shared" si="43"/>
        <v>-2.691823611762123E-3</v>
      </c>
      <c r="M163">
        <f t="shared" si="44"/>
        <v>2</v>
      </c>
    </row>
    <row r="164" spans="1:13" ht="13.5" x14ac:dyDescent="0.15">
      <c r="A164" s="1">
        <v>42634</v>
      </c>
      <c r="B164">
        <v>10.5</v>
      </c>
      <c r="C164" s="25">
        <f t="shared" si="48"/>
        <v>1.9083969465647499E-3</v>
      </c>
      <c r="D164" s="26">
        <f t="shared" si="49"/>
        <v>10.991549714824043</v>
      </c>
      <c r="E164" s="26"/>
      <c r="F164">
        <v>10.968</v>
      </c>
      <c r="G164" s="25">
        <f t="shared" si="46"/>
        <v>-4.4720692493534497E-2</v>
      </c>
      <c r="H164" s="25"/>
      <c r="I164" s="25">
        <f t="shared" si="47"/>
        <v>-4.2669584245076608E-2</v>
      </c>
      <c r="J164">
        <v>9595.83</v>
      </c>
      <c r="K164">
        <v>9610.2999999999993</v>
      </c>
      <c r="L164" s="25">
        <f t="shared" si="43"/>
        <v>1.5079466810061781E-3</v>
      </c>
      <c r="M164">
        <f t="shared" si="44"/>
        <v>3</v>
      </c>
    </row>
    <row r="165" spans="1:13" ht="13.5" x14ac:dyDescent="0.15">
      <c r="A165" s="1">
        <v>42635</v>
      </c>
      <c r="B165">
        <v>10.58</v>
      </c>
      <c r="C165" s="25">
        <f t="shared" si="48"/>
        <v>7.6190476190476364E-3</v>
      </c>
      <c r="D165" s="26">
        <f t="shared" si="49"/>
        <v>11.04597194260325</v>
      </c>
      <c r="E165" s="26"/>
      <c r="F165">
        <v>11.083</v>
      </c>
      <c r="G165" s="25">
        <f t="shared" si="46"/>
        <v>-4.2184784193235347E-2</v>
      </c>
      <c r="H165" s="25"/>
      <c r="I165" s="25">
        <f t="shared" si="47"/>
        <v>-4.5384823603717428E-2</v>
      </c>
      <c r="J165">
        <v>9610.2999999999993</v>
      </c>
      <c r="K165">
        <v>9678.6200000000008</v>
      </c>
      <c r="L165" s="25">
        <f t="shared" si="43"/>
        <v>7.1090392599608698E-3</v>
      </c>
      <c r="M165">
        <f t="shared" si="44"/>
        <v>4</v>
      </c>
    </row>
    <row r="166" spans="1:13" ht="13.5" x14ac:dyDescent="0.15">
      <c r="A166" s="1">
        <v>42636</v>
      </c>
      <c r="B166">
        <v>10.48</v>
      </c>
      <c r="C166" s="25">
        <f t="shared" si="48"/>
        <v>-9.4517958412098091E-3</v>
      </c>
      <c r="D166" s="26">
        <f t="shared" si="49"/>
        <v>11.060888094583731</v>
      </c>
      <c r="E166" s="26"/>
      <c r="F166">
        <v>11.034000000000001</v>
      </c>
      <c r="G166" s="25">
        <f t="shared" si="46"/>
        <v>-5.2517310510372006E-2</v>
      </c>
      <c r="H166" s="25"/>
      <c r="I166" s="25">
        <f t="shared" si="47"/>
        <v>-5.0208446619539604E-2</v>
      </c>
      <c r="J166">
        <v>9678.6200000000008</v>
      </c>
      <c r="K166">
        <v>9659.31</v>
      </c>
      <c r="L166" s="25">
        <f t="shared" si="43"/>
        <v>-1.9951191388856149E-3</v>
      </c>
      <c r="M166">
        <f t="shared" si="44"/>
        <v>5</v>
      </c>
    </row>
    <row r="167" spans="1:13" ht="13.5" x14ac:dyDescent="0.15">
      <c r="A167" s="1">
        <v>42639</v>
      </c>
      <c r="B167">
        <v>10.34</v>
      </c>
      <c r="C167" s="25">
        <f t="shared" si="48"/>
        <v>-1.3358778625954248E-2</v>
      </c>
      <c r="D167" s="26">
        <f t="shared" si="49"/>
        <v>10.892466847010812</v>
      </c>
      <c r="E167" s="26"/>
      <c r="F167">
        <v>10.888</v>
      </c>
      <c r="G167" s="25">
        <f t="shared" si="46"/>
        <v>-5.0720085245191671E-2</v>
      </c>
      <c r="H167" s="25"/>
      <c r="I167" s="25">
        <f t="shared" si="47"/>
        <v>-5.0330639235856012E-2</v>
      </c>
      <c r="J167">
        <v>9659.31</v>
      </c>
      <c r="K167">
        <v>9535.41</v>
      </c>
      <c r="L167" s="25">
        <f t="shared" si="43"/>
        <v>-1.2827003171033913E-2</v>
      </c>
      <c r="M167">
        <f t="shared" si="44"/>
        <v>1</v>
      </c>
    </row>
    <row r="168" spans="1:13" ht="13.5" x14ac:dyDescent="0.15">
      <c r="A168" s="1">
        <v>42640</v>
      </c>
      <c r="B168">
        <v>10.4</v>
      </c>
      <c r="C168" s="25">
        <f t="shared" si="48"/>
        <v>5.8027079303675233E-3</v>
      </c>
      <c r="D168" s="26">
        <f t="shared" si="49"/>
        <v>10.94021676257235</v>
      </c>
      <c r="E168" s="26"/>
      <c r="F168">
        <v>11.067</v>
      </c>
      <c r="G168" s="25">
        <f t="shared" si="46"/>
        <v>-4.9378981632291707E-2</v>
      </c>
      <c r="H168" s="25"/>
      <c r="I168" s="25">
        <f t="shared" si="47"/>
        <v>-6.0269268997921732E-2</v>
      </c>
      <c r="J168">
        <v>9535.41</v>
      </c>
      <c r="K168">
        <v>9581.14</v>
      </c>
      <c r="L168" s="25">
        <f t="shared" si="43"/>
        <v>4.7958084654986521E-3</v>
      </c>
      <c r="M168">
        <f t="shared" ref="M168:M178" si="50">WEEKDAY(A168,2)</f>
        <v>2</v>
      </c>
    </row>
    <row r="169" spans="1:13" ht="13.5" x14ac:dyDescent="0.15">
      <c r="A169" s="1">
        <v>42641</v>
      </c>
      <c r="B169">
        <v>10.42</v>
      </c>
      <c r="C169" s="25">
        <f t="shared" si="48"/>
        <v>1.9230769230769162E-3</v>
      </c>
      <c r="D169" s="26">
        <f t="shared" si="49"/>
        <v>11.012653403457209</v>
      </c>
      <c r="E169" s="26"/>
      <c r="F169">
        <v>11.006</v>
      </c>
      <c r="G169" s="25">
        <f t="shared" si="46"/>
        <v>-5.3815677452552668E-2</v>
      </c>
      <c r="H169" s="25"/>
      <c r="I169" s="25">
        <f t="shared" si="47"/>
        <v>-5.3243685262584051E-2</v>
      </c>
      <c r="J169">
        <v>9581.14</v>
      </c>
      <c r="K169">
        <v>9534.09</v>
      </c>
      <c r="L169" s="25">
        <f t="shared" si="43"/>
        <v>-4.9106891246760709E-3</v>
      </c>
      <c r="M169">
        <f t="shared" si="50"/>
        <v>3</v>
      </c>
    </row>
    <row r="170" spans="1:13" ht="13.5" x14ac:dyDescent="0.15">
      <c r="A170" s="1">
        <v>42642</v>
      </c>
      <c r="B170">
        <v>10.5</v>
      </c>
      <c r="C170" s="25">
        <f t="shared" si="48"/>
        <v>7.6775431861804133E-3</v>
      </c>
      <c r="D170" s="26">
        <f t="shared" si="49"/>
        <v>11.058443660590576</v>
      </c>
      <c r="E170" s="26"/>
      <c r="F170">
        <v>11.054</v>
      </c>
      <c r="G170" s="25">
        <f t="shared" si="46"/>
        <v>-5.0499299696278643E-2</v>
      </c>
      <c r="H170" s="25"/>
      <c r="I170" s="25">
        <f t="shared" si="47"/>
        <v>-5.0117604487063483E-2</v>
      </c>
      <c r="J170">
        <v>9534.09</v>
      </c>
      <c r="K170">
        <v>9579.52</v>
      </c>
      <c r="L170" s="25">
        <f t="shared" si="43"/>
        <v>4.7650064138267112E-3</v>
      </c>
      <c r="M170">
        <f t="shared" si="50"/>
        <v>4</v>
      </c>
    </row>
    <row r="171" spans="1:13" ht="13.5" x14ac:dyDescent="0.15">
      <c r="A171" s="1">
        <v>42643</v>
      </c>
      <c r="B171">
        <v>10.42</v>
      </c>
      <c r="C171" s="25">
        <f t="shared" si="48"/>
        <v>-7.6190476190476364E-3</v>
      </c>
      <c r="D171" s="26">
        <f t="shared" si="49"/>
        <v>11.076166803764698</v>
      </c>
      <c r="E171" s="26"/>
      <c r="F171">
        <v>11.063000000000001</v>
      </c>
      <c r="G171" s="25">
        <f t="shared" si="46"/>
        <v>-5.9241325576793624E-2</v>
      </c>
      <c r="H171" s="25"/>
      <c r="I171" s="25">
        <f t="shared" si="47"/>
        <v>-5.8121666817319007E-2</v>
      </c>
      <c r="J171">
        <v>9579.52</v>
      </c>
      <c r="K171">
        <v>9598.73</v>
      </c>
      <c r="L171" s="25">
        <f t="shared" si="43"/>
        <v>2.0053196819882491E-3</v>
      </c>
      <c r="M171">
        <f t="shared" si="50"/>
        <v>5</v>
      </c>
    </row>
    <row r="172" spans="1:13" ht="13.5" x14ac:dyDescent="0.15">
      <c r="A172" s="1">
        <v>42646</v>
      </c>
      <c r="B172">
        <v>10.44</v>
      </c>
      <c r="C172" s="25">
        <f t="shared" si="48"/>
        <v>1.9193857965451588E-3</v>
      </c>
      <c r="D172" s="26">
        <f t="shared" si="49"/>
        <v>11.063000000000001</v>
      </c>
      <c r="E172" s="26"/>
      <c r="F172">
        <v>11.061999999999999</v>
      </c>
      <c r="G172" s="25">
        <f t="shared" si="46"/>
        <v>-5.631383892253472E-2</v>
      </c>
      <c r="H172" s="25"/>
      <c r="I172" s="25">
        <f t="shared" si="47"/>
        <v>-5.6228530103055507E-2</v>
      </c>
      <c r="J172">
        <v>9598.73</v>
      </c>
      <c r="K172">
        <v>9598.73</v>
      </c>
      <c r="L172" s="25">
        <f t="shared" si="43"/>
        <v>0</v>
      </c>
      <c r="M172">
        <f t="shared" si="50"/>
        <v>1</v>
      </c>
    </row>
    <row r="173" spans="1:13" ht="13.5" x14ac:dyDescent="0.15">
      <c r="A173" s="1">
        <v>42647</v>
      </c>
      <c r="B173">
        <v>10.48</v>
      </c>
      <c r="C173" s="25">
        <f t="shared" si="48"/>
        <v>3.8314176245211051E-3</v>
      </c>
      <c r="D173" s="26">
        <f t="shared" si="49"/>
        <v>11.061999999999999</v>
      </c>
      <c r="E173" s="26"/>
      <c r="F173">
        <v>11.061999999999999</v>
      </c>
      <c r="G173" s="25">
        <f t="shared" si="46"/>
        <v>-5.2612547459772063E-2</v>
      </c>
      <c r="H173" s="25"/>
      <c r="I173" s="25">
        <f t="shared" si="47"/>
        <v>-5.2612547459772063E-2</v>
      </c>
      <c r="J173">
        <v>9598.73</v>
      </c>
      <c r="K173">
        <v>9598.73</v>
      </c>
      <c r="L173" s="25">
        <f t="shared" si="43"/>
        <v>0</v>
      </c>
      <c r="M173">
        <f t="shared" si="50"/>
        <v>2</v>
      </c>
    </row>
    <row r="174" spans="1:13" ht="13.5" x14ac:dyDescent="0.15">
      <c r="A174" s="1">
        <v>42648</v>
      </c>
      <c r="B174">
        <v>10.5</v>
      </c>
      <c r="C174" s="25">
        <f t="shared" si="48"/>
        <v>1.9083969465647499E-3</v>
      </c>
      <c r="D174" s="26">
        <f t="shared" si="49"/>
        <v>11.061999999999999</v>
      </c>
      <c r="E174" s="26"/>
      <c r="F174">
        <v>11.063000000000001</v>
      </c>
      <c r="G174" s="25">
        <f t="shared" si="46"/>
        <v>-5.0804556138130508E-2</v>
      </c>
      <c r="H174" s="25"/>
      <c r="I174" s="25">
        <f t="shared" si="47"/>
        <v>-5.0890355238181417E-2</v>
      </c>
      <c r="J174">
        <v>9598.73</v>
      </c>
      <c r="K174">
        <v>9598.73</v>
      </c>
      <c r="L174" s="25">
        <f t="shared" si="43"/>
        <v>0</v>
      </c>
      <c r="M174">
        <f t="shared" si="50"/>
        <v>3</v>
      </c>
    </row>
    <row r="175" spans="1:13" ht="13.5" x14ac:dyDescent="0.15">
      <c r="A175" s="1">
        <v>42649</v>
      </c>
      <c r="B175">
        <v>10.58</v>
      </c>
      <c r="C175" s="25">
        <f t="shared" si="48"/>
        <v>7.6190476190476364E-3</v>
      </c>
      <c r="D175" s="26">
        <f t="shared" si="49"/>
        <v>11.063000000000001</v>
      </c>
      <c r="E175" s="26"/>
      <c r="F175">
        <v>11.061999999999999</v>
      </c>
      <c r="G175" s="25">
        <f t="shared" si="46"/>
        <v>-4.3659043659043717E-2</v>
      </c>
      <c r="H175" s="25"/>
      <c r="I175" s="25">
        <f t="shared" si="47"/>
        <v>-4.3572590851563842E-2</v>
      </c>
      <c r="J175">
        <v>9598.73</v>
      </c>
      <c r="K175">
        <v>9598.73</v>
      </c>
      <c r="L175" s="25">
        <f t="shared" si="43"/>
        <v>0</v>
      </c>
      <c r="M175">
        <f t="shared" si="50"/>
        <v>4</v>
      </c>
    </row>
    <row r="176" spans="1:13" ht="13.5" x14ac:dyDescent="0.15">
      <c r="A176" s="1">
        <v>42650</v>
      </c>
      <c r="B176">
        <v>10.58</v>
      </c>
      <c r="C176" s="25">
        <f t="shared" si="48"/>
        <v>0</v>
      </c>
      <c r="D176" s="26">
        <f t="shared" si="49"/>
        <v>11.061999999999999</v>
      </c>
      <c r="E176" s="26"/>
      <c r="F176">
        <v>11.063000000000001</v>
      </c>
      <c r="G176" s="25">
        <f t="shared" si="46"/>
        <v>-4.3572590851563842E-2</v>
      </c>
      <c r="H176" s="25"/>
      <c r="I176" s="25">
        <f t="shared" si="47"/>
        <v>-4.3659043659043717E-2</v>
      </c>
      <c r="J176">
        <v>9598.73</v>
      </c>
      <c r="K176">
        <v>9598.73</v>
      </c>
      <c r="L176" s="25">
        <f t="shared" si="43"/>
        <v>0</v>
      </c>
      <c r="M176">
        <f t="shared" si="50"/>
        <v>5</v>
      </c>
    </row>
    <row r="177" spans="1:13" ht="13.5" x14ac:dyDescent="0.15">
      <c r="A177" s="1">
        <v>42653</v>
      </c>
      <c r="B177">
        <v>10.58</v>
      </c>
      <c r="C177" s="25">
        <f t="shared" si="48"/>
        <v>0</v>
      </c>
      <c r="D177" s="26">
        <f t="shared" si="49"/>
        <v>11.170648011768224</v>
      </c>
      <c r="E177" s="26"/>
      <c r="F177">
        <v>11.17</v>
      </c>
      <c r="G177" s="25">
        <f t="shared" si="46"/>
        <v>-5.2874999834027436E-2</v>
      </c>
      <c r="H177" s="25"/>
      <c r="I177" s="25">
        <f t="shared" si="47"/>
        <v>-5.2820053715308846E-2</v>
      </c>
      <c r="J177">
        <v>9598.73</v>
      </c>
      <c r="K177">
        <v>9692.1299999999992</v>
      </c>
      <c r="L177" s="25">
        <f t="shared" si="43"/>
        <v>9.7304539246336752E-3</v>
      </c>
      <c r="M177">
        <f t="shared" si="50"/>
        <v>1</v>
      </c>
    </row>
    <row r="178" spans="1:13" ht="13.5" x14ac:dyDescent="0.15">
      <c r="A178" s="1">
        <v>42654</v>
      </c>
      <c r="B178">
        <v>10.56</v>
      </c>
      <c r="C178" s="25">
        <f t="shared" ref="C178:C215" si="51">B178/B177-1</f>
        <v>-1.890359168241873E-3</v>
      </c>
      <c r="D178" s="26">
        <f t="shared" ref="D178:D208" si="52">+F177*(1+L178)</f>
        <v>11.188324454995962</v>
      </c>
      <c r="E178" s="26"/>
      <c r="F178">
        <v>11.135</v>
      </c>
      <c r="G178" s="25">
        <f t="shared" si="46"/>
        <v>-5.6158941182242295E-2</v>
      </c>
      <c r="H178" s="25"/>
      <c r="I178" s="25">
        <f t="shared" si="47"/>
        <v>-5.1638976201167419E-2</v>
      </c>
      <c r="J178">
        <v>9692.1299999999992</v>
      </c>
      <c r="K178">
        <v>9708.0300000000007</v>
      </c>
      <c r="L178" s="25">
        <f t="shared" si="43"/>
        <v>1.6405062664246461E-3</v>
      </c>
      <c r="M178">
        <f t="shared" si="50"/>
        <v>2</v>
      </c>
    </row>
    <row r="179" spans="1:13" ht="13.5" x14ac:dyDescent="0.15">
      <c r="A179" s="1">
        <v>42655</v>
      </c>
      <c r="B179">
        <v>10.48</v>
      </c>
      <c r="C179" s="25">
        <f t="shared" si="51"/>
        <v>-7.575757575757569E-3</v>
      </c>
      <c r="D179" s="26">
        <f t="shared" si="52"/>
        <v>11.103308704237625</v>
      </c>
      <c r="E179" s="26"/>
      <c r="F179">
        <v>11.18</v>
      </c>
      <c r="G179" s="25">
        <f t="shared" si="46"/>
        <v>-5.6137203858858342E-2</v>
      </c>
      <c r="H179" s="25"/>
      <c r="I179" s="25">
        <f t="shared" si="47"/>
        <v>-6.2611806797853276E-2</v>
      </c>
      <c r="J179">
        <v>9708.0300000000007</v>
      </c>
      <c r="K179">
        <v>9680.4</v>
      </c>
      <c r="L179" s="25">
        <f t="shared" si="43"/>
        <v>-2.8460975089694696E-3</v>
      </c>
      <c r="M179">
        <f t="shared" ref="M179:M211" si="53">WEEKDAY(A179,2)</f>
        <v>3</v>
      </c>
    </row>
    <row r="180" spans="1:13" ht="13.5" x14ac:dyDescent="0.15">
      <c r="A180" s="1">
        <v>42656</v>
      </c>
      <c r="B180">
        <v>10.46</v>
      </c>
      <c r="C180" s="25">
        <f t="shared" si="51"/>
        <v>-1.9083969465648609E-3</v>
      </c>
      <c r="D180" s="26">
        <f t="shared" si="52"/>
        <v>11.176073302756084</v>
      </c>
      <c r="E180" s="26"/>
      <c r="F180">
        <v>11.167</v>
      </c>
      <c r="G180" s="25">
        <f t="shared" si="46"/>
        <v>-6.407199410364417E-2</v>
      </c>
      <c r="H180" s="25"/>
      <c r="I180" s="25">
        <f t="shared" si="47"/>
        <v>-6.3311542939016641E-2</v>
      </c>
      <c r="J180">
        <v>9680.4</v>
      </c>
      <c r="K180">
        <v>9677</v>
      </c>
      <c r="L180" s="25">
        <f t="shared" si="43"/>
        <v>-3.512251559852908E-4</v>
      </c>
      <c r="M180">
        <f t="shared" si="53"/>
        <v>4</v>
      </c>
    </row>
    <row r="181" spans="1:13" ht="13.5" x14ac:dyDescent="0.15">
      <c r="A181" s="1">
        <v>42657</v>
      </c>
      <c r="B181">
        <v>10.54</v>
      </c>
      <c r="C181" s="25">
        <f t="shared" si="51"/>
        <v>7.6481835564052858E-3</v>
      </c>
      <c r="D181" s="26">
        <f t="shared" si="52"/>
        <v>11.197107164410458</v>
      </c>
      <c r="E181" s="26"/>
      <c r="F181">
        <v>11.22</v>
      </c>
      <c r="G181" s="25">
        <f t="shared" si="46"/>
        <v>-5.8685440334004024E-2</v>
      </c>
      <c r="H181" s="25"/>
      <c r="I181" s="25">
        <f t="shared" si="47"/>
        <v>-6.0606060606060774E-2</v>
      </c>
      <c r="J181">
        <v>9677</v>
      </c>
      <c r="K181">
        <v>9703.09</v>
      </c>
      <c r="L181" s="25">
        <f t="shared" si="43"/>
        <v>2.6960834969516068E-3</v>
      </c>
      <c r="M181">
        <f t="shared" si="53"/>
        <v>5</v>
      </c>
    </row>
    <row r="182" spans="1:13" ht="13.5" x14ac:dyDescent="0.15">
      <c r="A182" s="1">
        <v>42660</v>
      </c>
      <c r="B182">
        <v>10.46</v>
      </c>
      <c r="C182" s="25">
        <f t="shared" si="51"/>
        <v>-7.5901328273243474E-3</v>
      </c>
      <c r="D182" s="26">
        <f t="shared" si="52"/>
        <v>11.137692240306954</v>
      </c>
      <c r="E182" s="26"/>
      <c r="F182">
        <v>11.101000000000001</v>
      </c>
      <c r="G182" s="25">
        <f t="shared" si="46"/>
        <v>-6.084673787756556E-2</v>
      </c>
      <c r="H182" s="25"/>
      <c r="I182" s="25">
        <f t="shared" si="47"/>
        <v>-5.7742545716602089E-2</v>
      </c>
      <c r="J182">
        <v>9703.09</v>
      </c>
      <c r="K182">
        <v>9631.91</v>
      </c>
      <c r="L182" s="25">
        <f t="shared" si="43"/>
        <v>-7.3358074592733136E-3</v>
      </c>
      <c r="M182">
        <f t="shared" si="53"/>
        <v>1</v>
      </c>
    </row>
    <row r="183" spans="1:13" ht="13.5" x14ac:dyDescent="0.15">
      <c r="A183" s="1">
        <v>42661</v>
      </c>
      <c r="B183">
        <v>10.62</v>
      </c>
      <c r="C183" s="25">
        <f t="shared" si="51"/>
        <v>1.5296367112810572E-2</v>
      </c>
      <c r="D183" s="26">
        <f t="shared" si="52"/>
        <v>11.246782663043987</v>
      </c>
      <c r="E183" s="26"/>
      <c r="F183">
        <v>11.257999999999999</v>
      </c>
      <c r="G183" s="25">
        <f t="shared" si="46"/>
        <v>-5.5729952451517129E-2</v>
      </c>
      <c r="H183" s="25"/>
      <c r="I183" s="25">
        <f t="shared" si="47"/>
        <v>-5.6670811867116755E-2</v>
      </c>
      <c r="J183">
        <v>9631.91</v>
      </c>
      <c r="K183">
        <v>9758.4</v>
      </c>
      <c r="L183" s="25">
        <f t="shared" si="43"/>
        <v>1.3132390148994366E-2</v>
      </c>
      <c r="M183">
        <f t="shared" si="53"/>
        <v>2</v>
      </c>
    </row>
    <row r="184" spans="1:13" ht="13.5" x14ac:dyDescent="0.15">
      <c r="A184" s="1">
        <v>42662</v>
      </c>
      <c r="B184">
        <v>10.56</v>
      </c>
      <c r="C184" s="25">
        <f t="shared" si="51"/>
        <v>-5.6497175141241307E-3</v>
      </c>
      <c r="D184" s="26">
        <f t="shared" si="52"/>
        <v>11.246036413756354</v>
      </c>
      <c r="E184" s="26"/>
      <c r="F184">
        <v>11.241</v>
      </c>
      <c r="G184" s="25">
        <f t="shared" si="46"/>
        <v>-6.1002506884752838E-2</v>
      </c>
      <c r="H184" s="25"/>
      <c r="I184" s="25">
        <f t="shared" si="47"/>
        <v>-6.0581798772351148E-2</v>
      </c>
      <c r="J184">
        <v>9758.4</v>
      </c>
      <c r="K184">
        <v>9748.0300000000007</v>
      </c>
      <c r="L184" s="25">
        <f t="shared" si="43"/>
        <v>-1.0626742088866159E-3</v>
      </c>
      <c r="M184">
        <f t="shared" si="53"/>
        <v>3</v>
      </c>
    </row>
    <row r="185" spans="1:13" ht="13.5" x14ac:dyDescent="0.15">
      <c r="A185" s="1">
        <v>42663</v>
      </c>
      <c r="B185">
        <v>10.58</v>
      </c>
      <c r="C185" s="25">
        <f t="shared" si="51"/>
        <v>1.8939393939394478E-3</v>
      </c>
      <c r="D185" s="26">
        <f t="shared" si="52"/>
        <v>11.254745620397147</v>
      </c>
      <c r="E185" s="26"/>
      <c r="F185">
        <v>11.256</v>
      </c>
      <c r="G185" s="25">
        <f t="shared" si="46"/>
        <v>-5.9952098710635893E-2</v>
      </c>
      <c r="H185" s="25"/>
      <c r="I185" s="25">
        <f t="shared" si="47"/>
        <v>-6.0056858564321303E-2</v>
      </c>
      <c r="J185">
        <v>9748.0300000000007</v>
      </c>
      <c r="K185">
        <v>9759.9500000000007</v>
      </c>
      <c r="L185" s="25">
        <f t="shared" si="43"/>
        <v>1.22281117312939E-3</v>
      </c>
      <c r="M185">
        <f t="shared" si="53"/>
        <v>4</v>
      </c>
    </row>
    <row r="186" spans="1:13" ht="13.5" x14ac:dyDescent="0.15">
      <c r="A186" s="1">
        <v>42664</v>
      </c>
      <c r="B186">
        <v>10.58</v>
      </c>
      <c r="C186" s="25">
        <f t="shared" si="51"/>
        <v>0</v>
      </c>
      <c r="D186" s="26">
        <f t="shared" si="52"/>
        <v>11.337675615141471</v>
      </c>
      <c r="E186" s="26"/>
      <c r="F186" s="92">
        <v>11.256</v>
      </c>
      <c r="G186" s="25">
        <f>+B186/D186-1</f>
        <v>-6.6828126051656889E-2</v>
      </c>
      <c r="H186" s="25"/>
      <c r="I186" s="93">
        <f t="shared" si="47"/>
        <v>-6.0056858564321303E-2</v>
      </c>
      <c r="J186">
        <v>9759.9500000000007</v>
      </c>
      <c r="K186">
        <v>9830.77</v>
      </c>
      <c r="L186" s="25">
        <f t="shared" ref="L186:L272" si="54">+K186/J186-1</f>
        <v>7.2561847140610869E-3</v>
      </c>
      <c r="M186">
        <f t="shared" si="53"/>
        <v>5</v>
      </c>
    </row>
    <row r="187" spans="1:13" ht="13.5" x14ac:dyDescent="0.15">
      <c r="A187" s="1">
        <v>42667</v>
      </c>
      <c r="B187">
        <v>10.76</v>
      </c>
      <c r="C187" s="25">
        <f t="shared" si="51"/>
        <v>1.7013232514177634E-2</v>
      </c>
      <c r="D187" s="26">
        <f t="shared" si="52"/>
        <v>11.381718412698088</v>
      </c>
      <c r="E187" s="26"/>
      <c r="F187">
        <v>11.396000000000001</v>
      </c>
      <c r="G187" s="93">
        <f>+B187/D187-1</f>
        <v>-5.4624301019823518E-2</v>
      </c>
      <c r="H187" s="25"/>
      <c r="I187" s="25">
        <f t="shared" si="47"/>
        <v>-5.580905580905593E-2</v>
      </c>
      <c r="J187">
        <v>9830.77</v>
      </c>
      <c r="K187">
        <v>9940.57</v>
      </c>
      <c r="L187" s="25">
        <f t="shared" si="54"/>
        <v>1.1169013210562184E-2</v>
      </c>
      <c r="M187">
        <f t="shared" si="53"/>
        <v>1</v>
      </c>
    </row>
    <row r="188" spans="1:13" ht="13.5" x14ac:dyDescent="0.15">
      <c r="A188" s="1">
        <v>42668</v>
      </c>
      <c r="B188">
        <v>10.72</v>
      </c>
      <c r="C188" s="25">
        <f t="shared" si="51"/>
        <v>-3.7174721189590088E-3</v>
      </c>
      <c r="D188" s="26">
        <f t="shared" si="52"/>
        <v>11.373576159113613</v>
      </c>
      <c r="E188" s="26"/>
      <c r="F188">
        <v>11.371</v>
      </c>
      <c r="G188" s="25">
        <f t="shared" ref="G188:G231" si="55">+B188/D188-1</f>
        <v>-5.7464437743260155E-2</v>
      </c>
      <c r="H188" s="25"/>
      <c r="I188" s="25">
        <f t="shared" si="47"/>
        <v>-5.7250901415882516E-2</v>
      </c>
      <c r="J188">
        <v>9940.57</v>
      </c>
      <c r="K188">
        <v>9921.01</v>
      </c>
      <c r="L188" s="25">
        <f t="shared" si="54"/>
        <v>-1.967694005474474E-3</v>
      </c>
      <c r="M188">
        <f t="shared" si="53"/>
        <v>2</v>
      </c>
    </row>
    <row r="189" spans="1:13" ht="13.5" x14ac:dyDescent="0.15">
      <c r="A189" s="1">
        <v>42669</v>
      </c>
      <c r="B189">
        <v>10.64</v>
      </c>
      <c r="C189" s="25">
        <f t="shared" si="51"/>
        <v>-7.4626865671642006E-3</v>
      </c>
      <c r="D189" s="26">
        <f t="shared" si="52"/>
        <v>11.307044636584379</v>
      </c>
      <c r="E189" s="26"/>
      <c r="F189">
        <v>11.311</v>
      </c>
      <c r="G189" s="25">
        <f t="shared" si="55"/>
        <v>-5.8993720996389332E-2</v>
      </c>
      <c r="H189" s="25"/>
      <c r="I189" s="25">
        <f t="shared" si="47"/>
        <v>-5.9322783131464885E-2</v>
      </c>
      <c r="J189">
        <v>9921.01</v>
      </c>
      <c r="K189">
        <v>9865.2099999999991</v>
      </c>
      <c r="L189" s="25">
        <f t="shared" si="54"/>
        <v>-5.624427351650807E-3</v>
      </c>
      <c r="M189">
        <f t="shared" si="53"/>
        <v>3</v>
      </c>
    </row>
    <row r="190" spans="1:13" ht="13.5" x14ac:dyDescent="0.15">
      <c r="A190" s="1">
        <v>42670</v>
      </c>
      <c r="B190">
        <v>10.6</v>
      </c>
      <c r="C190" s="25">
        <f t="shared" si="51"/>
        <v>-3.7593984962407401E-3</v>
      </c>
      <c r="D190" s="26">
        <f t="shared" si="52"/>
        <v>11.2815908794643</v>
      </c>
      <c r="E190" s="26"/>
      <c r="F190">
        <v>11.276</v>
      </c>
      <c r="G190" s="25">
        <f t="shared" si="55"/>
        <v>-6.0416202532657781E-2</v>
      </c>
      <c r="H190" s="25"/>
      <c r="I190" s="25">
        <f t="shared" si="47"/>
        <v>-5.9950336998935816E-2</v>
      </c>
      <c r="J190">
        <v>9865.2099999999991</v>
      </c>
      <c r="K190">
        <v>9839.56</v>
      </c>
      <c r="L190" s="25">
        <f t="shared" si="54"/>
        <v>-2.6000460203077225E-3</v>
      </c>
      <c r="M190">
        <f t="shared" si="53"/>
        <v>4</v>
      </c>
    </row>
    <row r="191" spans="1:13" ht="13.5" x14ac:dyDescent="0.15">
      <c r="A191" s="1">
        <v>42671</v>
      </c>
      <c r="B191">
        <v>10.64</v>
      </c>
      <c r="C191" s="25">
        <f t="shared" si="51"/>
        <v>3.7735849056603765E-3</v>
      </c>
      <c r="D191" s="26">
        <f t="shared" si="52"/>
        <v>11.311674550488032</v>
      </c>
      <c r="E191" s="26"/>
      <c r="F191">
        <v>11.289</v>
      </c>
      <c r="G191" s="25">
        <f t="shared" si="55"/>
        <v>-5.9378878652325828E-2</v>
      </c>
      <c r="H191" s="25"/>
      <c r="I191" s="25">
        <f t="shared" si="47"/>
        <v>-5.748959163787748E-2</v>
      </c>
      <c r="J191">
        <v>9839.56</v>
      </c>
      <c r="K191">
        <v>9870.69</v>
      </c>
      <c r="L191" s="25">
        <f t="shared" si="54"/>
        <v>3.1637593550932763E-3</v>
      </c>
      <c r="M191">
        <f t="shared" si="53"/>
        <v>5</v>
      </c>
    </row>
    <row r="192" spans="1:13" ht="13.5" x14ac:dyDescent="0.15">
      <c r="A192" s="1">
        <v>42674</v>
      </c>
      <c r="B192">
        <v>10.98</v>
      </c>
      <c r="C192" s="25">
        <f t="shared" si="51"/>
        <v>3.1954887218045069E-2</v>
      </c>
      <c r="D192" s="26">
        <f t="shared" si="52"/>
        <v>11.267555830443463</v>
      </c>
      <c r="E192" s="26"/>
      <c r="F192">
        <v>11.303000000000001</v>
      </c>
      <c r="G192" s="25">
        <f t="shared" si="55"/>
        <v>-2.5520692754547936E-2</v>
      </c>
      <c r="H192" s="25"/>
      <c r="I192" s="25">
        <f t="shared" si="47"/>
        <v>-2.8576484119260392E-2</v>
      </c>
      <c r="J192">
        <v>9870.69</v>
      </c>
      <c r="K192">
        <v>9851.94</v>
      </c>
      <c r="L192" s="25">
        <f t="shared" si="54"/>
        <v>-1.8995632524170247E-3</v>
      </c>
      <c r="M192">
        <f t="shared" si="53"/>
        <v>1</v>
      </c>
    </row>
    <row r="193" spans="1:13" ht="13.5" x14ac:dyDescent="0.15">
      <c r="A193" s="1">
        <f>A192+1</f>
        <v>42675</v>
      </c>
      <c r="B193">
        <v>11.1</v>
      </c>
      <c r="C193" s="25">
        <f t="shared" si="51"/>
        <v>1.0928961748633892E-2</v>
      </c>
      <c r="D193" s="26">
        <f t="shared" si="52"/>
        <v>11.371458599017046</v>
      </c>
      <c r="E193" s="26"/>
      <c r="F193">
        <v>11.303000000000001</v>
      </c>
      <c r="G193" s="25">
        <f t="shared" si="55"/>
        <v>-2.3871924314134318E-2</v>
      </c>
      <c r="H193" s="25"/>
      <c r="I193" s="25">
        <f t="shared" si="47"/>
        <v>-1.7959833672476444E-2</v>
      </c>
      <c r="J193">
        <v>9851.94</v>
      </c>
      <c r="K193">
        <v>9911.61</v>
      </c>
      <c r="L193" s="25">
        <f t="shared" si="54"/>
        <v>6.0566751320043632E-3</v>
      </c>
      <c r="M193">
        <f t="shared" si="53"/>
        <v>2</v>
      </c>
    </row>
    <row r="194" spans="1:13" ht="13.5" x14ac:dyDescent="0.15">
      <c r="A194" s="1">
        <f>A193+1</f>
        <v>42676</v>
      </c>
      <c r="B194">
        <v>11.06</v>
      </c>
      <c r="C194" s="25">
        <f t="shared" si="51"/>
        <v>-3.6036036036035668E-3</v>
      </c>
      <c r="D194" s="26">
        <f t="shared" si="52"/>
        <v>11.20741336372194</v>
      </c>
      <c r="E194" s="26"/>
      <c r="F194">
        <v>11.287000000000001</v>
      </c>
      <c r="G194" s="25">
        <f t="shared" si="55"/>
        <v>-1.3153201272928183E-2</v>
      </c>
      <c r="H194" s="25"/>
      <c r="I194" s="25">
        <f t="shared" si="47"/>
        <v>-2.0111632851953609E-2</v>
      </c>
      <c r="J194">
        <v>9911.61</v>
      </c>
      <c r="K194">
        <v>9827.7900000000009</v>
      </c>
      <c r="L194" s="25">
        <f t="shared" si="54"/>
        <v>-8.456749206233849E-3</v>
      </c>
      <c r="M194">
        <f t="shared" si="53"/>
        <v>3</v>
      </c>
    </row>
    <row r="195" spans="1:13" ht="13.5" x14ac:dyDescent="0.15">
      <c r="A195" s="1">
        <f>A194+1</f>
        <v>42677</v>
      </c>
      <c r="B195">
        <v>11.18</v>
      </c>
      <c r="C195" s="25">
        <f t="shared" si="51"/>
        <v>1.0849909584086825E-2</v>
      </c>
      <c r="D195" s="26">
        <f t="shared" si="52"/>
        <v>11.414010175227594</v>
      </c>
      <c r="E195" s="26"/>
      <c r="F195">
        <v>11.430999999999999</v>
      </c>
      <c r="G195" s="25">
        <f t="shared" si="55"/>
        <v>-2.0502012144292481E-2</v>
      </c>
      <c r="H195" s="25"/>
      <c r="I195" s="25">
        <f t="shared" si="47"/>
        <v>-2.1957833960283391E-2</v>
      </c>
      <c r="J195">
        <v>9827.7900000000009</v>
      </c>
      <c r="K195">
        <v>9938.3799999999992</v>
      </c>
      <c r="L195" s="25">
        <f t="shared" si="54"/>
        <v>1.1252784196650323E-2</v>
      </c>
      <c r="M195">
        <f t="shared" si="53"/>
        <v>4</v>
      </c>
    </row>
    <row r="196" spans="1:13" ht="13.5" x14ac:dyDescent="0.15">
      <c r="A196" s="1">
        <f>A195+1</f>
        <v>42678</v>
      </c>
      <c r="B196">
        <v>11.18</v>
      </c>
      <c r="C196" s="25">
        <f t="shared" si="51"/>
        <v>0</v>
      </c>
      <c r="D196" s="26">
        <f t="shared" si="52"/>
        <v>11.410607176421106</v>
      </c>
      <c r="E196" s="26"/>
      <c r="F196">
        <v>11.407999999999999</v>
      </c>
      <c r="G196" s="25">
        <f t="shared" si="55"/>
        <v>-2.0209895306678605E-2</v>
      </c>
      <c r="H196" s="25"/>
      <c r="I196" s="25">
        <f t="shared" si="47"/>
        <v>-1.9985974754558211E-2</v>
      </c>
      <c r="J196">
        <v>9938.3799999999992</v>
      </c>
      <c r="K196">
        <v>9920.65</v>
      </c>
      <c r="L196" s="25">
        <f t="shared" si="54"/>
        <v>-1.7839929646481512E-3</v>
      </c>
      <c r="M196">
        <f t="shared" si="53"/>
        <v>5</v>
      </c>
    </row>
    <row r="197" spans="1:13" ht="13.5" x14ac:dyDescent="0.15">
      <c r="A197" s="1">
        <v>42681</v>
      </c>
      <c r="B197">
        <v>11.16</v>
      </c>
      <c r="C197" s="25">
        <f t="shared" si="51"/>
        <v>-1.7889087656529634E-3</v>
      </c>
      <c r="D197" s="26">
        <f t="shared" si="52"/>
        <v>11.424696905948702</v>
      </c>
      <c r="E197" s="26"/>
      <c r="F197">
        <v>11.388999999999999</v>
      </c>
      <c r="G197" s="25">
        <f t="shared" si="55"/>
        <v>-2.3168833985510617E-2</v>
      </c>
      <c r="H197" s="25"/>
      <c r="I197" s="25">
        <f t="shared" si="47"/>
        <v>-2.0107120906137421E-2</v>
      </c>
      <c r="J197">
        <v>9920.65</v>
      </c>
      <c r="K197">
        <v>9935.17</v>
      </c>
      <c r="L197" s="25">
        <f t="shared" si="54"/>
        <v>1.4636137753070155E-3</v>
      </c>
      <c r="M197">
        <f t="shared" si="53"/>
        <v>1</v>
      </c>
    </row>
    <row r="198" spans="1:13" ht="13.5" x14ac:dyDescent="0.15">
      <c r="A198" s="1">
        <v>42682</v>
      </c>
      <c r="B198">
        <v>11.22</v>
      </c>
      <c r="C198" s="25">
        <f t="shared" si="51"/>
        <v>5.3763440860215006E-3</v>
      </c>
      <c r="D198" s="26">
        <f t="shared" si="52"/>
        <v>11.432056217457779</v>
      </c>
      <c r="E198" s="26"/>
      <c r="F198">
        <v>11.414999999999999</v>
      </c>
      <c r="G198" s="25">
        <f t="shared" si="55"/>
        <v>-1.8549263004318473E-2</v>
      </c>
      <c r="H198" s="25"/>
      <c r="I198" s="25">
        <f t="shared" si="47"/>
        <v>-1.7082785808147039E-2</v>
      </c>
      <c r="J198">
        <v>9935.17</v>
      </c>
      <c r="K198">
        <v>9972.73</v>
      </c>
      <c r="L198" s="25">
        <f t="shared" si="54"/>
        <v>3.7805090401070718E-3</v>
      </c>
      <c r="M198">
        <f t="shared" si="53"/>
        <v>2</v>
      </c>
    </row>
    <row r="199" spans="1:13" ht="13.5" x14ac:dyDescent="0.15">
      <c r="A199" s="1">
        <v>42683</v>
      </c>
      <c r="B199">
        <v>11.14</v>
      </c>
      <c r="C199" s="25">
        <f t="shared" si="51"/>
        <v>-7.1301247771835552E-3</v>
      </c>
      <c r="D199" s="26">
        <f t="shared" si="52"/>
        <v>11.322468807437881</v>
      </c>
      <c r="E199" s="26"/>
      <c r="F199">
        <v>11.319000000000001</v>
      </c>
      <c r="G199" s="25">
        <f t="shared" si="55"/>
        <v>-1.61156379002797E-2</v>
      </c>
      <c r="H199" s="25"/>
      <c r="I199" s="25">
        <f t="shared" si="47"/>
        <v>-1.5814117854934251E-2</v>
      </c>
      <c r="J199">
        <v>9972.73</v>
      </c>
      <c r="K199">
        <v>9891.89</v>
      </c>
      <c r="L199" s="25">
        <f t="shared" si="54"/>
        <v>-8.1061053492875734E-3</v>
      </c>
      <c r="M199">
        <f t="shared" si="53"/>
        <v>3</v>
      </c>
    </row>
    <row r="200" spans="1:13" ht="13.5" x14ac:dyDescent="0.15">
      <c r="A200" s="1">
        <v>42684</v>
      </c>
      <c r="B200">
        <v>11.26</v>
      </c>
      <c r="C200" s="25">
        <f t="shared" si="51"/>
        <v>1.0771992818671361E-2</v>
      </c>
      <c r="D200" s="26">
        <f t="shared" si="52"/>
        <v>11.440029513065756</v>
      </c>
      <c r="E200" s="26"/>
      <c r="F200">
        <v>11.430999999999999</v>
      </c>
      <c r="G200" s="25">
        <f t="shared" si="55"/>
        <v>-1.5736804949685101E-2</v>
      </c>
      <c r="H200" s="25"/>
      <c r="I200" s="25">
        <f t="shared" si="47"/>
        <v>-1.4959321144256799E-2</v>
      </c>
      <c r="J200">
        <v>9891.89</v>
      </c>
      <c r="K200">
        <v>9997.66</v>
      </c>
      <c r="L200" s="25">
        <f t="shared" si="54"/>
        <v>1.0692597673447768E-2</v>
      </c>
      <c r="M200">
        <f t="shared" si="53"/>
        <v>4</v>
      </c>
    </row>
    <row r="201" spans="1:13" ht="13.5" x14ac:dyDescent="0.15">
      <c r="A201" s="1">
        <v>42685</v>
      </c>
      <c r="B201">
        <v>11.38</v>
      </c>
      <c r="C201" s="25">
        <f t="shared" si="51"/>
        <v>1.0657193605683846E-2</v>
      </c>
      <c r="D201" s="26">
        <f t="shared" si="52"/>
        <v>11.500585348971658</v>
      </c>
      <c r="E201" s="26"/>
      <c r="F201">
        <v>11.462999999999999</v>
      </c>
      <c r="G201" s="25">
        <f t="shared" si="55"/>
        <v>-1.0485148826136825E-2</v>
      </c>
      <c r="H201" s="25"/>
      <c r="I201" s="25">
        <f t="shared" ref="I201:I231" si="56">+B201/F201-1</f>
        <v>-7.2406874291196521E-3</v>
      </c>
      <c r="J201">
        <v>9997.66</v>
      </c>
      <c r="K201">
        <v>10058.52</v>
      </c>
      <c r="L201" s="25">
        <f t="shared" si="54"/>
        <v>6.0874244573230207E-3</v>
      </c>
      <c r="M201">
        <f t="shared" si="53"/>
        <v>5</v>
      </c>
    </row>
    <row r="202" spans="1:13" ht="13.5" x14ac:dyDescent="0.15">
      <c r="A202" s="1">
        <v>42688</v>
      </c>
      <c r="B202">
        <v>11.36</v>
      </c>
      <c r="C202" s="25">
        <f t="shared" si="51"/>
        <v>-1.7574692442883233E-3</v>
      </c>
      <c r="D202" s="26">
        <f t="shared" si="52"/>
        <v>11.501211823409406</v>
      </c>
      <c r="E202" s="26"/>
      <c r="F202">
        <v>11.472</v>
      </c>
      <c r="G202" s="25">
        <f t="shared" si="55"/>
        <v>-1.2277995186732116E-2</v>
      </c>
      <c r="H202" s="25"/>
      <c r="I202" s="25">
        <f t="shared" si="56"/>
        <v>-9.7629009762900676E-3</v>
      </c>
      <c r="J202">
        <v>10058.52</v>
      </c>
      <c r="K202">
        <v>10092.049999999999</v>
      </c>
      <c r="L202" s="25">
        <f t="shared" si="54"/>
        <v>3.3334924024606138E-3</v>
      </c>
      <c r="M202">
        <f t="shared" si="53"/>
        <v>1</v>
      </c>
    </row>
    <row r="203" spans="1:13" ht="13.5" x14ac:dyDescent="0.15">
      <c r="A203" s="1">
        <v>42689</v>
      </c>
      <c r="B203">
        <v>11.26</v>
      </c>
      <c r="C203" s="25">
        <f t="shared" si="51"/>
        <v>-8.8028169014083835E-3</v>
      </c>
      <c r="D203" s="26">
        <f t="shared" si="52"/>
        <v>11.451538745844502</v>
      </c>
      <c r="E203" s="26"/>
      <c r="F203">
        <v>11.414</v>
      </c>
      <c r="G203" s="25">
        <f t="shared" si="55"/>
        <v>-1.6726026964193563E-2</v>
      </c>
      <c r="H203" s="25"/>
      <c r="I203" s="25">
        <f t="shared" si="56"/>
        <v>-1.3492202558261779E-2</v>
      </c>
      <c r="J203">
        <v>10092.049999999999</v>
      </c>
      <c r="K203">
        <v>10074.049999999999</v>
      </c>
      <c r="L203" s="25">
        <f t="shared" si="54"/>
        <v>-1.783582126525296E-3</v>
      </c>
      <c r="M203">
        <f t="shared" si="53"/>
        <v>2</v>
      </c>
    </row>
    <row r="204" spans="1:13" ht="13.5" x14ac:dyDescent="0.15">
      <c r="A204" s="1">
        <v>42690</v>
      </c>
      <c r="B204">
        <v>11.2</v>
      </c>
      <c r="C204" s="25">
        <f t="shared" si="51"/>
        <v>-5.3285968028419228E-3</v>
      </c>
      <c r="D204" s="26">
        <f t="shared" si="52"/>
        <v>11.39896495649714</v>
      </c>
      <c r="E204" s="26"/>
      <c r="F204">
        <v>11.388999999999999</v>
      </c>
      <c r="G204" s="25">
        <f t="shared" si="55"/>
        <v>-1.7454651124594989E-2</v>
      </c>
      <c r="H204" s="25"/>
      <c r="I204" s="25">
        <f t="shared" si="56"/>
        <v>-1.6594960049170271E-2</v>
      </c>
      <c r="J204">
        <v>10074.049999999999</v>
      </c>
      <c r="K204">
        <v>10060.780000000001</v>
      </c>
      <c r="L204" s="25">
        <f t="shared" si="54"/>
        <v>-1.3172457948886773E-3</v>
      </c>
      <c r="M204">
        <f t="shared" si="53"/>
        <v>3</v>
      </c>
    </row>
    <row r="205" spans="1:13" ht="13.5" x14ac:dyDescent="0.15">
      <c r="A205" s="1">
        <v>42691</v>
      </c>
      <c r="B205">
        <v>11.16</v>
      </c>
      <c r="C205" s="25">
        <f t="shared" si="51"/>
        <v>-3.5714285714284477E-3</v>
      </c>
      <c r="D205" s="26">
        <f t="shared" si="52"/>
        <v>11.407746244326979</v>
      </c>
      <c r="E205" s="26"/>
      <c r="F205">
        <v>11.39</v>
      </c>
      <c r="G205" s="25">
        <f t="shared" si="55"/>
        <v>-2.1717369848595847E-2</v>
      </c>
      <c r="H205" s="25"/>
      <c r="I205" s="25">
        <f t="shared" si="56"/>
        <v>-2.0193151887620719E-2</v>
      </c>
      <c r="J205">
        <v>10060.780000000001</v>
      </c>
      <c r="K205">
        <v>10077.34</v>
      </c>
      <c r="L205" s="25">
        <f t="shared" si="54"/>
        <v>1.6459956385090901E-3</v>
      </c>
      <c r="M205">
        <f t="shared" si="53"/>
        <v>4</v>
      </c>
    </row>
    <row r="206" spans="1:13" ht="13.5" x14ac:dyDescent="0.15">
      <c r="A206" s="1">
        <v>42692</v>
      </c>
      <c r="B206">
        <v>11.18</v>
      </c>
      <c r="C206" s="25">
        <f t="shared" si="51"/>
        <v>1.7921146953405742E-3</v>
      </c>
      <c r="D206" s="26">
        <f t="shared" si="52"/>
        <v>11.355255851246461</v>
      </c>
      <c r="E206" s="26"/>
      <c r="F206">
        <v>11.339</v>
      </c>
      <c r="G206" s="25">
        <f t="shared" si="55"/>
        <v>-1.5433897178743328E-2</v>
      </c>
      <c r="H206" s="25"/>
      <c r="I206" s="25">
        <f t="shared" si="56"/>
        <v>-1.402240056442372E-2</v>
      </c>
      <c r="J206">
        <v>10077.34</v>
      </c>
      <c r="K206">
        <v>10046.6</v>
      </c>
      <c r="L206" s="25">
        <f t="shared" si="54"/>
        <v>-3.0504081434187258E-3</v>
      </c>
      <c r="M206">
        <f t="shared" si="53"/>
        <v>5</v>
      </c>
    </row>
    <row r="207" spans="1:13" ht="13.5" x14ac:dyDescent="0.15">
      <c r="A207" s="1">
        <v>42695</v>
      </c>
      <c r="B207">
        <v>11.28</v>
      </c>
      <c r="C207" s="25">
        <f t="shared" si="51"/>
        <v>8.9445438282647061E-3</v>
      </c>
      <c r="D207" s="26">
        <f t="shared" si="52"/>
        <v>11.473872543945216</v>
      </c>
      <c r="E207" s="26"/>
      <c r="F207">
        <v>11.436999999999999</v>
      </c>
      <c r="G207" s="25">
        <f t="shared" si="55"/>
        <v>-1.6896870973830302E-2</v>
      </c>
      <c r="H207" s="25"/>
      <c r="I207" s="25">
        <f t="shared" si="56"/>
        <v>-1.3727376060155616E-2</v>
      </c>
      <c r="J207">
        <v>10046.6</v>
      </c>
      <c r="K207">
        <v>10166.1</v>
      </c>
      <c r="L207" s="25">
        <f t="shared" si="54"/>
        <v>1.189457129775251E-2</v>
      </c>
      <c r="M207">
        <f t="shared" si="53"/>
        <v>1</v>
      </c>
    </row>
    <row r="208" spans="1:13" ht="13.5" x14ac:dyDescent="0.15">
      <c r="A208" s="1">
        <v>42696</v>
      </c>
      <c r="B208">
        <v>11.38</v>
      </c>
      <c r="C208" s="25">
        <f t="shared" si="51"/>
        <v>8.8652482269504507E-3</v>
      </c>
      <c r="D208" s="26">
        <f t="shared" si="52"/>
        <v>11.520824757773383</v>
      </c>
      <c r="E208" s="26"/>
      <c r="F208">
        <v>11.554</v>
      </c>
      <c r="G208" s="25">
        <f t="shared" si="55"/>
        <v>-1.2223496210925666E-2</v>
      </c>
      <c r="H208" s="25"/>
      <c r="I208" s="25">
        <f t="shared" si="56"/>
        <v>-1.5059719577635411E-2</v>
      </c>
      <c r="J208">
        <v>10166.1</v>
      </c>
      <c r="K208">
        <v>10240.61</v>
      </c>
      <c r="L208" s="25">
        <f t="shared" si="54"/>
        <v>7.3292609752018123E-3</v>
      </c>
      <c r="M208">
        <f t="shared" si="53"/>
        <v>2</v>
      </c>
    </row>
    <row r="209" spans="1:13" ht="13.5" x14ac:dyDescent="0.15">
      <c r="A209" s="1">
        <v>42697</v>
      </c>
      <c r="B209">
        <v>11.44</v>
      </c>
      <c r="C209" s="25">
        <f t="shared" si="51"/>
        <v>5.2724077328645258E-3</v>
      </c>
      <c r="D209" s="26">
        <f t="shared" ref="D209:D215" si="57">+F208*(1+L209)</f>
        <v>11.632627958686054</v>
      </c>
      <c r="E209" s="26"/>
      <c r="F209">
        <v>11.61</v>
      </c>
      <c r="G209" s="25">
        <f t="shared" si="55"/>
        <v>-1.6559281305151718E-2</v>
      </c>
      <c r="H209" s="25"/>
      <c r="I209" s="25">
        <f t="shared" si="56"/>
        <v>-1.4642549526270421E-2</v>
      </c>
      <c r="J209">
        <v>10240.61</v>
      </c>
      <c r="K209">
        <v>10310.299999999999</v>
      </c>
      <c r="L209" s="25">
        <f t="shared" si="54"/>
        <v>6.805258671114256E-3</v>
      </c>
      <c r="M209">
        <f t="shared" si="53"/>
        <v>3</v>
      </c>
    </row>
    <row r="210" spans="1:13" ht="13.5" x14ac:dyDescent="0.15">
      <c r="A210" s="1">
        <v>42698</v>
      </c>
      <c r="B210">
        <v>11.44</v>
      </c>
      <c r="C210" s="25">
        <f t="shared" si="51"/>
        <v>0</v>
      </c>
      <c r="D210" s="26">
        <f t="shared" si="57"/>
        <v>11.64318494127232</v>
      </c>
      <c r="E210" s="26"/>
      <c r="F210">
        <v>11.612</v>
      </c>
      <c r="G210" s="25">
        <f t="shared" si="55"/>
        <v>-1.7450976025647269E-2</v>
      </c>
      <c r="H210" s="25"/>
      <c r="I210" s="25">
        <f t="shared" si="56"/>
        <v>-1.4812263176024798E-2</v>
      </c>
      <c r="J210">
        <v>10310.299999999999</v>
      </c>
      <c r="K210">
        <v>10339.77</v>
      </c>
      <c r="L210" s="25">
        <f t="shared" si="54"/>
        <v>2.8583067418019859E-3</v>
      </c>
      <c r="M210">
        <f t="shared" si="53"/>
        <v>4</v>
      </c>
    </row>
    <row r="211" spans="1:13" ht="13.5" x14ac:dyDescent="0.15">
      <c r="A211" s="1">
        <v>42699</v>
      </c>
      <c r="B211">
        <v>11.6</v>
      </c>
      <c r="C211" s="25">
        <f t="shared" si="51"/>
        <v>1.3986013986013957E-2</v>
      </c>
      <c r="D211" s="26">
        <f t="shared" si="57"/>
        <v>11.745945265707071</v>
      </c>
      <c r="E211" s="26"/>
      <c r="F211">
        <v>11.731</v>
      </c>
      <c r="G211" s="25">
        <f t="shared" si="55"/>
        <v>-1.2425161398731066E-2</v>
      </c>
      <c r="H211" s="25"/>
      <c r="I211" s="25">
        <f t="shared" si="56"/>
        <v>-1.1166993436194761E-2</v>
      </c>
      <c r="J211">
        <v>10339.77</v>
      </c>
      <c r="K211">
        <v>10459.040000000001</v>
      </c>
      <c r="L211" s="25">
        <f t="shared" si="54"/>
        <v>1.1535072830440196E-2</v>
      </c>
      <c r="M211">
        <f t="shared" si="53"/>
        <v>5</v>
      </c>
    </row>
    <row r="212" spans="1:13" ht="13.5" x14ac:dyDescent="0.15">
      <c r="A212" s="1">
        <v>42702</v>
      </c>
      <c r="B212">
        <v>11.68</v>
      </c>
      <c r="C212" s="25">
        <f t="shared" si="51"/>
        <v>6.8965517241379448E-3</v>
      </c>
      <c r="D212" s="26">
        <f t="shared" si="57"/>
        <v>11.786261894973149</v>
      </c>
      <c r="E212" s="26"/>
      <c r="F212">
        <v>11.804</v>
      </c>
      <c r="G212" s="25">
        <f t="shared" si="55"/>
        <v>-9.0157418798296751E-3</v>
      </c>
      <c r="H212" s="25"/>
      <c r="I212" s="25">
        <f t="shared" si="56"/>
        <v>-1.0504913588614051E-2</v>
      </c>
      <c r="J212">
        <v>10459.040000000001</v>
      </c>
      <c r="K212">
        <v>10508.31</v>
      </c>
      <c r="L212" s="25">
        <f t="shared" si="54"/>
        <v>4.710757392647702E-3</v>
      </c>
      <c r="M212">
        <f t="shared" ref="M212:M217" si="58">WEEKDAY(A212,2)</f>
        <v>1</v>
      </c>
    </row>
    <row r="213" spans="1:13" ht="13.5" x14ac:dyDescent="0.15">
      <c r="A213" s="1">
        <v>42703</v>
      </c>
      <c r="B213">
        <v>11.82</v>
      </c>
      <c r="C213" s="25">
        <f t="shared" si="51"/>
        <v>1.1986301369863117E-2</v>
      </c>
      <c r="D213" s="26">
        <f t="shared" si="57"/>
        <v>11.96754146004448</v>
      </c>
      <c r="E213" s="26"/>
      <c r="F213">
        <v>11.994</v>
      </c>
      <c r="G213" s="25">
        <f t="shared" si="55"/>
        <v>-1.2328468678138305E-2</v>
      </c>
      <c r="H213" s="25"/>
      <c r="I213" s="25">
        <f t="shared" si="56"/>
        <v>-1.4507253626813377E-2</v>
      </c>
      <c r="J213">
        <v>10508.31</v>
      </c>
      <c r="K213">
        <v>10653.9</v>
      </c>
      <c r="L213" s="25">
        <f t="shared" si="54"/>
        <v>1.3854749241314801E-2</v>
      </c>
      <c r="M213">
        <f t="shared" si="58"/>
        <v>2</v>
      </c>
    </row>
    <row r="214" spans="1:13" ht="13.5" x14ac:dyDescent="0.15">
      <c r="A214" s="1">
        <v>42704</v>
      </c>
      <c r="B214">
        <v>11.72</v>
      </c>
      <c r="C214" s="25">
        <f t="shared" si="51"/>
        <v>-8.4602368866327771E-3</v>
      </c>
      <c r="D214" s="26">
        <f t="shared" si="57"/>
        <v>11.862823540675246</v>
      </c>
      <c r="E214" s="26"/>
      <c r="F214">
        <v>11.866</v>
      </c>
      <c r="G214" s="25">
        <f t="shared" si="55"/>
        <v>-1.2039590758939567E-2</v>
      </c>
      <c r="H214" s="25"/>
      <c r="I214" s="25">
        <f t="shared" si="56"/>
        <v>-1.2304062025956464E-2</v>
      </c>
      <c r="J214">
        <v>10653.9</v>
      </c>
      <c r="K214">
        <v>10537.38</v>
      </c>
      <c r="L214" s="25">
        <f t="shared" si="54"/>
        <v>-1.0936840030411399E-2</v>
      </c>
      <c r="M214">
        <f t="shared" si="58"/>
        <v>3</v>
      </c>
    </row>
    <row r="215" spans="1:13" ht="13.5" x14ac:dyDescent="0.15">
      <c r="A215" s="1">
        <v>42705</v>
      </c>
      <c r="B215">
        <v>11.78</v>
      </c>
      <c r="C215" s="25">
        <f t="shared" si="51"/>
        <v>5.1194539249146409E-3</v>
      </c>
      <c r="D215" s="26">
        <f t="shared" si="57"/>
        <v>11.916122104356111</v>
      </c>
      <c r="E215" s="26"/>
      <c r="F215">
        <v>11.898</v>
      </c>
      <c r="G215" s="25">
        <f t="shared" si="55"/>
        <v>-1.142335595120747E-2</v>
      </c>
      <c r="H215" s="25"/>
      <c r="I215" s="25">
        <f t="shared" si="56"/>
        <v>-9.9176332156665215E-3</v>
      </c>
      <c r="J215">
        <v>10537.38</v>
      </c>
      <c r="K215">
        <v>10581.89</v>
      </c>
      <c r="L215" s="25">
        <f t="shared" si="54"/>
        <v>4.2240101429387167E-3</v>
      </c>
      <c r="M215">
        <f t="shared" si="58"/>
        <v>4</v>
      </c>
    </row>
    <row r="216" spans="1:13" ht="13.5" x14ac:dyDescent="0.15">
      <c r="A216" s="1">
        <v>42706</v>
      </c>
      <c r="B216">
        <v>11.7</v>
      </c>
      <c r="C216" s="25">
        <f t="shared" ref="C216:C222" si="59">B216/B215-1</f>
        <v>-6.7911714770797493E-3</v>
      </c>
      <c r="D216" s="26">
        <f t="shared" ref="D216:D222" si="60">+F215*(1+L216)</f>
        <v>11.842635833485321</v>
      </c>
      <c r="E216" s="26"/>
      <c r="F216">
        <v>11.871</v>
      </c>
      <c r="G216" s="25">
        <f t="shared" si="55"/>
        <v>-1.204426408874415E-2</v>
      </c>
      <c r="H216" s="25"/>
      <c r="I216" s="25">
        <f t="shared" si="56"/>
        <v>-1.4404852160727954E-2</v>
      </c>
      <c r="J216">
        <v>10581.89</v>
      </c>
      <c r="K216">
        <v>10532.65</v>
      </c>
      <c r="L216" s="25">
        <f t="shared" si="54"/>
        <v>-4.6532330235903308E-3</v>
      </c>
      <c r="M216">
        <f t="shared" si="58"/>
        <v>5</v>
      </c>
    </row>
    <row r="217" spans="1:13" ht="13.5" x14ac:dyDescent="0.15">
      <c r="A217" s="1">
        <v>42709</v>
      </c>
      <c r="B217">
        <v>11.54</v>
      </c>
      <c r="C217" s="25">
        <f t="shared" si="59"/>
        <v>-1.3675213675213738E-2</v>
      </c>
      <c r="D217" s="26">
        <f t="shared" si="60"/>
        <v>11.686600602887214</v>
      </c>
      <c r="E217" s="26"/>
      <c r="F217">
        <v>11.673</v>
      </c>
      <c r="G217" s="25">
        <f t="shared" si="55"/>
        <v>-1.2544332425546978E-2</v>
      </c>
      <c r="H217" s="25"/>
      <c r="I217" s="25">
        <f t="shared" si="56"/>
        <v>-1.1393814786259004E-2</v>
      </c>
      <c r="J217">
        <v>10532.65</v>
      </c>
      <c r="K217">
        <v>10369.040000000001</v>
      </c>
      <c r="L217" s="25">
        <f t="shared" si="54"/>
        <v>-1.5533602654602463E-2</v>
      </c>
      <c r="M217">
        <f t="shared" si="58"/>
        <v>1</v>
      </c>
    </row>
    <row r="218" spans="1:13" ht="13.5" x14ac:dyDescent="0.15">
      <c r="A218" s="1">
        <v>42710</v>
      </c>
      <c r="B218">
        <v>11.56</v>
      </c>
      <c r="C218" s="25">
        <f t="shared" si="59"/>
        <v>1.7331022530331364E-3</v>
      </c>
      <c r="D218" s="26">
        <f t="shared" si="60"/>
        <v>11.669363810921743</v>
      </c>
      <c r="E218" s="26"/>
      <c r="F218">
        <v>11.709</v>
      </c>
      <c r="G218" s="25">
        <f t="shared" si="55"/>
        <v>-9.3718743106959712E-3</v>
      </c>
      <c r="H218" s="25"/>
      <c r="I218" s="25">
        <f t="shared" si="56"/>
        <v>-1.2725254078059578E-2</v>
      </c>
      <c r="J218">
        <v>10369.040000000001</v>
      </c>
      <c r="K218">
        <v>10365.81</v>
      </c>
      <c r="L218" s="25">
        <f t="shared" si="54"/>
        <v>-3.1150424725923109E-4</v>
      </c>
      <c r="M218">
        <f t="shared" ref="M218:M230" si="61">WEEKDAY(A218,2)</f>
        <v>2</v>
      </c>
    </row>
    <row r="219" spans="1:13" ht="13.5" x14ac:dyDescent="0.15">
      <c r="A219" s="1">
        <v>42711</v>
      </c>
      <c r="B219">
        <v>11.54</v>
      </c>
      <c r="C219" s="25">
        <f t="shared" si="59"/>
        <v>-1.7301038062285112E-3</v>
      </c>
      <c r="D219" s="26">
        <f t="shared" si="60"/>
        <v>11.717099080534949</v>
      </c>
      <c r="E219" s="26"/>
      <c r="F219">
        <v>11.686999999999999</v>
      </c>
      <c r="G219" s="25">
        <f t="shared" si="55"/>
        <v>-1.5114584191675551E-2</v>
      </c>
      <c r="H219" s="25"/>
      <c r="I219" s="25">
        <f t="shared" si="56"/>
        <v>-1.2578078206554322E-2</v>
      </c>
      <c r="J219">
        <v>10365.81</v>
      </c>
      <c r="K219">
        <v>10372.98</v>
      </c>
      <c r="L219" s="25">
        <f t="shared" si="54"/>
        <v>6.9169703091209733E-4</v>
      </c>
      <c r="M219">
        <f t="shared" si="61"/>
        <v>3</v>
      </c>
    </row>
    <row r="220" spans="1:13" ht="13.5" x14ac:dyDescent="0.15">
      <c r="A220" s="1">
        <v>42712</v>
      </c>
      <c r="B220">
        <v>11.56</v>
      </c>
      <c r="C220" s="25">
        <f t="shared" si="59"/>
        <v>1.7331022530331364E-3</v>
      </c>
      <c r="D220" s="26">
        <f t="shared" si="60"/>
        <v>11.707854794861262</v>
      </c>
      <c r="E220" s="26"/>
      <c r="F220">
        <v>11.72</v>
      </c>
      <c r="G220" s="25">
        <f t="shared" si="55"/>
        <v>-1.2628683687310294E-2</v>
      </c>
      <c r="H220" s="25"/>
      <c r="I220" s="25">
        <f t="shared" si="56"/>
        <v>-1.3651877133105783E-2</v>
      </c>
      <c r="J220">
        <v>10372.98</v>
      </c>
      <c r="K220">
        <v>10391.49</v>
      </c>
      <c r="L220" s="25">
        <f t="shared" si="54"/>
        <v>1.7844438146028541E-3</v>
      </c>
      <c r="M220">
        <f t="shared" si="61"/>
        <v>4</v>
      </c>
    </row>
    <row r="221" spans="1:13" ht="13.5" x14ac:dyDescent="0.15">
      <c r="A221" s="1">
        <v>42713</v>
      </c>
      <c r="B221">
        <v>11.68</v>
      </c>
      <c r="C221" s="25">
        <f t="shared" si="59"/>
        <v>1.0380622837370179E-2</v>
      </c>
      <c r="D221" s="26">
        <f t="shared" si="60"/>
        <v>11.900940327133069</v>
      </c>
      <c r="E221" s="26"/>
      <c r="F221">
        <v>11.86</v>
      </c>
      <c r="G221" s="25">
        <f t="shared" si="55"/>
        <v>-1.8564947059632408E-2</v>
      </c>
      <c r="H221" s="25"/>
      <c r="I221" s="25">
        <f t="shared" si="56"/>
        <v>-1.5177065767284947E-2</v>
      </c>
      <c r="J221">
        <v>10391.49</v>
      </c>
      <c r="K221">
        <v>10551.92</v>
      </c>
      <c r="L221" s="25">
        <f t="shared" si="54"/>
        <v>1.5438594465278843E-2</v>
      </c>
      <c r="M221">
        <f t="shared" si="61"/>
        <v>5</v>
      </c>
    </row>
    <row r="222" spans="1:13" ht="13.5" x14ac:dyDescent="0.15">
      <c r="A222" s="1">
        <v>42716</v>
      </c>
      <c r="B222">
        <v>11.28</v>
      </c>
      <c r="C222" s="25">
        <f t="shared" si="59"/>
        <v>-3.4246575342465779E-2</v>
      </c>
      <c r="D222" s="26">
        <f t="shared" si="60"/>
        <v>11.737364062653999</v>
      </c>
      <c r="E222" s="26"/>
      <c r="F222">
        <v>11.423</v>
      </c>
      <c r="G222" s="25">
        <f t="shared" si="55"/>
        <v>-3.896650561511017E-2</v>
      </c>
      <c r="H222" s="25"/>
      <c r="I222" s="25">
        <f t="shared" si="56"/>
        <v>-1.2518602818874291E-2</v>
      </c>
      <c r="J222">
        <v>10551.92</v>
      </c>
      <c r="K222">
        <v>10442.81</v>
      </c>
      <c r="L222" s="25">
        <f t="shared" si="54"/>
        <v>-1.0340298258516012E-2</v>
      </c>
      <c r="M222">
        <f t="shared" si="61"/>
        <v>1</v>
      </c>
    </row>
    <row r="223" spans="1:13" ht="13.5" x14ac:dyDescent="0.15">
      <c r="A223" s="1">
        <v>42717</v>
      </c>
      <c r="B223">
        <v>11.2</v>
      </c>
      <c r="C223" s="25">
        <f t="shared" ref="C223:C248" si="62">B223/B222-1</f>
        <v>-7.0921985815602939E-3</v>
      </c>
      <c r="D223" s="26">
        <f t="shared" ref="D223:D235" si="63">+F222*(1+L223)</f>
        <v>11.342983945891959</v>
      </c>
      <c r="E223" s="26"/>
      <c r="F223">
        <v>11.367000000000001</v>
      </c>
      <c r="G223" s="25">
        <f t="shared" si="55"/>
        <v>-1.2605496628930957E-2</v>
      </c>
      <c r="H223" s="25"/>
      <c r="I223" s="25">
        <f t="shared" si="56"/>
        <v>-1.4691651271223849E-2</v>
      </c>
      <c r="J223">
        <v>10442.81</v>
      </c>
      <c r="K223">
        <v>10369.66</v>
      </c>
      <c r="L223" s="25">
        <f t="shared" si="54"/>
        <v>-7.0048195840007876E-3</v>
      </c>
      <c r="M223">
        <f t="shared" si="61"/>
        <v>2</v>
      </c>
    </row>
    <row r="224" spans="1:13" ht="13.5" x14ac:dyDescent="0.15">
      <c r="A224" s="1">
        <v>42718</v>
      </c>
      <c r="B224">
        <v>11.18</v>
      </c>
      <c r="C224" s="25">
        <f t="shared" si="62"/>
        <v>-1.7857142857142794E-3</v>
      </c>
      <c r="D224" s="26">
        <f t="shared" si="63"/>
        <v>11.32002874443328</v>
      </c>
      <c r="E224" s="26"/>
      <c r="F224">
        <v>11.301</v>
      </c>
      <c r="G224" s="25">
        <f t="shared" si="55"/>
        <v>-1.2369999016313526E-2</v>
      </c>
      <c r="H224" s="25"/>
      <c r="I224" s="25">
        <f t="shared" si="56"/>
        <v>-1.0707017078134706E-2</v>
      </c>
      <c r="J224">
        <v>10369.66</v>
      </c>
      <c r="K224">
        <v>10326.81</v>
      </c>
      <c r="L224" s="25">
        <f t="shared" si="54"/>
        <v>-4.132247344657447E-3</v>
      </c>
      <c r="M224">
        <f t="shared" si="61"/>
        <v>3</v>
      </c>
    </row>
    <row r="225" spans="1:14" ht="13.5" x14ac:dyDescent="0.15">
      <c r="A225" s="1">
        <v>42719</v>
      </c>
      <c r="B225">
        <v>10.9</v>
      </c>
      <c r="C225" s="25">
        <f t="shared" si="62"/>
        <v>-2.5044722719141266E-2</v>
      </c>
      <c r="D225" s="26">
        <f t="shared" si="63"/>
        <v>11.048963474683857</v>
      </c>
      <c r="E225" s="26"/>
      <c r="F225">
        <v>11.012</v>
      </c>
      <c r="G225" s="25">
        <f t="shared" si="55"/>
        <v>-1.3482122103595673E-2</v>
      </c>
      <c r="H225" s="25"/>
      <c r="I225" s="25">
        <f t="shared" si="56"/>
        <v>-1.0170722847802405E-2</v>
      </c>
      <c r="J225">
        <v>10326.81</v>
      </c>
      <c r="K225">
        <v>10096.5</v>
      </c>
      <c r="L225" s="25">
        <f t="shared" si="54"/>
        <v>-2.230214364358396E-2</v>
      </c>
      <c r="M225">
        <f t="shared" si="61"/>
        <v>4</v>
      </c>
    </row>
    <row r="226" spans="1:14" ht="13.5" x14ac:dyDescent="0.15">
      <c r="A226" s="1">
        <v>42720</v>
      </c>
      <c r="B226">
        <v>10.86</v>
      </c>
      <c r="C226" s="25">
        <f t="shared" si="62"/>
        <v>-3.6697247706423131E-3</v>
      </c>
      <c r="D226" s="26">
        <f t="shared" si="63"/>
        <v>10.988757716040212</v>
      </c>
      <c r="E226" s="26"/>
      <c r="F226">
        <v>10.961</v>
      </c>
      <c r="G226" s="25">
        <f t="shared" si="55"/>
        <v>-1.1717222216326206E-2</v>
      </c>
      <c r="H226" s="25"/>
      <c r="I226" s="25">
        <f t="shared" si="56"/>
        <v>-9.214487729221843E-3</v>
      </c>
      <c r="J226">
        <v>10096.5</v>
      </c>
      <c r="K226">
        <v>10075.19</v>
      </c>
      <c r="L226" s="25">
        <f t="shared" si="54"/>
        <v>-2.1106323973654195E-3</v>
      </c>
      <c r="M226">
        <f t="shared" si="61"/>
        <v>5</v>
      </c>
    </row>
    <row r="227" spans="1:14" ht="13.5" x14ac:dyDescent="0.15">
      <c r="A227" s="1">
        <v>42723</v>
      </c>
      <c r="B227">
        <v>10.74</v>
      </c>
      <c r="C227" s="25">
        <f t="shared" si="62"/>
        <v>-1.1049723756906049E-2</v>
      </c>
      <c r="D227" s="26">
        <f t="shared" si="63"/>
        <v>10.901545175822987</v>
      </c>
      <c r="E227" s="26"/>
      <c r="F227">
        <v>10.942</v>
      </c>
      <c r="G227" s="25">
        <f t="shared" si="55"/>
        <v>-1.4818557664766141E-2</v>
      </c>
      <c r="H227" s="25"/>
      <c r="I227" s="25">
        <f t="shared" si="56"/>
        <v>-1.8460976055565737E-2</v>
      </c>
      <c r="J227">
        <v>10075.19</v>
      </c>
      <c r="K227">
        <v>10020.540000000001</v>
      </c>
      <c r="L227" s="25">
        <f t="shared" si="54"/>
        <v>-5.4242153249715042E-3</v>
      </c>
      <c r="M227">
        <f t="shared" si="61"/>
        <v>1</v>
      </c>
    </row>
    <row r="228" spans="1:14" ht="13.5" x14ac:dyDescent="0.15">
      <c r="A228" s="1">
        <v>42724</v>
      </c>
      <c r="B228">
        <v>10.64</v>
      </c>
      <c r="C228" s="25">
        <f t="shared" si="62"/>
        <v>-9.3109869646181842E-3</v>
      </c>
      <c r="D228" s="26">
        <f t="shared" si="63"/>
        <v>10.862407245517705</v>
      </c>
      <c r="E228" s="26"/>
      <c r="F228">
        <v>10.837999999999999</v>
      </c>
      <c r="G228" s="25">
        <f t="shared" si="55"/>
        <v>-2.0474950026337813E-2</v>
      </c>
      <c r="H228" s="25"/>
      <c r="I228" s="25">
        <f t="shared" si="56"/>
        <v>-1.8269053330872698E-2</v>
      </c>
      <c r="J228">
        <v>10020.540000000001</v>
      </c>
      <c r="K228">
        <v>9947.65</v>
      </c>
      <c r="L228" s="25">
        <f t="shared" si="54"/>
        <v>-7.2740590826443352E-3</v>
      </c>
      <c r="M228">
        <f t="shared" si="61"/>
        <v>2</v>
      </c>
    </row>
    <row r="229" spans="1:14" ht="13.5" x14ac:dyDescent="0.15">
      <c r="A229" s="1">
        <v>42725</v>
      </c>
      <c r="B229">
        <v>10.7</v>
      </c>
      <c r="C229" s="25">
        <f t="shared" si="62"/>
        <v>5.639097744360777E-3</v>
      </c>
      <c r="D229" s="26">
        <f t="shared" si="63"/>
        <v>10.910353930827883</v>
      </c>
      <c r="E229" s="26"/>
      <c r="F229">
        <v>10.901</v>
      </c>
      <c r="G229" s="25">
        <f t="shared" si="55"/>
        <v>-1.9280211454324681E-2</v>
      </c>
      <c r="H229" s="25"/>
      <c r="I229" s="25">
        <f t="shared" si="56"/>
        <v>-1.8438675350885281E-2</v>
      </c>
      <c r="J229">
        <v>9947.65</v>
      </c>
      <c r="K229">
        <v>10014.06</v>
      </c>
      <c r="L229" s="25">
        <f t="shared" si="54"/>
        <v>6.6759485908731708E-3</v>
      </c>
      <c r="M229">
        <f t="shared" si="61"/>
        <v>3</v>
      </c>
    </row>
    <row r="230" spans="1:14" ht="13.5" x14ac:dyDescent="0.15">
      <c r="A230" s="1">
        <v>42726</v>
      </c>
      <c r="B230">
        <v>10.66</v>
      </c>
      <c r="C230" s="25">
        <f t="shared" si="62"/>
        <v>-3.7383177570092796E-3</v>
      </c>
      <c r="D230" s="26">
        <f t="shared" si="63"/>
        <v>10.868462658502146</v>
      </c>
      <c r="E230" s="26"/>
      <c r="F230">
        <v>10.875999999999999</v>
      </c>
      <c r="G230" s="25">
        <f t="shared" si="55"/>
        <v>-1.9180510165259679E-2</v>
      </c>
      <c r="H230" s="25"/>
      <c r="I230" s="25">
        <f t="shared" si="56"/>
        <v>-1.9860242736300049E-2</v>
      </c>
      <c r="J230">
        <v>10014.06</v>
      </c>
      <c r="K230">
        <v>9984.17</v>
      </c>
      <c r="L230" s="25">
        <f t="shared" si="54"/>
        <v>-2.9848033664666707E-3</v>
      </c>
      <c r="M230">
        <f t="shared" si="61"/>
        <v>4</v>
      </c>
    </row>
    <row r="231" spans="1:14" ht="13.5" x14ac:dyDescent="0.15">
      <c r="A231" s="1">
        <v>42727</v>
      </c>
      <c r="B231">
        <v>10.58</v>
      </c>
      <c r="C231" s="25">
        <f t="shared" si="62"/>
        <v>-7.5046904315196894E-3</v>
      </c>
      <c r="D231" s="26">
        <f t="shared" si="63"/>
        <v>10.815967332287009</v>
      </c>
      <c r="E231" s="26"/>
      <c r="F231">
        <v>10.81</v>
      </c>
      <c r="G231" s="25">
        <f t="shared" si="55"/>
        <v>-2.1816572206409757E-2</v>
      </c>
      <c r="H231" s="25"/>
      <c r="I231" s="25">
        <f t="shared" si="56"/>
        <v>-2.1276595744680882E-2</v>
      </c>
      <c r="J231">
        <v>9984.17</v>
      </c>
      <c r="K231">
        <v>9929.06</v>
      </c>
      <c r="L231" s="25">
        <f t="shared" si="54"/>
        <v>-5.5197377448501506E-3</v>
      </c>
      <c r="M231">
        <f t="shared" ref="M231:M236" si="64">WEEKDAY(A231,2)</f>
        <v>5</v>
      </c>
    </row>
    <row r="232" spans="1:14" ht="13.5" x14ac:dyDescent="0.15">
      <c r="A232" s="1">
        <v>42730</v>
      </c>
      <c r="B232">
        <v>10.58</v>
      </c>
      <c r="C232" s="25">
        <f t="shared" si="62"/>
        <v>0</v>
      </c>
      <c r="D232" s="26">
        <f t="shared" si="63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4"/>
        <v>6.5696047762831E-3</v>
      </c>
      <c r="M232">
        <f>WEEKDAY(A232,2)</f>
        <v>1</v>
      </c>
    </row>
    <row r="233" spans="1:14" ht="13.5" x14ac:dyDescent="0.15">
      <c r="A233" s="1">
        <v>42731</v>
      </c>
      <c r="B233">
        <v>10.58</v>
      </c>
      <c r="C233" s="25">
        <f t="shared" si="62"/>
        <v>0</v>
      </c>
      <c r="D233" s="26">
        <f t="shared" si="63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4"/>
        <v>-2.732560291926811E-3</v>
      </c>
      <c r="M233">
        <f t="shared" si="64"/>
        <v>2</v>
      </c>
    </row>
    <row r="234" spans="1:14" ht="13.5" x14ac:dyDescent="0.15">
      <c r="A234" s="1">
        <v>42732</v>
      </c>
      <c r="B234">
        <v>10.54</v>
      </c>
      <c r="C234" s="25">
        <f t="shared" si="62"/>
        <v>-3.780718336483968E-3</v>
      </c>
      <c r="D234" s="26">
        <f t="shared" si="63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4"/>
        <v>-4.5670804998104719E-3</v>
      </c>
      <c r="M234">
        <f t="shared" si="64"/>
        <v>3</v>
      </c>
    </row>
    <row r="235" spans="1:14" ht="13.5" x14ac:dyDescent="0.15">
      <c r="A235" s="1">
        <v>42733</v>
      </c>
      <c r="B235">
        <v>10.52</v>
      </c>
      <c r="C235" s="25">
        <f t="shared" si="62"/>
        <v>-1.8975332068310591E-3</v>
      </c>
      <c r="D235" s="26">
        <f t="shared" si="63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4"/>
        <v>-5.8459138070399153E-4</v>
      </c>
      <c r="M235">
        <f t="shared" si="64"/>
        <v>4</v>
      </c>
    </row>
    <row r="236" spans="1:14" ht="13.5" x14ac:dyDescent="0.15">
      <c r="A236" s="1">
        <v>42734</v>
      </c>
      <c r="B236">
        <v>10.54</v>
      </c>
      <c r="C236" s="25">
        <f t="shared" si="62"/>
        <v>1.9011406844104961E-3</v>
      </c>
      <c r="D236" s="26">
        <f t="shared" ref="D236:D248" si="65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4"/>
        <v>5.5104753490942127E-3</v>
      </c>
      <c r="M236">
        <f t="shared" si="64"/>
        <v>5</v>
      </c>
      <c r="N236" s="50" t="s">
        <v>104</v>
      </c>
    </row>
    <row r="237" spans="1:14" ht="13.5" x14ac:dyDescent="0.15">
      <c r="A237" s="1">
        <v>42738</v>
      </c>
      <c r="B237">
        <v>10.68</v>
      </c>
      <c r="C237" s="25">
        <f t="shared" si="62"/>
        <v>1.3282732447817969E-2</v>
      </c>
      <c r="D237" s="26">
        <f t="shared" si="65"/>
        <v>10.963368404160358</v>
      </c>
      <c r="E237" s="26"/>
      <c r="F237">
        <v>10.938000000000001</v>
      </c>
      <c r="G237" s="25">
        <f t="shared" ref="G237:G243" si="66">+B237/D237-1</f>
        <v>-2.5846837733996542E-2</v>
      </c>
      <c r="H237" s="25"/>
      <c r="I237" s="25">
        <f t="shared" ref="I237:I258" si="67">+B237/F237-1</f>
        <v>-2.3587493143170657E-2</v>
      </c>
      <c r="J237">
        <v>9970.2999999999993</v>
      </c>
      <c r="K237">
        <v>10065.200000000001</v>
      </c>
      <c r="L237" s="25">
        <f t="shared" si="54"/>
        <v>9.5182692597015617E-3</v>
      </c>
      <c r="M237">
        <f t="shared" ref="M237:M250" si="68">WEEKDAY(A237,2)</f>
        <v>2</v>
      </c>
      <c r="N237" s="50" t="s">
        <v>105</v>
      </c>
    </row>
    <row r="238" spans="1:14" ht="13.5" x14ac:dyDescent="0.15">
      <c r="A238" s="1">
        <v>42739</v>
      </c>
      <c r="B238">
        <v>10.8</v>
      </c>
      <c r="C238" s="25">
        <f t="shared" si="62"/>
        <v>1.1235955056179803E-2</v>
      </c>
      <c r="D238" s="26">
        <f t="shared" si="65"/>
        <v>11.015841368278823</v>
      </c>
      <c r="E238" s="26">
        <f>D238*(1-VLOOKUP(A238,FX!A:K,9,0))</f>
        <v>11.055169343777951</v>
      </c>
      <c r="F238">
        <v>11.01</v>
      </c>
      <c r="G238" s="25">
        <f t="shared" si="66"/>
        <v>-1.9593725169314569E-2</v>
      </c>
      <c r="H238" s="25">
        <f>(+B238/(D238*(1-VLOOKUP(A238,FX!A:K,9,0)))-1)</f>
        <v>-2.3081450481947097E-2</v>
      </c>
      <c r="I238" s="25">
        <f t="shared" si="67"/>
        <v>-1.9073569482288777E-2</v>
      </c>
      <c r="J238">
        <v>10065.200000000001</v>
      </c>
      <c r="K238">
        <v>10136.83</v>
      </c>
      <c r="L238" s="25">
        <f t="shared" si="54"/>
        <v>7.1165997695028516E-3</v>
      </c>
      <c r="M238">
        <f t="shared" si="68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2"/>
        <v>9.2592592592593004E-3</v>
      </c>
      <c r="D239" s="26">
        <f t="shared" si="65"/>
        <v>11.006600386905966</v>
      </c>
      <c r="E239" s="26">
        <f>D239*(1-VLOOKUP(A239,FX!A:K,9,0))</f>
        <v>11.184882640929851</v>
      </c>
      <c r="F239">
        <v>11.039</v>
      </c>
      <c r="G239" s="25">
        <f t="shared" si="66"/>
        <v>-9.685132843814559E-3</v>
      </c>
      <c r="H239" s="25">
        <f>(+B239/(D239*(1-VLOOKUP(A239,FX!A:K,9,0)))-1)</f>
        <v>-2.5470329021366256E-2</v>
      </c>
      <c r="I239" s="25">
        <f t="shared" si="67"/>
        <v>-1.2591720264516604E-2</v>
      </c>
      <c r="J239">
        <v>10136.83</v>
      </c>
      <c r="K239">
        <v>10133.700000000001</v>
      </c>
      <c r="L239" s="25">
        <f t="shared" si="54"/>
        <v>-3.0877503124737693E-4</v>
      </c>
      <c r="M239">
        <f t="shared" si="68"/>
        <v>4</v>
      </c>
      <c r="N239" s="50" t="s">
        <v>115</v>
      </c>
    </row>
    <row r="240" spans="1:14" ht="13.5" x14ac:dyDescent="0.15">
      <c r="A240" s="1">
        <v>42741</v>
      </c>
      <c r="B240">
        <v>10.86</v>
      </c>
      <c r="C240" s="25">
        <f t="shared" si="62"/>
        <v>-3.6697247706423131E-3</v>
      </c>
      <c r="D240" s="26">
        <f t="shared" si="65"/>
        <v>10.984239100229926</v>
      </c>
      <c r="E240" s="26">
        <f>D240*(1-VLOOKUP(A240,FX!A:K,9,0))</f>
        <v>11.014194816824469</v>
      </c>
      <c r="F240">
        <v>11.086</v>
      </c>
      <c r="G240" s="25">
        <f t="shared" si="66"/>
        <v>-1.1310669687382036E-2</v>
      </c>
      <c r="H240" s="25">
        <f>(+B240/(D240*(1-VLOOKUP(A240,FX!A:K,9,0)))-1)</f>
        <v>-1.399964494807493E-2</v>
      </c>
      <c r="I240" s="25">
        <f t="shared" si="67"/>
        <v>-2.038607252390412E-2</v>
      </c>
      <c r="J240">
        <v>10133.700000000001</v>
      </c>
      <c r="K240">
        <v>10083.43</v>
      </c>
      <c r="L240" s="25">
        <f t="shared" si="54"/>
        <v>-4.9606757650216826E-3</v>
      </c>
      <c r="M240">
        <f t="shared" si="68"/>
        <v>5</v>
      </c>
    </row>
    <row r="241" spans="1:14" ht="13.5" x14ac:dyDescent="0.15">
      <c r="A241" s="1">
        <v>42744</v>
      </c>
      <c r="B241">
        <v>10.86</v>
      </c>
      <c r="C241" s="25">
        <f t="shared" si="62"/>
        <v>0</v>
      </c>
      <c r="D241" s="26">
        <f t="shared" si="65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6"/>
        <v>-2.3952081838697126E-2</v>
      </c>
      <c r="H241" s="25">
        <f>(+B241/(D241*(1-VLOOKUP(A241,FX!A:K,9,0)))-1)</f>
        <v>-1.3130131230603137E-2</v>
      </c>
      <c r="I241" s="25">
        <f t="shared" si="67"/>
        <v>-1.5501767745444761E-2</v>
      </c>
      <c r="J241">
        <v>10083.43</v>
      </c>
      <c r="K241">
        <v>10120.27</v>
      </c>
      <c r="L241" s="25">
        <f t="shared" si="54"/>
        <v>3.6535186935398034E-3</v>
      </c>
      <c r="M241">
        <f t="shared" si="68"/>
        <v>1</v>
      </c>
    </row>
    <row r="242" spans="1:14" ht="13.5" x14ac:dyDescent="0.15">
      <c r="A242" s="1">
        <v>42745</v>
      </c>
      <c r="B242">
        <v>10.86</v>
      </c>
      <c r="C242" s="25">
        <f t="shared" si="62"/>
        <v>0</v>
      </c>
      <c r="D242" s="26">
        <f t="shared" si="65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6"/>
        <v>-1.3114582916363471E-2</v>
      </c>
      <c r="H242" s="25">
        <f>(+B242/(D242*(1-VLOOKUP(A242,FX!A:K,9,0)))-1)</f>
        <v>-1.4561009782627643E-2</v>
      </c>
      <c r="I242" s="25">
        <f t="shared" si="67"/>
        <v>-1.3444767441860406E-2</v>
      </c>
      <c r="J242">
        <v>10120.27</v>
      </c>
      <c r="K242">
        <v>10095.790000000001</v>
      </c>
      <c r="L242" s="25">
        <f t="shared" si="54"/>
        <v>-2.4189077959382299E-3</v>
      </c>
      <c r="M242">
        <f t="shared" si="68"/>
        <v>2</v>
      </c>
    </row>
    <row r="243" spans="1:14" ht="13.5" x14ac:dyDescent="0.15">
      <c r="A243" s="1">
        <v>42746</v>
      </c>
      <c r="B243">
        <v>10.84</v>
      </c>
      <c r="C243" s="25">
        <f t="shared" si="62"/>
        <v>-1.8416206261510082E-3</v>
      </c>
      <c r="D243" s="26">
        <f t="shared" si="65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6"/>
        <v>-1.1755322372430044E-2</v>
      </c>
      <c r="H243" s="25">
        <f>(+B243/(D243*(1-VLOOKUP(A243,FX!A:K,9,0)))-1)</f>
        <v>-8.4008717657289012E-3</v>
      </c>
      <c r="I243" s="25">
        <f t="shared" si="67"/>
        <v>-1.1490060186029494E-2</v>
      </c>
      <c r="J243">
        <v>10095.790000000001</v>
      </c>
      <c r="K243">
        <v>10059.969999999999</v>
      </c>
      <c r="L243" s="25">
        <f t="shared" si="54"/>
        <v>-3.5480135779371036E-3</v>
      </c>
      <c r="M243">
        <f t="shared" si="68"/>
        <v>3</v>
      </c>
      <c r="N243" s="50" t="s">
        <v>120</v>
      </c>
    </row>
    <row r="244" spans="1:14" ht="13.5" x14ac:dyDescent="0.15">
      <c r="A244" s="1">
        <v>42747</v>
      </c>
      <c r="B244">
        <v>10.84</v>
      </c>
      <c r="C244" s="25">
        <f t="shared" si="62"/>
        <v>0</v>
      </c>
      <c r="D244" s="26">
        <f t="shared" si="65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9">+B244/D244-1</f>
        <v>-1.0114449722690599E-2</v>
      </c>
      <c r="H244" s="25">
        <f>(+B244/(D244*(1-VLOOKUP(A244,FX!A:K,9,0)))-1)</f>
        <v>-1.1326082033059515E-2</v>
      </c>
      <c r="I244" s="25">
        <f t="shared" si="67"/>
        <v>-1.11293559569422E-2</v>
      </c>
      <c r="J244">
        <v>10059.969999999999</v>
      </c>
      <c r="K244">
        <v>10045.99</v>
      </c>
      <c r="L244" s="25">
        <f t="shared" si="54"/>
        <v>-1.3896661719666747E-3</v>
      </c>
      <c r="M244">
        <f t="shared" si="68"/>
        <v>4</v>
      </c>
    </row>
    <row r="245" spans="1:14" ht="27" x14ac:dyDescent="0.15">
      <c r="A245" s="1">
        <v>42748</v>
      </c>
      <c r="B245">
        <v>10.9</v>
      </c>
      <c r="C245" s="25">
        <f t="shared" si="62"/>
        <v>5.5350553505535416E-3</v>
      </c>
      <c r="D245" s="26">
        <f t="shared" si="65"/>
        <v>11.023237114510369</v>
      </c>
      <c r="E245" s="26">
        <f>D245*(1-VLOOKUP(A245,FX!A:K,9,0))</f>
        <v>11.069766234451032</v>
      </c>
      <c r="F245">
        <v>11.061</v>
      </c>
      <c r="G245" s="25">
        <f t="shared" si="69"/>
        <v>-1.1179757201098983E-2</v>
      </c>
      <c r="H245" s="25">
        <f>(+B245/(D245*(1-VLOOKUP(A245,FX!A:K,9,0)))-1)</f>
        <v>-1.5336027053822532E-2</v>
      </c>
      <c r="I245" s="25">
        <f t="shared" si="67"/>
        <v>-1.4555645963294395E-2</v>
      </c>
      <c r="J245">
        <v>10045.99</v>
      </c>
      <c r="K245">
        <v>10102.11</v>
      </c>
      <c r="L245" s="25">
        <f t="shared" si="54"/>
        <v>5.5863085669010104E-3</v>
      </c>
      <c r="M245">
        <f t="shared" si="68"/>
        <v>5</v>
      </c>
      <c r="N245" s="50" t="s">
        <v>131</v>
      </c>
    </row>
    <row r="246" spans="1:14" ht="13.5" x14ac:dyDescent="0.15">
      <c r="A246" s="1">
        <v>42751</v>
      </c>
      <c r="B246">
        <v>10.94</v>
      </c>
      <c r="C246" s="25">
        <f t="shared" si="62"/>
        <v>3.669724770642091E-3</v>
      </c>
      <c r="D246" s="26">
        <f t="shared" si="65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9"/>
        <v>-2.094301504336471E-2</v>
      </c>
      <c r="H246" s="25">
        <f>(+B246/(D246*(1-VLOOKUP(A246,FX!A:K,9,0)))-1)</f>
        <v>-2.1991164417403675E-2</v>
      </c>
      <c r="I246" s="25">
        <f t="shared" si="67"/>
        <v>-2.1291823224190543E-2</v>
      </c>
      <c r="J246">
        <v>10102.11</v>
      </c>
      <c r="K246">
        <v>10205.33</v>
      </c>
      <c r="L246" s="25">
        <f t="shared" si="54"/>
        <v>1.021766739819685E-2</v>
      </c>
      <c r="M246">
        <f t="shared" si="68"/>
        <v>1</v>
      </c>
    </row>
    <row r="247" spans="1:14" ht="13.5" x14ac:dyDescent="0.15">
      <c r="A247" s="1">
        <v>42752</v>
      </c>
      <c r="B247">
        <v>10.96</v>
      </c>
      <c r="C247" s="25">
        <f t="shared" si="62"/>
        <v>1.8281535648996261E-3</v>
      </c>
      <c r="D247" s="26">
        <f t="shared" si="65"/>
        <v>11.155951409704539</v>
      </c>
      <c r="E247" s="26">
        <f>D247*(1-VLOOKUP(A247,FX!A:K,9,0))</f>
        <v>11.193202887710433</v>
      </c>
      <c r="F247">
        <v>11.137</v>
      </c>
      <c r="G247" s="25">
        <f t="shared" si="69"/>
        <v>-1.7564742128051924E-2</v>
      </c>
      <c r="H247" s="25">
        <f>(+B247/(D247*(1-VLOOKUP(A247,FX!A:K,9,0)))-1)</f>
        <v>-2.0834330445888449E-2</v>
      </c>
      <c r="I247" s="25">
        <f t="shared" si="67"/>
        <v>-1.5892969381341437E-2</v>
      </c>
      <c r="J247">
        <v>10205.33</v>
      </c>
      <c r="K247">
        <v>10185.200000000001</v>
      </c>
      <c r="L247" s="25">
        <f t="shared" si="54"/>
        <v>-1.9724986845108816E-3</v>
      </c>
      <c r="M247">
        <f t="shared" si="68"/>
        <v>2</v>
      </c>
    </row>
    <row r="248" spans="1:14" ht="13.5" x14ac:dyDescent="0.15">
      <c r="A248" s="1">
        <v>42753</v>
      </c>
      <c r="B248">
        <v>11.04</v>
      </c>
      <c r="C248" s="25">
        <f t="shared" si="62"/>
        <v>7.2992700729925808E-3</v>
      </c>
      <c r="D248" s="26">
        <f t="shared" si="65"/>
        <v>11.209156720535681</v>
      </c>
      <c r="E248" s="26">
        <f>D248*(1-VLOOKUP(A248,FX!A:K,9,0))</f>
        <v>11.223070917643275</v>
      </c>
      <c r="F248">
        <v>11.286</v>
      </c>
      <c r="G248" s="25">
        <f t="shared" si="69"/>
        <v>-1.5090940804296071E-2</v>
      </c>
      <c r="H248" s="25">
        <f>(+B248/(D248*(1-VLOOKUP(A248,FX!A:K,9,0)))-1)</f>
        <v>-1.6312016469171464E-2</v>
      </c>
      <c r="I248" s="25">
        <f t="shared" si="67"/>
        <v>-2.1796916533758703E-2</v>
      </c>
      <c r="J248">
        <v>10185.200000000001</v>
      </c>
      <c r="K248">
        <v>10251.19</v>
      </c>
      <c r="L248" s="25">
        <f t="shared" si="54"/>
        <v>6.4790087578054933E-3</v>
      </c>
      <c r="M248">
        <f t="shared" si="68"/>
        <v>3</v>
      </c>
    </row>
    <row r="249" spans="1:14" ht="13.5" x14ac:dyDescent="0.15">
      <c r="A249" s="1">
        <v>42754</v>
      </c>
      <c r="B249">
        <v>10.96</v>
      </c>
      <c r="C249" s="25">
        <f t="shared" ref="C249:C280" si="70">B249/B248-1</f>
        <v>-7.246376811594013E-3</v>
      </c>
      <c r="D249" s="26">
        <f t="shared" ref="D249:D273" si="71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9"/>
        <v>-2.5971198772376525E-2</v>
      </c>
      <c r="H249" s="25">
        <f>(+B249/(D249*(1-VLOOKUP(A249,FX!A:K,9,0)))-1)</f>
        <v>-2.4778476771594393E-2</v>
      </c>
      <c r="I249" s="25">
        <f t="shared" si="67"/>
        <v>-2.5344597598932705E-2</v>
      </c>
      <c r="J249">
        <v>10251.19</v>
      </c>
      <c r="K249">
        <v>10220.52</v>
      </c>
      <c r="L249" s="25">
        <f t="shared" si="54"/>
        <v>-2.991847775721701E-3</v>
      </c>
      <c r="M249">
        <f t="shared" si="68"/>
        <v>4</v>
      </c>
    </row>
    <row r="250" spans="1:14" ht="27" x14ac:dyDescent="0.15">
      <c r="A250" s="1">
        <v>42755</v>
      </c>
      <c r="B250">
        <v>10.98</v>
      </c>
      <c r="C250" s="25">
        <f t="shared" si="70"/>
        <v>1.8248175182480342E-3</v>
      </c>
      <c r="D250" s="26">
        <f t="shared" si="71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9"/>
        <v>-2.8574036182967388E-2</v>
      </c>
      <c r="H250" s="25">
        <f>(+B250/(D250*(1-VLOOKUP(A250,FX!A:K,9,0)))-1)</f>
        <v>-2.7435785198178353E-2</v>
      </c>
      <c r="I250" s="25">
        <f t="shared" si="67"/>
        <v>-2.694080113434949E-2</v>
      </c>
      <c r="J250">
        <v>10220.52</v>
      </c>
      <c r="K250">
        <v>10273.209999999999</v>
      </c>
      <c r="L250" s="25">
        <f t="shared" si="54"/>
        <v>5.1553149937575427E-3</v>
      </c>
      <c r="M250">
        <f t="shared" si="68"/>
        <v>5</v>
      </c>
      <c r="N250" s="50" t="s">
        <v>137</v>
      </c>
    </row>
    <row r="251" spans="1:14" ht="13.5" x14ac:dyDescent="0.15">
      <c r="A251" s="1">
        <v>42758</v>
      </c>
      <c r="B251">
        <v>11</v>
      </c>
      <c r="C251" s="25">
        <f t="shared" si="70"/>
        <v>1.8214936247722413E-3</v>
      </c>
      <c r="D251" s="26">
        <f t="shared" si="71"/>
        <v>11.282374381522427</v>
      </c>
      <c r="E251" s="26">
        <f>D251*(1-VLOOKUP(A251,FX!A:K,9,0))</f>
        <v>11.318392887572164</v>
      </c>
      <c r="F251">
        <v>11.3</v>
      </c>
      <c r="G251" s="25">
        <f t="shared" si="69"/>
        <v>-2.5027921603530734E-2</v>
      </c>
      <c r="H251" s="25">
        <f>(+B251/(D251*(1-VLOOKUP(A251,FX!A:K,9,0)))-1)</f>
        <v>-2.8130573901685829E-2</v>
      </c>
      <c r="I251" s="25">
        <f t="shared" si="67"/>
        <v>-2.6548672566371723E-2</v>
      </c>
      <c r="J251">
        <v>10273.209999999999</v>
      </c>
      <c r="K251">
        <v>10271.73</v>
      </c>
      <c r="L251" s="25">
        <f t="shared" si="54"/>
        <v>-1.4406402672573204E-4</v>
      </c>
      <c r="M251">
        <f t="shared" ref="M251:M281" si="72">WEEKDAY(A251,2)</f>
        <v>1</v>
      </c>
    </row>
    <row r="252" spans="1:14" ht="13.5" x14ac:dyDescent="0.15">
      <c r="A252" s="1">
        <v>42759</v>
      </c>
      <c r="B252">
        <v>11.04</v>
      </c>
      <c r="C252" s="25">
        <f t="shared" si="70"/>
        <v>3.6363636363636598E-3</v>
      </c>
      <c r="D252" s="26">
        <f t="shared" si="71"/>
        <v>11.34207908502268</v>
      </c>
      <c r="E252" s="26">
        <f>D252*(1-VLOOKUP(A252,FX!A:K,9,0))</f>
        <v>11.346322115937584</v>
      </c>
      <c r="F252">
        <v>11.381</v>
      </c>
      <c r="G252" s="25">
        <f t="shared" si="69"/>
        <v>-2.6633484280812247E-2</v>
      </c>
      <c r="H252" s="25">
        <f>(+B252/(D252*(1-VLOOKUP(A252,FX!A:K,9,0)))-1)</f>
        <v>-2.6997481016981739E-2</v>
      </c>
      <c r="I252" s="25">
        <f t="shared" si="67"/>
        <v>-2.9962217731306695E-2</v>
      </c>
      <c r="J252">
        <v>10271.73</v>
      </c>
      <c r="K252">
        <v>10309.98</v>
      </c>
      <c r="L252" s="25">
        <f t="shared" si="54"/>
        <v>3.7238128338654697E-3</v>
      </c>
      <c r="M252">
        <f t="shared" si="72"/>
        <v>2</v>
      </c>
    </row>
    <row r="253" spans="1:14" ht="13.5" x14ac:dyDescent="0.15">
      <c r="A253" s="1">
        <v>42760</v>
      </c>
      <c r="B253">
        <v>11.06</v>
      </c>
      <c r="C253" s="25">
        <f t="shared" si="70"/>
        <v>1.8115942028986698E-3</v>
      </c>
      <c r="D253" s="26">
        <f t="shared" si="71"/>
        <v>11.404236713359289</v>
      </c>
      <c r="E253" s="26">
        <f>D253*(1-VLOOKUP(A253,FX!A:K,9,0))</f>
        <v>11.383088261482413</v>
      </c>
      <c r="F253">
        <v>11.359</v>
      </c>
      <c r="G253" s="25">
        <f t="shared" si="69"/>
        <v>-3.0184984932489001E-2</v>
      </c>
      <c r="H253" s="25">
        <f>(+B253/(D253*(1-VLOOKUP(A253,FX!A:K,9,0)))-1)</f>
        <v>-2.8383181616509545E-2</v>
      </c>
      <c r="I253" s="25">
        <f t="shared" si="67"/>
        <v>-2.6322739677788531E-2</v>
      </c>
      <c r="J253">
        <v>10309.98</v>
      </c>
      <c r="K253">
        <v>10331.030000000001</v>
      </c>
      <c r="L253" s="25">
        <f t="shared" si="54"/>
        <v>2.0417110411465877E-3</v>
      </c>
      <c r="M253">
        <f t="shared" si="72"/>
        <v>3</v>
      </c>
    </row>
    <row r="254" spans="1:14" ht="13.5" x14ac:dyDescent="0.15">
      <c r="A254" s="1">
        <v>42761</v>
      </c>
      <c r="B254">
        <v>11.14</v>
      </c>
      <c r="C254" s="25">
        <f t="shared" si="70"/>
        <v>7.2332730560578096E-3</v>
      </c>
      <c r="D254" s="26">
        <f t="shared" si="71"/>
        <v>11.392655791339292</v>
      </c>
      <c r="E254" s="26">
        <f>D254*(1-VLOOKUP(A254,FX!A:K,9,0))</f>
        <v>11.397036627284683</v>
      </c>
      <c r="F254">
        <v>11.394</v>
      </c>
      <c r="G254" s="25">
        <f t="shared" si="69"/>
        <v>-2.2177075825582371E-2</v>
      </c>
      <c r="H254" s="25">
        <f>(+B254/(D254*(1-VLOOKUP(A254,FX!A:K,9,0)))-1)</f>
        <v>-2.2552935090980775E-2</v>
      </c>
      <c r="I254" s="25">
        <f t="shared" si="67"/>
        <v>-2.2292434614709422E-2</v>
      </c>
      <c r="J254">
        <v>10331.030000000001</v>
      </c>
      <c r="K254">
        <v>10361.64</v>
      </c>
      <c r="L254" s="25">
        <f t="shared" si="54"/>
        <v>2.9629185086093024E-3</v>
      </c>
      <c r="M254">
        <f t="shared" si="72"/>
        <v>4</v>
      </c>
    </row>
    <row r="255" spans="1:14" ht="13.5" x14ac:dyDescent="0.15">
      <c r="A255" s="1">
        <v>42762</v>
      </c>
      <c r="B255">
        <v>11.14</v>
      </c>
      <c r="C255" s="25">
        <f t="shared" si="70"/>
        <v>0</v>
      </c>
      <c r="D255" s="26">
        <f t="shared" si="71"/>
        <v>11.394</v>
      </c>
      <c r="E255" s="26">
        <f>D255*(1-VLOOKUP(A255,FX!A:K,9,0))</f>
        <v>11.327377113580431</v>
      </c>
      <c r="F255">
        <v>11.394</v>
      </c>
      <c r="G255" s="25">
        <f t="shared" si="69"/>
        <v>-2.2292434614709422E-2</v>
      </c>
      <c r="H255" s="25">
        <f>(+B255/(D255*(1-VLOOKUP(A255,FX!A:K,9,0)))-1)</f>
        <v>-1.6541968339323976E-2</v>
      </c>
      <c r="I255" s="25">
        <f t="shared" si="67"/>
        <v>-2.2292434614709422E-2</v>
      </c>
      <c r="J255">
        <v>10361.64</v>
      </c>
      <c r="K255">
        <v>10361.64</v>
      </c>
      <c r="L255" s="25">
        <f t="shared" si="54"/>
        <v>0</v>
      </c>
      <c r="M255">
        <f t="shared" si="72"/>
        <v>5</v>
      </c>
    </row>
    <row r="256" spans="1:14" ht="27" x14ac:dyDescent="0.15">
      <c r="A256" s="1">
        <v>42767</v>
      </c>
      <c r="B256">
        <v>11.14</v>
      </c>
      <c r="C256" s="25">
        <f t="shared" si="70"/>
        <v>0</v>
      </c>
      <c r="D256" s="26">
        <f t="shared" si="71"/>
        <v>11.394</v>
      </c>
      <c r="E256" s="26">
        <f>D256*(1-VLOOKUP(A256,FX!A:K,9,0))</f>
        <v>11.426297450030166</v>
      </c>
      <c r="F256">
        <v>11.391999999999999</v>
      </c>
      <c r="G256" s="25">
        <f t="shared" si="69"/>
        <v>-2.2292434614709422E-2</v>
      </c>
      <c r="H256" s="25">
        <f>(+B256/(D256*(1-VLOOKUP(A256,FX!A:K,9,0)))-1)</f>
        <v>-2.5056012350650803E-2</v>
      </c>
      <c r="I256" s="25">
        <f t="shared" si="67"/>
        <v>-2.2120786516853785E-2</v>
      </c>
      <c r="J256">
        <v>10361.64</v>
      </c>
      <c r="K256">
        <v>10361.64</v>
      </c>
      <c r="L256" s="25">
        <f t="shared" si="54"/>
        <v>0</v>
      </c>
      <c r="M256">
        <f t="shared" si="72"/>
        <v>3</v>
      </c>
      <c r="N256" s="50" t="s">
        <v>150</v>
      </c>
    </row>
    <row r="257" spans="1:14" ht="13.5" x14ac:dyDescent="0.15">
      <c r="A257" s="1">
        <v>42768</v>
      </c>
      <c r="B257">
        <v>11.14</v>
      </c>
      <c r="C257" s="25">
        <f t="shared" si="70"/>
        <v>0</v>
      </c>
      <c r="D257" s="26">
        <f t="shared" si="71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9"/>
        <v>-2.2120786516853785E-2</v>
      </c>
      <c r="H257" s="25">
        <f>(+B257/(D257*(1-VLOOKUP(A257,FX!A:K,9,0)))-1)</f>
        <v>-2.4978288120692582E-2</v>
      </c>
      <c r="I257" s="25">
        <f t="shared" si="67"/>
        <v>-2.2120786516853785E-2</v>
      </c>
      <c r="J257">
        <v>10361.64</v>
      </c>
      <c r="K257">
        <v>10361.64</v>
      </c>
      <c r="L257" s="25">
        <f t="shared" si="54"/>
        <v>0</v>
      </c>
      <c r="M257">
        <f t="shared" si="72"/>
        <v>4</v>
      </c>
      <c r="N257" s="50" t="s">
        <v>152</v>
      </c>
    </row>
    <row r="258" spans="1:14" ht="13.5" x14ac:dyDescent="0.15">
      <c r="A258" s="1">
        <v>42769</v>
      </c>
      <c r="B258">
        <v>11.04</v>
      </c>
      <c r="C258" s="25">
        <f t="shared" si="70"/>
        <v>-8.9766606822263562E-3</v>
      </c>
      <c r="D258" s="26">
        <f t="shared" si="71"/>
        <v>11.273425411421359</v>
      </c>
      <c r="E258" s="26">
        <f>D258*(1-VLOOKUP(A258,FX!A:K,9,0))</f>
        <v>11.262181252958415</v>
      </c>
      <c r="F258">
        <v>11.279</v>
      </c>
      <c r="G258" s="25">
        <f t="shared" si="69"/>
        <v>-2.0705810603480868E-2</v>
      </c>
      <c r="H258" s="25">
        <f>(+B258/(D258*(1-VLOOKUP(A258,FX!A:K,9,0)))-1)</f>
        <v>-1.9728083571737276E-2</v>
      </c>
      <c r="I258" s="25">
        <f t="shared" si="67"/>
        <v>-2.1189821792712227E-2</v>
      </c>
      <c r="J258">
        <v>10361.64</v>
      </c>
      <c r="K258">
        <v>10253.790000000001</v>
      </c>
      <c r="L258" s="25">
        <f t="shared" si="54"/>
        <v>-1.0408583969332863E-2</v>
      </c>
      <c r="M258">
        <f t="shared" si="72"/>
        <v>5</v>
      </c>
    </row>
    <row r="259" spans="1:14" ht="13.5" x14ac:dyDescent="0.15">
      <c r="A259" s="1">
        <v>42772</v>
      </c>
      <c r="B259">
        <v>11.1</v>
      </c>
      <c r="C259" s="25">
        <f t="shared" si="70"/>
        <v>5.4347826086957873E-3</v>
      </c>
      <c r="D259" s="26">
        <f t="shared" si="71"/>
        <v>11.298513707614454</v>
      </c>
      <c r="E259" s="26">
        <f>D259*(1-VLOOKUP(A259,FX!A:K,9,0))</f>
        <v>11.326541711339585</v>
      </c>
      <c r="F259">
        <v>11.286</v>
      </c>
      <c r="G259" s="25">
        <f t="shared" si="69"/>
        <v>-1.7569895718289819E-2</v>
      </c>
      <c r="H259" s="25">
        <f>(+B259/(D259*(1-VLOOKUP(A259,FX!A:K,9,0)))-1)</f>
        <v>-2.0000960320729066E-2</v>
      </c>
      <c r="I259" s="25">
        <f t="shared" ref="I259:I270" si="73">+B259/F259-1</f>
        <v>-1.6480595427963873E-2</v>
      </c>
      <c r="J259">
        <v>10253.790000000001</v>
      </c>
      <c r="K259">
        <v>10271.530000000001</v>
      </c>
      <c r="L259" s="25">
        <f t="shared" si="54"/>
        <v>1.7300919952525362E-3</v>
      </c>
      <c r="M259">
        <f t="shared" si="72"/>
        <v>1</v>
      </c>
      <c r="N259" s="50" t="s">
        <v>167</v>
      </c>
    </row>
    <row r="260" spans="1:14" ht="13.5" x14ac:dyDescent="0.15">
      <c r="A260" s="1">
        <v>42773</v>
      </c>
      <c r="B260">
        <v>11</v>
      </c>
      <c r="C260" s="25">
        <f t="shared" si="70"/>
        <v>-9.009009009009028E-3</v>
      </c>
      <c r="D260" s="26">
        <f t="shared" si="71"/>
        <v>11.254871981097265</v>
      </c>
      <c r="E260" s="26">
        <f>D260*(1-VLOOKUP(A260,FX!A:K,9,0))</f>
        <v>11.23338911146902</v>
      </c>
      <c r="F260">
        <v>11.253</v>
      </c>
      <c r="G260" s="25">
        <f t="shared" si="69"/>
        <v>-2.264548024405133E-2</v>
      </c>
      <c r="H260" s="25">
        <f>(+B260/(D260*(1-VLOOKUP(A260,FX!A:K,9,0)))-1)</f>
        <v>-2.0776375602509445E-2</v>
      </c>
      <c r="I260" s="25">
        <f t="shared" si="73"/>
        <v>-2.2482893450635366E-2</v>
      </c>
      <c r="J260">
        <v>10271.530000000001</v>
      </c>
      <c r="K260">
        <v>10243.200000000001</v>
      </c>
      <c r="L260" s="25">
        <f t="shared" si="54"/>
        <v>-2.758109064569747E-3</v>
      </c>
      <c r="M260">
        <f t="shared" si="72"/>
        <v>2</v>
      </c>
    </row>
    <row r="261" spans="1:14" ht="13.5" x14ac:dyDescent="0.15">
      <c r="A261" s="1">
        <v>42774</v>
      </c>
      <c r="B261">
        <v>11.04</v>
      </c>
      <c r="C261" s="25">
        <f t="shared" si="70"/>
        <v>3.6363636363636598E-3</v>
      </c>
      <c r="D261" s="26">
        <f t="shared" si="71"/>
        <v>11.294229800257732</v>
      </c>
      <c r="E261" s="26">
        <f>D261*(1-VLOOKUP(A261,FX!A:K,9,0))</f>
        <v>11.251071825588989</v>
      </c>
      <c r="F261">
        <v>11.253</v>
      </c>
      <c r="G261" s="25">
        <f t="shared" si="69"/>
        <v>-2.2509706704562649E-2</v>
      </c>
      <c r="H261" s="25">
        <f>(+B261/(D261*(1-VLOOKUP(A261,FX!A:K,9,0)))-1)</f>
        <v>-1.8760152709090039E-2</v>
      </c>
      <c r="I261" s="25">
        <f t="shared" si="73"/>
        <v>-1.8928285790455912E-2</v>
      </c>
      <c r="J261">
        <v>10243.200000000001</v>
      </c>
      <c r="K261">
        <v>10280.73</v>
      </c>
      <c r="L261" s="25">
        <f t="shared" si="54"/>
        <v>3.6638940955950883E-3</v>
      </c>
      <c r="M261">
        <f t="shared" si="72"/>
        <v>3</v>
      </c>
      <c r="N261" s="50" t="s">
        <v>178</v>
      </c>
    </row>
    <row r="262" spans="1:14" ht="13.5" x14ac:dyDescent="0.15">
      <c r="A262" s="1">
        <v>42775</v>
      </c>
      <c r="B262">
        <v>11.1</v>
      </c>
      <c r="C262" s="25">
        <f t="shared" si="70"/>
        <v>5.4347826086957873E-3</v>
      </c>
      <c r="D262" s="26">
        <f t="shared" si="71"/>
        <v>11.295940062622012</v>
      </c>
      <c r="E262" s="26">
        <f>D262*(1-VLOOKUP(A262,FX!A:K,9,0))</f>
        <v>11.284061580981339</v>
      </c>
      <c r="F262">
        <v>11.318</v>
      </c>
      <c r="G262" s="25">
        <f t="shared" si="69"/>
        <v>-1.7346060755967896E-2</v>
      </c>
      <c r="H262" s="25">
        <f>(+B262/(D262*(1-VLOOKUP(A262,FX!A:K,9,0)))-1)</f>
        <v>-1.631164272371266E-2</v>
      </c>
      <c r="I262" s="25">
        <f t="shared" si="73"/>
        <v>-1.9261353596041753E-2</v>
      </c>
      <c r="J262">
        <v>10280.73</v>
      </c>
      <c r="K262">
        <v>10319.959999999999</v>
      </c>
      <c r="L262" s="25">
        <f t="shared" si="54"/>
        <v>3.8158768881197958E-3</v>
      </c>
      <c r="M262">
        <f t="shared" si="72"/>
        <v>4</v>
      </c>
    </row>
    <row r="263" spans="1:14" ht="54" x14ac:dyDescent="0.15">
      <c r="A263" s="1">
        <v>42776</v>
      </c>
      <c r="B263">
        <v>11.24</v>
      </c>
      <c r="C263" s="25">
        <f t="shared" si="70"/>
        <v>1.2612612612612706E-2</v>
      </c>
      <c r="D263" s="26">
        <f t="shared" si="71"/>
        <v>11.387728801274426</v>
      </c>
      <c r="E263" s="26">
        <f>D263*(1-VLOOKUP(A263,FX!A:K,9,0))</f>
        <v>11.360996836370443</v>
      </c>
      <c r="F263">
        <v>11.368</v>
      </c>
      <c r="G263" s="25">
        <f t="shared" si="69"/>
        <v>-1.2972630789898409E-2</v>
      </c>
      <c r="H263" s="25">
        <f>(+B263/(D263*(1-VLOOKUP(A263,FX!A:K,9,0)))-1)</f>
        <v>-1.0650195410942365E-2</v>
      </c>
      <c r="I263" s="25">
        <f t="shared" si="73"/>
        <v>-1.1259676284306797E-2</v>
      </c>
      <c r="J263">
        <v>10319.959999999999</v>
      </c>
      <c r="K263">
        <v>10383.540000000001</v>
      </c>
      <c r="L263" s="25">
        <f t="shared" si="54"/>
        <v>6.1608765925451614E-3</v>
      </c>
      <c r="M263">
        <f t="shared" si="72"/>
        <v>5</v>
      </c>
      <c r="N263" s="50" t="s">
        <v>187</v>
      </c>
    </row>
    <row r="264" spans="1:14" ht="13.5" x14ac:dyDescent="0.15">
      <c r="A264" s="1">
        <v>42779</v>
      </c>
      <c r="B264">
        <v>11.34</v>
      </c>
      <c r="C264" s="25">
        <f t="shared" si="70"/>
        <v>8.8967971530249379E-3</v>
      </c>
      <c r="D264" s="26">
        <f t="shared" si="71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9"/>
        <v>-8.9522990102766098E-3</v>
      </c>
      <c r="H264" s="25">
        <f>(+B264/(D264*(1-VLOOKUP(A264,FX!A:K,9,0)))-1)</f>
        <v>-6.9440962961675456E-3</v>
      </c>
      <c r="I264" s="25">
        <f t="shared" si="73"/>
        <v>-7.700385019251077E-3</v>
      </c>
      <c r="J264">
        <v>10383.540000000001</v>
      </c>
      <c r="K264">
        <v>10451.530000000001</v>
      </c>
      <c r="L264" s="25">
        <f t="shared" si="54"/>
        <v>6.5478632528019887E-3</v>
      </c>
      <c r="M264">
        <f t="shared" si="72"/>
        <v>1</v>
      </c>
    </row>
    <row r="265" spans="1:14" ht="27" x14ac:dyDescent="0.15">
      <c r="A265" s="1">
        <v>42780</v>
      </c>
      <c r="B265">
        <v>11.32</v>
      </c>
      <c r="C265" s="25">
        <f t="shared" si="70"/>
        <v>-1.7636684303350414E-3</v>
      </c>
      <c r="D265" s="26">
        <f t="shared" si="71"/>
        <v>11.39727466122185</v>
      </c>
      <c r="E265" s="26">
        <f>D265*(1-VLOOKUP(A265,FX!A:K,9,0))</f>
        <v>11.42629964239355</v>
      </c>
      <c r="F265">
        <v>11.413</v>
      </c>
      <c r="G265" s="25">
        <f t="shared" si="69"/>
        <v>-6.7800999378184734E-3</v>
      </c>
      <c r="H265" s="25">
        <f>(+B265/(D265*(1-VLOOKUP(A265,FX!A:K,9,0)))-1)</f>
        <v>-9.3030679852958986E-3</v>
      </c>
      <c r="I265" s="25">
        <f t="shared" si="73"/>
        <v>-8.1486024708665727E-3</v>
      </c>
      <c r="J265">
        <v>10451.530000000001</v>
      </c>
      <c r="K265">
        <v>10423.43</v>
      </c>
      <c r="L265" s="25">
        <f t="shared" si="54"/>
        <v>-2.68860157316686E-3</v>
      </c>
      <c r="M265">
        <f t="shared" si="72"/>
        <v>2</v>
      </c>
      <c r="N265" s="50" t="s">
        <v>193</v>
      </c>
    </row>
    <row r="266" spans="1:14" ht="13.5" x14ac:dyDescent="0.15">
      <c r="A266" s="1">
        <v>42781</v>
      </c>
      <c r="B266">
        <v>11.34</v>
      </c>
      <c r="C266" s="25">
        <f t="shared" si="70"/>
        <v>1.7667844522968323E-3</v>
      </c>
      <c r="D266" s="26">
        <f t="shared" si="71"/>
        <v>11.435172475854877</v>
      </c>
      <c r="E266" s="26">
        <f>D266*(1-VLOOKUP(A266,FX!A:K,9,0))</f>
        <v>11.453348560058304</v>
      </c>
      <c r="F266">
        <v>11.464</v>
      </c>
      <c r="G266" s="25">
        <f t="shared" si="69"/>
        <v>-8.3227844665947348E-3</v>
      </c>
      <c r="H266" s="25">
        <f>(+B266/(D266*(1-VLOOKUP(A266,FX!A:K,9,0)))-1)</f>
        <v>-9.8965433090536514E-3</v>
      </c>
      <c r="I266" s="25">
        <f t="shared" si="73"/>
        <v>-1.0816468946266644E-2</v>
      </c>
      <c r="J266">
        <v>10423.43</v>
      </c>
      <c r="K266">
        <v>10443.68</v>
      </c>
      <c r="L266" s="25">
        <f t="shared" si="54"/>
        <v>1.9427386186696705E-3</v>
      </c>
      <c r="M266">
        <f t="shared" si="72"/>
        <v>3</v>
      </c>
    </row>
    <row r="267" spans="1:14" ht="13.5" x14ac:dyDescent="0.15">
      <c r="A267" s="1">
        <v>42782</v>
      </c>
      <c r="B267">
        <v>11.38</v>
      </c>
      <c r="C267" s="25">
        <f t="shared" si="70"/>
        <v>3.5273368606703048E-3</v>
      </c>
      <c r="D267" s="26">
        <f t="shared" si="71"/>
        <v>11.494746503148317</v>
      </c>
      <c r="E267" s="26">
        <f>D267*(1-VLOOKUP(A267,FX!A:K,9,0))</f>
        <v>11.504060683243887</v>
      </c>
      <c r="F267">
        <v>11.496</v>
      </c>
      <c r="G267" s="25">
        <f t="shared" si="69"/>
        <v>-9.9825170669826102E-3</v>
      </c>
      <c r="H267" s="25">
        <f>(+B267/(D267*(1-VLOOKUP(A267,FX!A:K,9,0)))-1)</f>
        <v>-1.0784077610489828E-2</v>
      </c>
      <c r="I267" s="25">
        <f t="shared" si="73"/>
        <v>-1.0090466249130126E-2</v>
      </c>
      <c r="J267">
        <v>10443.68</v>
      </c>
      <c r="K267">
        <v>10471.69</v>
      </c>
      <c r="L267" s="25">
        <f t="shared" si="54"/>
        <v>2.6820048105649086E-3</v>
      </c>
      <c r="M267">
        <f t="shared" si="72"/>
        <v>4</v>
      </c>
    </row>
    <row r="268" spans="1:14" ht="13.5" x14ac:dyDescent="0.15">
      <c r="A268" s="1">
        <v>42783</v>
      </c>
      <c r="B268">
        <v>11.32</v>
      </c>
      <c r="C268" s="25">
        <f t="shared" si="70"/>
        <v>-5.2724077328647478E-3</v>
      </c>
      <c r="D268" s="26">
        <f t="shared" si="71"/>
        <v>11.432996278537656</v>
      </c>
      <c r="E268" s="26">
        <f>D268*(1-VLOOKUP(A268,FX!A:K,9,0))</f>
        <v>11.423773848131088</v>
      </c>
      <c r="F268">
        <v>11.459</v>
      </c>
      <c r="G268" s="25">
        <f t="shared" si="69"/>
        <v>-9.8833477930694302E-3</v>
      </c>
      <c r="H268" s="25">
        <f>(+B268/(D268*(1-VLOOKUP(A268,FX!A:K,9,0)))-1)</f>
        <v>-9.0840250788108978E-3</v>
      </c>
      <c r="I268" s="25">
        <f t="shared" si="73"/>
        <v>-1.2130203333624134E-2</v>
      </c>
      <c r="J268">
        <v>10471.69</v>
      </c>
      <c r="K268">
        <v>10414.299999999999</v>
      </c>
      <c r="L268" s="25">
        <f t="shared" si="54"/>
        <v>-5.4804907326325702E-3</v>
      </c>
      <c r="M268">
        <f t="shared" si="72"/>
        <v>5</v>
      </c>
    </row>
    <row r="269" spans="1:14" ht="13.5" x14ac:dyDescent="0.15">
      <c r="A269" s="1">
        <v>42786</v>
      </c>
      <c r="B269">
        <v>11.5</v>
      </c>
      <c r="C269" s="25">
        <f t="shared" si="70"/>
        <v>1.5901060070671269E-2</v>
      </c>
      <c r="D269" s="26">
        <f t="shared" si="71"/>
        <v>11.634698138136985</v>
      </c>
      <c r="E269" s="26">
        <f>D269*(1-VLOOKUP(A269,FX!A:K,9,0))</f>
        <v>11.641407099892151</v>
      </c>
      <c r="F269">
        <v>11.587</v>
      </c>
      <c r="G269" s="25">
        <f t="shared" si="69"/>
        <v>-1.1577278287561388E-2</v>
      </c>
      <c r="H269" s="25">
        <f>(+B269/(D269*(1-VLOOKUP(A269,FX!A:K,9,0)))-1)</f>
        <v>-1.2146907902006121E-2</v>
      </c>
      <c r="I269" s="25">
        <f t="shared" si="73"/>
        <v>-7.5084146025717891E-3</v>
      </c>
      <c r="J269">
        <v>10414.299999999999</v>
      </c>
      <c r="K269">
        <v>10573.98</v>
      </c>
      <c r="L269" s="25">
        <f t="shared" si="54"/>
        <v>1.5332763603890909E-2</v>
      </c>
      <c r="M269">
        <f t="shared" si="72"/>
        <v>1</v>
      </c>
    </row>
    <row r="270" spans="1:14" ht="13.5" x14ac:dyDescent="0.15">
      <c r="A270" s="1">
        <v>42787</v>
      </c>
      <c r="B270">
        <v>11.44</v>
      </c>
      <c r="C270" s="25">
        <f t="shared" si="70"/>
        <v>-5.2173913043478404E-3</v>
      </c>
      <c r="D270" s="26">
        <f t="shared" si="71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9"/>
        <v>-1.3255872213357445E-2</v>
      </c>
      <c r="H270" s="25">
        <f>(+B270/(D270*(1-VLOOKUP(A270,FX!A:K,9,0)))-1)</f>
        <v>-1.0926075640295685E-2</v>
      </c>
      <c r="I270" s="25">
        <f t="shared" si="73"/>
        <v>-1.2516184721622858E-2</v>
      </c>
      <c r="J270">
        <v>10573.98</v>
      </c>
      <c r="K270">
        <v>10580.08</v>
      </c>
      <c r="L270" s="25">
        <f t="shared" si="54"/>
        <v>5.7688779437836679E-4</v>
      </c>
      <c r="M270">
        <f t="shared" si="72"/>
        <v>2</v>
      </c>
    </row>
    <row r="271" spans="1:14" ht="13.5" x14ac:dyDescent="0.15">
      <c r="A271" s="1">
        <v>42788</v>
      </c>
      <c r="B271">
        <v>11.46</v>
      </c>
      <c r="C271" s="25">
        <f t="shared" si="70"/>
        <v>1.7482517482518833E-3</v>
      </c>
      <c r="D271" s="26">
        <f t="shared" si="71"/>
        <v>11.593486112581381</v>
      </c>
      <c r="E271" s="26">
        <f>D271*(1-VLOOKUP(A271,FX!A:K,9,0))</f>
        <v>11.59601982947439</v>
      </c>
      <c r="F271">
        <v>11.586</v>
      </c>
      <c r="G271" s="25">
        <f t="shared" si="69"/>
        <v>-1.1513889030886015E-2</v>
      </c>
      <c r="H271" s="25">
        <f>(+B271/(D271*(1-VLOOKUP(A271,FX!A:K,9,0)))-1)</f>
        <v>-1.1729872100482153E-2</v>
      </c>
      <c r="I271" s="25">
        <f t="shared" ref="I271:I340" si="74">+B271/F271-1</f>
        <v>-1.0875194199896354E-2</v>
      </c>
      <c r="J271">
        <v>10580.08</v>
      </c>
      <c r="K271">
        <v>10587.83</v>
      </c>
      <c r="L271" s="25">
        <f t="shared" si="54"/>
        <v>7.3250863887608375E-4</v>
      </c>
      <c r="M271">
        <f t="shared" si="72"/>
        <v>3</v>
      </c>
    </row>
    <row r="272" spans="1:14" ht="13.5" x14ac:dyDescent="0.15">
      <c r="A272" s="1">
        <v>42789</v>
      </c>
      <c r="B272">
        <v>11.4</v>
      </c>
      <c r="C272" s="25">
        <f t="shared" si="70"/>
        <v>-5.2356020942408987E-3</v>
      </c>
      <c r="D272" s="26">
        <f t="shared" si="71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9"/>
        <v>-1.1747217045437908E-2</v>
      </c>
      <c r="H272" s="25">
        <f>(+B272/(D272*(1-VLOOKUP(A272,FX!A:K,9,0)))-1)</f>
        <v>-1.1534791383166598E-2</v>
      </c>
      <c r="I272" s="25">
        <f t="shared" si="74"/>
        <v>-1.3499480789200269E-2</v>
      </c>
      <c r="J272">
        <v>10587.83</v>
      </c>
      <c r="K272">
        <v>10541.69</v>
      </c>
      <c r="L272" s="25">
        <f t="shared" si="54"/>
        <v>-4.3578334748479719E-3</v>
      </c>
      <c r="M272">
        <f t="shared" si="72"/>
        <v>4</v>
      </c>
    </row>
    <row r="273" spans="1:14" ht="40.5" x14ac:dyDescent="0.15">
      <c r="A273" s="1">
        <v>42790</v>
      </c>
      <c r="B273">
        <v>11.38</v>
      </c>
      <c r="C273" s="25">
        <f t="shared" si="70"/>
        <v>-1.7543859649122862E-3</v>
      </c>
      <c r="D273" s="26">
        <f t="shared" si="71"/>
        <v>11.54182588939724</v>
      </c>
      <c r="E273" s="26">
        <f>D273*(1-VLOOKUP(A273,FX!A:K,9,0))</f>
        <v>11.55318119481201</v>
      </c>
      <c r="F273">
        <v>11.548</v>
      </c>
      <c r="G273" s="25">
        <f t="shared" si="69"/>
        <v>-1.4020822263997146E-2</v>
      </c>
      <c r="H273" s="25">
        <f>(+B273/(D273*(1-VLOOKUP(A273,FX!A:K,9,0)))-1)</f>
        <v>-1.4989914196946619E-2</v>
      </c>
      <c r="I273" s="25">
        <f t="shared" si="74"/>
        <v>-1.4547973675095194E-2</v>
      </c>
      <c r="J273">
        <v>10541.69</v>
      </c>
      <c r="K273">
        <v>10528.76</v>
      </c>
      <c r="L273" s="25">
        <f t="shared" ref="L273:L281" si="75">+K273/J273-1</f>
        <v>-1.2265585499099396E-3</v>
      </c>
      <c r="M273">
        <f t="shared" si="72"/>
        <v>5</v>
      </c>
      <c r="N273" s="50" t="s">
        <v>207</v>
      </c>
    </row>
    <row r="274" spans="1:14" ht="13.5" x14ac:dyDescent="0.15">
      <c r="A274" s="1">
        <v>42793</v>
      </c>
      <c r="B274">
        <v>11.3</v>
      </c>
      <c r="C274" s="25">
        <f t="shared" si="70"/>
        <v>-7.0298769771529601E-3</v>
      </c>
      <c r="D274" s="26">
        <f t="shared" ref="D274:D279" si="76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9"/>
        <v>-1.2564164877613915E-2</v>
      </c>
      <c r="H274" s="25">
        <f>(+B274/(D274*(1-VLOOKUP(A274,FX!A:K,9,0)))-1)</f>
        <v>-1.2171704445465892E-2</v>
      </c>
      <c r="I274" s="25">
        <f t="shared" si="74"/>
        <v>-1.0334559467507276E-2</v>
      </c>
      <c r="J274">
        <v>10528.76</v>
      </c>
      <c r="K274">
        <v>10433.74</v>
      </c>
      <c r="L274" s="25">
        <f t="shared" si="75"/>
        <v>-9.0248044404089844E-3</v>
      </c>
      <c r="M274">
        <f t="shared" si="72"/>
        <v>1</v>
      </c>
    </row>
    <row r="275" spans="1:14" ht="13.5" x14ac:dyDescent="0.15">
      <c r="A275" s="1">
        <v>42794</v>
      </c>
      <c r="B275">
        <v>11.28</v>
      </c>
      <c r="C275" s="25">
        <f t="shared" si="70"/>
        <v>-1.7699115044248481E-3</v>
      </c>
      <c r="D275" s="26">
        <f t="shared" si="76"/>
        <v>11.424894306356109</v>
      </c>
      <c r="E275" s="26">
        <f>D275*(1-VLOOKUP(A275,FX!A:K,9,0))</f>
        <v>11.434390928794839</v>
      </c>
      <c r="F275">
        <v>11.435</v>
      </c>
      <c r="G275" s="25">
        <f t="shared" si="69"/>
        <v>-1.2682332323678436E-2</v>
      </c>
      <c r="H275" s="25">
        <f>(+B275/(D275*(1-VLOOKUP(A275,FX!A:K,9,0)))-1)</f>
        <v>-1.350233079805252E-2</v>
      </c>
      <c r="I275" s="25">
        <f t="shared" si="74"/>
        <v>-1.3554875382597364E-2</v>
      </c>
      <c r="J275">
        <v>10433.74</v>
      </c>
      <c r="K275">
        <v>10440.040000000001</v>
      </c>
      <c r="L275" s="25">
        <f t="shared" si="75"/>
        <v>6.0381033071554846E-4</v>
      </c>
      <c r="M275">
        <f t="shared" si="72"/>
        <v>2</v>
      </c>
    </row>
    <row r="276" spans="1:14" ht="13.5" x14ac:dyDescent="0.15">
      <c r="A276" s="1">
        <v>42795</v>
      </c>
      <c r="B276">
        <v>11.28</v>
      </c>
      <c r="C276" s="25">
        <f t="shared" si="70"/>
        <v>0</v>
      </c>
      <c r="D276" s="26">
        <f t="shared" si="76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7">+B276/D276-1</f>
        <v>-1.4305473223972243E-2</v>
      </c>
      <c r="H276" s="25">
        <f>(+B276/(D276*(1-VLOOKUP(A276,FX!A:K,9,0)))-1)</f>
        <v>-1.1998347956020172E-2</v>
      </c>
      <c r="I276" s="25">
        <f t="shared" si="74"/>
        <v>-1.3727376060155616E-2</v>
      </c>
      <c r="J276">
        <v>10440.040000000001</v>
      </c>
      <c r="K276">
        <v>10447.99</v>
      </c>
      <c r="L276" s="25">
        <f t="shared" si="75"/>
        <v>7.6149133528202739E-4</v>
      </c>
      <c r="M276">
        <f t="shared" si="72"/>
        <v>3</v>
      </c>
    </row>
    <row r="277" spans="1:14" ht="13.5" x14ac:dyDescent="0.15">
      <c r="A277" s="1">
        <v>42796</v>
      </c>
      <c r="B277">
        <v>11.16</v>
      </c>
      <c r="C277" s="25">
        <f t="shared" si="70"/>
        <v>-1.0638297872340385E-2</v>
      </c>
      <c r="D277" s="26">
        <f t="shared" si="76"/>
        <v>11.353324165700769</v>
      </c>
      <c r="E277" s="26">
        <f>D277*(1-VLOOKUP(A277,FX!A:K,9,0))</f>
        <v>11.346385944930038</v>
      </c>
      <c r="F277">
        <v>11.352</v>
      </c>
      <c r="G277" s="25">
        <f t="shared" si="77"/>
        <v>-1.7027979019996198E-2</v>
      </c>
      <c r="H277" s="25">
        <f>(+B277/(D277*(1-VLOOKUP(A277,FX!A:K,9,0)))-1)</f>
        <v>-1.6426899792997274E-2</v>
      </c>
      <c r="I277" s="25">
        <f t="shared" si="74"/>
        <v>-1.6913319238900604E-2</v>
      </c>
      <c r="J277">
        <v>10447.99</v>
      </c>
      <c r="K277">
        <v>10371.549999999999</v>
      </c>
      <c r="L277" s="25">
        <f t="shared" si="75"/>
        <v>-7.3162397743490315E-3</v>
      </c>
      <c r="M277">
        <f t="shared" si="72"/>
        <v>4</v>
      </c>
    </row>
    <row r="278" spans="1:14" ht="13.5" x14ac:dyDescent="0.15">
      <c r="A278" s="1">
        <v>42797</v>
      </c>
      <c r="B278">
        <v>11.08</v>
      </c>
      <c r="C278" s="25">
        <f t="shared" si="70"/>
        <v>-7.1684587813619638E-3</v>
      </c>
      <c r="D278" s="26">
        <f t="shared" si="76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7"/>
        <v>-2.1797871878792785E-2</v>
      </c>
      <c r="H278" s="25">
        <f>(+B278/(D278*(1-VLOOKUP(A278,FX!A:K,9,0)))-1)</f>
        <v>-1.8676766263524658E-2</v>
      </c>
      <c r="I278" s="25">
        <f t="shared" si="74"/>
        <v>-2.0509193776520496E-2</v>
      </c>
      <c r="J278">
        <v>10371.549999999999</v>
      </c>
      <c r="K278">
        <v>10348.620000000001</v>
      </c>
      <c r="L278" s="25">
        <f t="shared" si="75"/>
        <v>-2.2108556580259231E-3</v>
      </c>
      <c r="M278">
        <f t="shared" si="72"/>
        <v>5</v>
      </c>
    </row>
    <row r="279" spans="1:14" ht="13.5" x14ac:dyDescent="0.15">
      <c r="A279" s="1">
        <v>42800</v>
      </c>
      <c r="B279">
        <v>11.12</v>
      </c>
      <c r="C279" s="25">
        <f t="shared" si="70"/>
        <v>3.6101083032489267E-3</v>
      </c>
      <c r="D279" s="26">
        <f t="shared" si="76"/>
        <v>11.333665095442676</v>
      </c>
      <c r="E279" s="26">
        <f>D279*(1-VLOOKUP(A279,FX!A:K,9,0))</f>
        <v>11.336294773326339</v>
      </c>
      <c r="F279">
        <v>11.35</v>
      </c>
      <c r="G279" s="25">
        <f t="shared" si="77"/>
        <v>-1.8852250674725957E-2</v>
      </c>
      <c r="H279" s="25">
        <f>(+B279/(D279*(1-VLOOKUP(A279,FX!A:K,9,0)))-1)</f>
        <v>-1.9079847309128595E-2</v>
      </c>
      <c r="I279" s="25">
        <f t="shared" si="74"/>
        <v>-2.0264317180616831E-2</v>
      </c>
      <c r="J279">
        <v>10348.620000000001</v>
      </c>
      <c r="K279">
        <v>10368.44</v>
      </c>
      <c r="L279" s="25">
        <f t="shared" si="75"/>
        <v>1.9152312095718216E-3</v>
      </c>
      <c r="M279">
        <f t="shared" si="72"/>
        <v>1</v>
      </c>
    </row>
    <row r="280" spans="1:14" ht="13.5" x14ac:dyDescent="0.15">
      <c r="A280" s="1">
        <f>+A279+1</f>
        <v>42801</v>
      </c>
      <c r="B280">
        <v>11.2</v>
      </c>
      <c r="C280" s="25">
        <f t="shared" si="70"/>
        <v>7.194244604316502E-3</v>
      </c>
      <c r="D280" s="26">
        <f t="shared" ref="D280:D318" si="78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7"/>
        <v>-1.6774778459835105E-2</v>
      </c>
      <c r="H280" s="25">
        <f>(+B280/(D280*(1-VLOOKUP(A280,FX!A:K,9,0)))-1)</f>
        <v>-1.6600079523257039E-2</v>
      </c>
      <c r="I280" s="25">
        <f t="shared" si="74"/>
        <v>-1.4431538190778026E-2</v>
      </c>
      <c r="J280">
        <v>10368.44</v>
      </c>
      <c r="K280">
        <v>10405.969999999999</v>
      </c>
      <c r="L280" s="25">
        <f t="shared" si="75"/>
        <v>3.6196380554835983E-3</v>
      </c>
      <c r="M280">
        <f t="shared" si="72"/>
        <v>2</v>
      </c>
    </row>
    <row r="281" spans="1:14" ht="13.5" x14ac:dyDescent="0.15">
      <c r="A281" s="1">
        <f>+A280+1</f>
        <v>42802</v>
      </c>
      <c r="B281">
        <v>11.2</v>
      </c>
      <c r="C281" s="25">
        <f t="shared" ref="C281:C312" si="79">B281/B280-1</f>
        <v>0</v>
      </c>
      <c r="D281" s="26">
        <f t="shared" si="78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7"/>
        <v>-1.4004202628005058E-2</v>
      </c>
      <c r="H281" s="25">
        <f>(+B281/(D281*(1-VLOOKUP(A281,FX!A:K,9,0)))-1)</f>
        <v>-1.2920570787389396E-2</v>
      </c>
      <c r="I281" s="25">
        <f t="shared" si="74"/>
        <v>-1.3041945717307102E-2</v>
      </c>
      <c r="J281">
        <v>10405.969999999999</v>
      </c>
      <c r="K281">
        <v>10401.459999999999</v>
      </c>
      <c r="L281" s="25">
        <f t="shared" si="75"/>
        <v>-4.3340505498290494E-4</v>
      </c>
      <c r="M281">
        <f t="shared" si="72"/>
        <v>3</v>
      </c>
    </row>
    <row r="282" spans="1:14" ht="13.5" x14ac:dyDescent="0.15">
      <c r="A282" s="1">
        <f>+A281+1</f>
        <v>42803</v>
      </c>
      <c r="B282">
        <v>11.12</v>
      </c>
      <c r="C282" s="25">
        <f t="shared" si="79"/>
        <v>-7.1428571428571175E-3</v>
      </c>
      <c r="D282" s="26">
        <f t="shared" si="78"/>
        <v>11.281525328175086</v>
      </c>
      <c r="E282" s="26">
        <f>D282*(1-VLOOKUP(A282,FX!A:K,9,0))</f>
        <v>11.266909677375562</v>
      </c>
      <c r="F282">
        <v>11.269</v>
      </c>
      <c r="G282" s="25">
        <f t="shared" si="77"/>
        <v>-1.4317685195607721E-2</v>
      </c>
      <c r="H282" s="25">
        <f>(+B282/(D282*(1-VLOOKUP(A282,FX!A:K,9,0)))-1)</f>
        <v>-1.3039039238111894E-2</v>
      </c>
      <c r="I282" s="25">
        <f t="shared" si="74"/>
        <v>-1.3222113763421861E-2</v>
      </c>
      <c r="J282">
        <v>10401.459999999999</v>
      </c>
      <c r="K282">
        <v>10340.530000000001</v>
      </c>
      <c r="L282" s="25">
        <f t="shared" ref="L282:L318" si="80">+K282/J282-1</f>
        <v>-5.8578314967320244E-3</v>
      </c>
      <c r="M282">
        <f t="shared" ref="M282:M318" si="81">WEEKDAY(A282,2)</f>
        <v>4</v>
      </c>
    </row>
    <row r="283" spans="1:14" ht="13.5" x14ac:dyDescent="0.15">
      <c r="A283" s="1">
        <f>+A282+1</f>
        <v>42804</v>
      </c>
      <c r="B283">
        <v>11.12</v>
      </c>
      <c r="C283" s="25">
        <f t="shared" si="79"/>
        <v>0</v>
      </c>
      <c r="D283" s="26">
        <f t="shared" si="78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7"/>
        <v>-1.1840290065250114E-2</v>
      </c>
      <c r="H283" s="25">
        <f>(+B283/(D283*(1-VLOOKUP(A283,FX!A:K,9,0)))-1)</f>
        <v>-1.2926085767177575E-2</v>
      </c>
      <c r="I283" s="25">
        <f t="shared" si="74"/>
        <v>-1.1467686016534917E-2</v>
      </c>
      <c r="J283">
        <v>10340.530000000001</v>
      </c>
      <c r="K283">
        <v>10326.07</v>
      </c>
      <c r="L283" s="25">
        <f t="shared" si="80"/>
        <v>-1.3983809340527564E-3</v>
      </c>
      <c r="M283">
        <f t="shared" si="81"/>
        <v>5</v>
      </c>
    </row>
    <row r="284" spans="1:14" ht="13.5" x14ac:dyDescent="0.15">
      <c r="A284" s="1">
        <v>42807</v>
      </c>
      <c r="B284">
        <v>11.2</v>
      </c>
      <c r="C284" s="25">
        <f t="shared" si="79"/>
        <v>7.194244604316502E-3</v>
      </c>
      <c r="D284" s="26">
        <f t="shared" si="78"/>
        <v>11.334331028164636</v>
      </c>
      <c r="E284" s="26">
        <f>D284*(1-VLOOKUP(A284,FX!A:K,9,0))</f>
        <v>11.354209627788533</v>
      </c>
      <c r="F284">
        <v>11.353</v>
      </c>
      <c r="G284" s="25">
        <f t="shared" si="77"/>
        <v>-1.1851694452088779E-2</v>
      </c>
      <c r="H284" s="25">
        <f>(+B284/(D284*(1-VLOOKUP(A284,FX!A:K,9,0)))-1)</f>
        <v>-1.3581713993646716E-2</v>
      </c>
      <c r="I284" s="25">
        <f t="shared" si="74"/>
        <v>-1.3476614110807805E-2</v>
      </c>
      <c r="J284">
        <v>10326.07</v>
      </c>
      <c r="K284">
        <v>10404.4</v>
      </c>
      <c r="L284" s="25">
        <f t="shared" si="80"/>
        <v>7.5856545617063453E-3</v>
      </c>
      <c r="M284">
        <f t="shared" si="81"/>
        <v>1</v>
      </c>
    </row>
    <row r="285" spans="1:14" ht="13.5" x14ac:dyDescent="0.15">
      <c r="A285" s="1">
        <v>42808</v>
      </c>
      <c r="B285">
        <v>11.2</v>
      </c>
      <c r="C285" s="25">
        <f t="shared" si="79"/>
        <v>0</v>
      </c>
      <c r="D285" s="26">
        <f t="shared" si="78"/>
        <v>11.352530795624928</v>
      </c>
      <c r="E285" s="26">
        <f>D285*(1-VLOOKUP(A285,FX!A:K,9,0))</f>
        <v>11.337306801395433</v>
      </c>
      <c r="F285">
        <v>11.336</v>
      </c>
      <c r="G285" s="25">
        <f t="shared" si="77"/>
        <v>-1.3435840727576864E-2</v>
      </c>
      <c r="H285" s="25">
        <f>(+B285/(D285*(1-VLOOKUP(A285,FX!A:K,9,0)))-1)</f>
        <v>-1.2111059866399154E-2</v>
      </c>
      <c r="I285" s="25">
        <f t="shared" si="74"/>
        <v>-1.199717713479187E-2</v>
      </c>
      <c r="J285">
        <v>10404.4</v>
      </c>
      <c r="K285">
        <v>10403.969999999999</v>
      </c>
      <c r="L285" s="25">
        <f t="shared" si="80"/>
        <v>-4.1328668640261412E-5</v>
      </c>
      <c r="M285">
        <f t="shared" si="81"/>
        <v>2</v>
      </c>
    </row>
    <row r="286" spans="1:14" ht="13.5" x14ac:dyDescent="0.15">
      <c r="A286" s="1">
        <v>42809</v>
      </c>
      <c r="B286">
        <v>11.22</v>
      </c>
      <c r="C286" s="25">
        <f t="shared" si="79"/>
        <v>1.7857142857145014E-3</v>
      </c>
      <c r="D286" s="26">
        <f t="shared" si="78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7"/>
        <v>-1.1132982271713332E-2</v>
      </c>
      <c r="H286" s="25">
        <f>(+B286/(D286*(1-VLOOKUP(A286,FX!A:K,9,0)))-1)</f>
        <v>-1.1666501442862742E-2</v>
      </c>
      <c r="I286" s="25">
        <f t="shared" si="74"/>
        <v>-1.1279520620373629E-2</v>
      </c>
      <c r="J286">
        <v>10403.969999999999</v>
      </c>
      <c r="K286">
        <v>10413.44</v>
      </c>
      <c r="L286" s="25">
        <f t="shared" si="80"/>
        <v>9.1022946048480158E-4</v>
      </c>
      <c r="M286">
        <f t="shared" si="81"/>
        <v>3</v>
      </c>
    </row>
    <row r="287" spans="1:14" ht="13.5" x14ac:dyDescent="0.15">
      <c r="A287" s="1">
        <v>42810</v>
      </c>
      <c r="B287">
        <v>11.34</v>
      </c>
      <c r="C287" s="25">
        <f t="shared" si="79"/>
        <v>1.0695187165775222E-2</v>
      </c>
      <c r="D287" s="26">
        <f t="shared" si="78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7"/>
        <v>-4.2306078193435903E-3</v>
      </c>
      <c r="H287" s="25">
        <f>(+B287/(D287*(1-VLOOKUP(A287,FX!A:K,9,0)))-1)</f>
        <v>-8.6952223732136291E-3</v>
      </c>
      <c r="I287" s="25">
        <f t="shared" si="74"/>
        <v>-7.3529411764705621E-3</v>
      </c>
      <c r="J287">
        <v>10413.44</v>
      </c>
      <c r="K287">
        <v>10450.31</v>
      </c>
      <c r="L287" s="25">
        <f t="shared" si="80"/>
        <v>3.5406167414417933E-3</v>
      </c>
      <c r="M287">
        <f t="shared" si="81"/>
        <v>4</v>
      </c>
    </row>
    <row r="288" spans="1:14" ht="13.5" x14ac:dyDescent="0.15">
      <c r="A288" s="1">
        <v>42811</v>
      </c>
      <c r="B288">
        <v>11.2</v>
      </c>
      <c r="C288" s="25">
        <f t="shared" si="79"/>
        <v>-1.2345679012345734E-2</v>
      </c>
      <c r="D288" s="26">
        <f t="shared" si="78"/>
        <v>11.310299043760423</v>
      </c>
      <c r="E288" s="26">
        <f>D288*(1-VLOOKUP(A288,FX!A:K,9,0))</f>
        <v>11.294212031653672</v>
      </c>
      <c r="F288">
        <v>11.308</v>
      </c>
      <c r="G288" s="25">
        <f t="shared" si="77"/>
        <v>-9.7520890768376667E-3</v>
      </c>
      <c r="H288" s="25">
        <f>(+B288/(D288*(1-VLOOKUP(A288,FX!A:K,9,0)))-1)</f>
        <v>-8.3416205920013864E-3</v>
      </c>
      <c r="I288" s="25">
        <f t="shared" si="74"/>
        <v>-9.5507605235232162E-3</v>
      </c>
      <c r="J288">
        <v>10450.31</v>
      </c>
      <c r="K288">
        <v>10346.299999999999</v>
      </c>
      <c r="L288" s="25">
        <f t="shared" si="80"/>
        <v>-9.9528147968815928E-3</v>
      </c>
      <c r="M288">
        <f t="shared" si="81"/>
        <v>5</v>
      </c>
    </row>
    <row r="289" spans="1:14" ht="40.5" x14ac:dyDescent="0.15">
      <c r="A289" s="1">
        <v>42814</v>
      </c>
      <c r="B289">
        <v>11.22</v>
      </c>
      <c r="C289" s="25">
        <f t="shared" si="79"/>
        <v>1.7857142857145014E-3</v>
      </c>
      <c r="D289" s="26">
        <f t="shared" si="78"/>
        <v>11.315180688748637</v>
      </c>
      <c r="E289" s="26">
        <f>D289*(1-VLOOKUP(A289,FX!A:K,9,0))</f>
        <v>11.294263971289826</v>
      </c>
      <c r="F289">
        <v>11.292</v>
      </c>
      <c r="G289" s="25">
        <f t="shared" si="77"/>
        <v>-8.4117692299231495E-3</v>
      </c>
      <c r="H289" s="25">
        <f>(+B289/(D289*(1-VLOOKUP(A289,FX!A:K,9,0)))-1)</f>
        <v>-6.5753706021575153E-3</v>
      </c>
      <c r="I289" s="25">
        <f t="shared" si="74"/>
        <v>-6.3761955366630207E-3</v>
      </c>
      <c r="J289">
        <v>10346.299999999999</v>
      </c>
      <c r="K289">
        <v>10352.870000000001</v>
      </c>
      <c r="L289" s="25">
        <f t="shared" si="80"/>
        <v>6.3500961696472125E-4</v>
      </c>
      <c r="M289">
        <f t="shared" si="81"/>
        <v>1</v>
      </c>
      <c r="N289" s="50" t="s">
        <v>251</v>
      </c>
    </row>
    <row r="290" spans="1:14" ht="13.5" x14ac:dyDescent="0.15">
      <c r="A290" s="1">
        <v>42815</v>
      </c>
      <c r="B290">
        <v>11.26</v>
      </c>
      <c r="C290" s="25">
        <f t="shared" si="79"/>
        <v>3.5650623885916666E-3</v>
      </c>
      <c r="D290" s="26">
        <f t="shared" si="78"/>
        <v>11.341463791199926</v>
      </c>
      <c r="E290" s="26">
        <f>D290*(1-VLOOKUP(A290,FX!A:K,9,0))</f>
        <v>11.3340590012874</v>
      </c>
      <c r="F290">
        <v>11.33</v>
      </c>
      <c r="G290" s="25">
        <f t="shared" si="77"/>
        <v>-7.1828286630104543E-3</v>
      </c>
      <c r="H290" s="25">
        <f>(+B290/(D290*(1-VLOOKUP(A290,FX!A:K,9,0)))-1)</f>
        <v>-6.5341993789681529E-3</v>
      </c>
      <c r="I290" s="25">
        <f t="shared" si="74"/>
        <v>-6.1782877316858276E-3</v>
      </c>
      <c r="J290">
        <v>10352.870000000001</v>
      </c>
      <c r="K290">
        <v>10398.219999999999</v>
      </c>
      <c r="L290" s="25">
        <f t="shared" si="80"/>
        <v>4.3804278427139742E-3</v>
      </c>
      <c r="M290">
        <f t="shared" si="81"/>
        <v>2</v>
      </c>
    </row>
    <row r="291" spans="1:14" ht="13.5" x14ac:dyDescent="0.15">
      <c r="A291" s="1">
        <v>42816</v>
      </c>
      <c r="B291">
        <v>11.2</v>
      </c>
      <c r="C291" s="25">
        <f t="shared" si="79"/>
        <v>-5.3285968028419228E-3</v>
      </c>
      <c r="D291" s="26">
        <f t="shared" si="78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7"/>
        <v>-3.5672572048680573E-3</v>
      </c>
      <c r="H291" s="25">
        <f>(+B291/(D291*(1-VLOOKUP(A291,FX!A:K,9,0)))-1)</f>
        <v>-7.7172560351206343E-3</v>
      </c>
      <c r="I291" s="25">
        <f t="shared" si="74"/>
        <v>-6.2993523201136936E-3</v>
      </c>
      <c r="J291">
        <v>10398.219999999999</v>
      </c>
      <c r="K291">
        <v>10315.709999999999</v>
      </c>
      <c r="L291" s="25">
        <f t="shared" si="80"/>
        <v>-7.9350119539690622E-3</v>
      </c>
      <c r="M291">
        <f t="shared" si="81"/>
        <v>3</v>
      </c>
    </row>
    <row r="292" spans="1:14" ht="13.5" x14ac:dyDescent="0.15">
      <c r="A292" s="1">
        <v>42817</v>
      </c>
      <c r="B292">
        <v>11.2</v>
      </c>
      <c r="C292" s="25">
        <f t="shared" si="79"/>
        <v>0</v>
      </c>
      <c r="D292" s="26">
        <f t="shared" si="78"/>
        <v>11.308432659506714</v>
      </c>
      <c r="E292" s="26">
        <f>D292*(1-VLOOKUP(A292,FX!A:K,9,0))</f>
        <v>11.298760348938819</v>
      </c>
      <c r="F292">
        <v>11.311</v>
      </c>
      <c r="G292" s="25">
        <f t="shared" si="77"/>
        <v>-9.5886550127314285E-3</v>
      </c>
      <c r="H292" s="25">
        <f>(+B292/(D292*(1-VLOOKUP(A292,FX!A:K,9,0)))-1)</f>
        <v>-8.7408127873156438E-3</v>
      </c>
      <c r="I292" s="25">
        <f t="shared" si="74"/>
        <v>-9.8134559278578726E-3</v>
      </c>
      <c r="J292">
        <v>10315.709999999999</v>
      </c>
      <c r="K292">
        <v>10349.969999999999</v>
      </c>
      <c r="L292" s="25">
        <f t="shared" si="80"/>
        <v>3.3211480353751988E-3</v>
      </c>
      <c r="M292">
        <f t="shared" si="81"/>
        <v>4</v>
      </c>
      <c r="N292" s="50" t="s">
        <v>260</v>
      </c>
    </row>
    <row r="293" spans="1:14" ht="13.5" x14ac:dyDescent="0.15">
      <c r="A293" s="1">
        <v>42818</v>
      </c>
      <c r="B293">
        <v>11.3</v>
      </c>
      <c r="C293" s="25">
        <f t="shared" si="79"/>
        <v>8.9285714285716189E-3</v>
      </c>
      <c r="D293" s="26">
        <f t="shared" si="78"/>
        <v>11.392985862760955</v>
      </c>
      <c r="E293" s="26">
        <f>D293*(1-VLOOKUP(A293,FX!A:K,9,0))</f>
        <v>11.374597450122254</v>
      </c>
      <c r="F293">
        <v>11.401</v>
      </c>
      <c r="G293" s="25">
        <f t="shared" si="77"/>
        <v>-8.1616763051456376E-3</v>
      </c>
      <c r="H293" s="25">
        <f>(+B293/(D293*(1-VLOOKUP(A293,FX!A:K,9,0)))-1)</f>
        <v>-6.5582496830647319E-3</v>
      </c>
      <c r="I293" s="25">
        <f t="shared" si="74"/>
        <v>-8.8588720287693379E-3</v>
      </c>
      <c r="J293">
        <v>10349.969999999999</v>
      </c>
      <c r="K293">
        <v>10424.99</v>
      </c>
      <c r="L293" s="25">
        <f t="shared" si="80"/>
        <v>7.2483301883967677E-3</v>
      </c>
      <c r="M293">
        <f t="shared" si="81"/>
        <v>5</v>
      </c>
    </row>
    <row r="294" spans="1:14" ht="13.5" x14ac:dyDescent="0.15">
      <c r="A294" s="1">
        <v>42821</v>
      </c>
      <c r="B294">
        <v>11.3</v>
      </c>
      <c r="C294" s="25">
        <f t="shared" si="79"/>
        <v>0</v>
      </c>
      <c r="D294" s="26">
        <f t="shared" si="78"/>
        <v>11.401</v>
      </c>
      <c r="E294" s="26">
        <f>D294*(1-VLOOKUP(A294,FX!A:K,9,0))</f>
        <v>11.449595758389426</v>
      </c>
      <c r="F294">
        <v>11.413</v>
      </c>
      <c r="G294" s="25">
        <f t="shared" si="77"/>
        <v>-8.8588720287693379E-3</v>
      </c>
      <c r="H294" s="25">
        <f>(+B294/(D294*(1-VLOOKUP(A294,FX!A:K,9,0)))-1)</f>
        <v>-1.306559301709953E-2</v>
      </c>
      <c r="I294" s="25">
        <f t="shared" si="74"/>
        <v>-9.9009900990099098E-3</v>
      </c>
      <c r="J294">
        <v>10424.99</v>
      </c>
      <c r="K294">
        <v>10424.99</v>
      </c>
      <c r="L294" s="25">
        <f t="shared" si="80"/>
        <v>0</v>
      </c>
      <c r="M294">
        <f t="shared" si="81"/>
        <v>1</v>
      </c>
    </row>
    <row r="295" spans="1:14" ht="13.5" x14ac:dyDescent="0.15">
      <c r="A295" s="1">
        <v>42822</v>
      </c>
      <c r="B295">
        <v>11.28</v>
      </c>
      <c r="C295" s="25">
        <f t="shared" si="79"/>
        <v>-1.7699115044248481E-3</v>
      </c>
      <c r="D295" s="26">
        <f t="shared" si="78"/>
        <v>11.382236872169662</v>
      </c>
      <c r="E295" s="26">
        <f>D295*(1-VLOOKUP(A295,FX!A:K,9,0))</f>
        <v>11.364314568665831</v>
      </c>
      <c r="F295">
        <v>11.368</v>
      </c>
      <c r="G295" s="25">
        <f t="shared" si="77"/>
        <v>-8.9821423783261745E-3</v>
      </c>
      <c r="H295" s="25">
        <f>(+B295/(D295*(1-VLOOKUP(A295,FX!A:K,9,0)))-1)</f>
        <v>-7.4192392472404167E-3</v>
      </c>
      <c r="I295" s="25">
        <f t="shared" si="74"/>
        <v>-7.7410274454610128E-3</v>
      </c>
      <c r="J295">
        <v>10424.99</v>
      </c>
      <c r="K295">
        <v>10396.89</v>
      </c>
      <c r="L295" s="25">
        <f t="shared" si="80"/>
        <v>-2.6954462306438831E-3</v>
      </c>
      <c r="M295">
        <f t="shared" si="81"/>
        <v>2</v>
      </c>
    </row>
    <row r="296" spans="1:14" ht="13.5" x14ac:dyDescent="0.15">
      <c r="A296" s="1">
        <v>42823</v>
      </c>
      <c r="B296">
        <v>11.26</v>
      </c>
      <c r="C296" s="25">
        <f t="shared" si="79"/>
        <v>-1.7730496453900457E-3</v>
      </c>
      <c r="D296" s="26">
        <f t="shared" si="78"/>
        <v>11.349543342287935</v>
      </c>
      <c r="E296" s="26">
        <f>D296*(1-VLOOKUP(A296,FX!A:K,9,0))</f>
        <v>11.335621955586198</v>
      </c>
      <c r="F296">
        <v>11.33</v>
      </c>
      <c r="G296" s="25">
        <f t="shared" si="77"/>
        <v>-7.8895986902222104E-3</v>
      </c>
      <c r="H296" s="25">
        <f>(+B296/(D296*(1-VLOOKUP(A296,FX!A:K,9,0)))-1)</f>
        <v>-6.6711783334422181E-3</v>
      </c>
      <c r="I296" s="25">
        <f t="shared" si="74"/>
        <v>-6.1782877316858276E-3</v>
      </c>
      <c r="J296">
        <v>10396.89</v>
      </c>
      <c r="K296">
        <v>10380.01</v>
      </c>
      <c r="L296" s="25">
        <f t="shared" si="80"/>
        <v>-1.6235624306882857E-3</v>
      </c>
      <c r="M296">
        <f t="shared" si="81"/>
        <v>3</v>
      </c>
    </row>
    <row r="297" spans="1:14" ht="13.5" x14ac:dyDescent="0.15">
      <c r="A297" s="1">
        <v>42824</v>
      </c>
      <c r="B297">
        <v>11.2</v>
      </c>
      <c r="C297" s="25">
        <f t="shared" si="79"/>
        <v>-5.3285968028419228E-3</v>
      </c>
      <c r="D297" s="26">
        <f t="shared" si="78"/>
        <v>11.288063759090791</v>
      </c>
      <c r="E297" s="26">
        <f>D297*(1-VLOOKUP(A297,FX!A:K,9,0))</f>
        <v>11.275178027543486</v>
      </c>
      <c r="F297">
        <v>11.295</v>
      </c>
      <c r="G297" s="25">
        <f t="shared" si="77"/>
        <v>-7.8014937699010245E-3</v>
      </c>
      <c r="H297" s="25">
        <f>(+B297/(D297*(1-VLOOKUP(A297,FX!A:K,9,0)))-1)</f>
        <v>-6.6675690051046788E-3</v>
      </c>
      <c r="I297" s="25">
        <f t="shared" si="74"/>
        <v>-8.410801239486565E-3</v>
      </c>
      <c r="J297">
        <v>10380.01</v>
      </c>
      <c r="K297">
        <v>10341.59</v>
      </c>
      <c r="L297" s="25">
        <f t="shared" si="80"/>
        <v>-3.7013451817483611E-3</v>
      </c>
      <c r="M297">
        <f t="shared" si="81"/>
        <v>4</v>
      </c>
    </row>
    <row r="298" spans="1:14" ht="13.5" x14ac:dyDescent="0.15">
      <c r="A298" s="1">
        <v>42825</v>
      </c>
      <c r="B298">
        <v>11.26</v>
      </c>
      <c r="C298" s="25">
        <f t="shared" si="79"/>
        <v>5.3571428571428381E-3</v>
      </c>
      <c r="D298" s="26">
        <f t="shared" si="78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7"/>
        <v>-9.37680733725621E-3</v>
      </c>
      <c r="H298" s="25">
        <f>(+B298/(D298*(1-VLOOKUP(A298,FX!A:K,9,0)))-1)</f>
        <v>-8.5270031236478472E-3</v>
      </c>
      <c r="I298" s="25">
        <f t="shared" si="74"/>
        <v>-7.7546704265069044E-3</v>
      </c>
      <c r="J298">
        <v>10341.59</v>
      </c>
      <c r="K298">
        <v>10407.129999999999</v>
      </c>
      <c r="L298" s="25">
        <f t="shared" si="80"/>
        <v>6.3375167648300756E-3</v>
      </c>
      <c r="M298">
        <f t="shared" si="81"/>
        <v>5</v>
      </c>
      <c r="N298" s="50" t="s">
        <v>275</v>
      </c>
    </row>
    <row r="299" spans="1:14" ht="13.5" x14ac:dyDescent="0.15">
      <c r="A299" s="1">
        <v>42828</v>
      </c>
      <c r="B299">
        <v>11.3</v>
      </c>
      <c r="C299" s="25">
        <f t="shared" si="79"/>
        <v>3.5523978685614299E-3</v>
      </c>
      <c r="D299" s="26">
        <f t="shared" si="78"/>
        <v>11.348000000000001</v>
      </c>
      <c r="E299" s="26">
        <f>D299*(1-VLOOKUP(A299,FX!A:K,9,0))</f>
        <v>11.367255042724537</v>
      </c>
      <c r="F299">
        <v>11.347</v>
      </c>
      <c r="G299" s="25">
        <f t="shared" si="77"/>
        <v>-4.2298202326400691E-3</v>
      </c>
      <c r="H299" s="25">
        <f>(+B299/(D299*(1-VLOOKUP(A299,FX!A:K,9,0)))-1)</f>
        <v>-5.9165596682535515E-3</v>
      </c>
      <c r="I299" s="25">
        <f t="shared" si="74"/>
        <v>-4.142063981669053E-3</v>
      </c>
      <c r="J299">
        <v>10407.129999999999</v>
      </c>
      <c r="K299">
        <v>10407.129999999999</v>
      </c>
      <c r="L299" s="25">
        <f t="shared" si="80"/>
        <v>0</v>
      </c>
      <c r="M299">
        <f t="shared" si="81"/>
        <v>1</v>
      </c>
      <c r="N299" s="50" t="s">
        <v>279</v>
      </c>
    </row>
    <row r="300" spans="1:14" ht="13.5" x14ac:dyDescent="0.15">
      <c r="A300" s="1">
        <v>42829</v>
      </c>
      <c r="B300">
        <v>11.3</v>
      </c>
      <c r="C300" s="25">
        <f t="shared" si="79"/>
        <v>0</v>
      </c>
      <c r="D300" s="26">
        <f t="shared" si="78"/>
        <v>11.347</v>
      </c>
      <c r="E300" s="26">
        <f>D300*(1-VLOOKUP(A300,FX!A:K,9,0))</f>
        <v>11.349393490089431</v>
      </c>
      <c r="F300">
        <v>11.347</v>
      </c>
      <c r="G300" s="25">
        <f t="shared" si="77"/>
        <v>-4.142063981669053E-3</v>
      </c>
      <c r="H300" s="25">
        <f>(+B300/(D300*(1-VLOOKUP(A300,FX!A:K,9,0)))-1)</f>
        <v>-4.3520819092722762E-3</v>
      </c>
      <c r="I300" s="25">
        <f t="shared" si="74"/>
        <v>-4.142063981669053E-3</v>
      </c>
      <c r="J300">
        <v>10407.129999999999</v>
      </c>
      <c r="K300">
        <v>10407.129999999999</v>
      </c>
      <c r="L300" s="25">
        <f t="shared" si="80"/>
        <v>0</v>
      </c>
      <c r="M300">
        <f t="shared" si="81"/>
        <v>2</v>
      </c>
    </row>
    <row r="301" spans="1:14" ht="13.5" x14ac:dyDescent="0.15">
      <c r="A301" s="1">
        <v>42830</v>
      </c>
      <c r="B301">
        <v>11.36</v>
      </c>
      <c r="C301" s="25">
        <f t="shared" si="79"/>
        <v>5.3097345132742113E-3</v>
      </c>
      <c r="D301" s="26">
        <f t="shared" si="78"/>
        <v>11.448802263448233</v>
      </c>
      <c r="E301" s="26">
        <f>D301*(1-VLOOKUP(A301,FX!A:K,9,0))</f>
        <v>11.439852796865742</v>
      </c>
      <c r="F301">
        <v>11.46</v>
      </c>
      <c r="G301" s="25">
        <f t="shared" si="77"/>
        <v>-7.7564675679434592E-3</v>
      </c>
      <c r="H301" s="25">
        <f>(+B301/(D301*(1-VLOOKUP(A301,FX!A:K,9,0)))-1)</f>
        <v>-6.9802294036178658E-3</v>
      </c>
      <c r="I301" s="25">
        <f t="shared" si="74"/>
        <v>-8.7260034904015349E-3</v>
      </c>
      <c r="J301">
        <v>10407.129999999999</v>
      </c>
      <c r="K301">
        <v>10500.5</v>
      </c>
      <c r="L301" s="25">
        <f t="shared" si="80"/>
        <v>8.9717338017303305E-3</v>
      </c>
      <c r="M301">
        <f t="shared" si="81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9"/>
        <v>-3.5211267605632646E-3</v>
      </c>
      <c r="D302" s="26">
        <f t="shared" si="78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7"/>
        <v>-1.5053852718120209E-2</v>
      </c>
      <c r="H302" s="25">
        <f>(+B302/(D302*(1-VLOOKUP(A302,FX!A:K,9,0)))-1)</f>
        <v>-1.340224696258896E-2</v>
      </c>
      <c r="I302" s="25">
        <f t="shared" si="74"/>
        <v>-1.4709722343110854E-2</v>
      </c>
      <c r="J302">
        <v>10500.5</v>
      </c>
      <c r="K302">
        <v>10530.75</v>
      </c>
      <c r="L302" s="25">
        <f t="shared" si="80"/>
        <v>2.8808151992762987E-3</v>
      </c>
      <c r="M302">
        <f t="shared" si="81"/>
        <v>4</v>
      </c>
      <c r="N302" s="50" t="s">
        <v>296</v>
      </c>
    </row>
    <row r="303" spans="1:14" ht="13.5" x14ac:dyDescent="0.15">
      <c r="A303" s="1">
        <v>42832</v>
      </c>
      <c r="B303">
        <v>11.34</v>
      </c>
      <c r="C303" s="25">
        <f t="shared" si="79"/>
        <v>1.7667844522968323E-3</v>
      </c>
      <c r="D303" s="26">
        <f t="shared" si="78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7"/>
        <v>-1.1590132225789307E-2</v>
      </c>
      <c r="H303" s="25">
        <f>(+B303/(D303*(1-VLOOKUP(A303,FX!A:K,9,0)))-1)</f>
        <v>-1.0980283888425202E-2</v>
      </c>
      <c r="I303" s="25">
        <f t="shared" si="74"/>
        <v>-1.1075259440132657E-2</v>
      </c>
      <c r="J303">
        <v>10530.75</v>
      </c>
      <c r="K303">
        <v>10516.06</v>
      </c>
      <c r="L303" s="25">
        <f t="shared" si="80"/>
        <v>-1.3949623721007942E-3</v>
      </c>
      <c r="M303">
        <f t="shared" si="81"/>
        <v>5</v>
      </c>
    </row>
    <row r="304" spans="1:14" ht="13.5" x14ac:dyDescent="0.15">
      <c r="A304" s="1">
        <v>42835</v>
      </c>
      <c r="B304">
        <v>11.26</v>
      </c>
      <c r="C304" s="25">
        <f t="shared" si="79"/>
        <v>-7.0546737213403876E-3</v>
      </c>
      <c r="D304" s="26">
        <f t="shared" si="78"/>
        <v>11.415171985515491</v>
      </c>
      <c r="E304" s="26">
        <f>D304*(1-VLOOKUP(A304,FX!A:K,9,0))</f>
        <v>11.393131334838166</v>
      </c>
      <c r="F304">
        <v>11.398</v>
      </c>
      <c r="G304" s="25">
        <f t="shared" si="77"/>
        <v>-1.3593486433002178E-2</v>
      </c>
      <c r="H304" s="25">
        <f>(+B304/(D304*(1-VLOOKUP(A304,FX!A:K,9,0)))-1)</f>
        <v>-1.1685227785540819E-2</v>
      </c>
      <c r="I304" s="25">
        <f t="shared" si="74"/>
        <v>-1.2107387260922975E-2</v>
      </c>
      <c r="J304">
        <v>10516.06</v>
      </c>
      <c r="K304">
        <v>10468.530000000001</v>
      </c>
      <c r="L304" s="25">
        <f t="shared" si="80"/>
        <v>-4.5197535959283774E-3</v>
      </c>
      <c r="M304">
        <f t="shared" si="81"/>
        <v>1</v>
      </c>
    </row>
    <row r="305" spans="1:14" ht="13.5" x14ac:dyDescent="0.15">
      <c r="A305" s="1">
        <v>42836</v>
      </c>
      <c r="B305">
        <v>11.26</v>
      </c>
      <c r="C305" s="25">
        <f t="shared" si="79"/>
        <v>0</v>
      </c>
      <c r="D305" s="26">
        <f t="shared" si="78"/>
        <v>11.402496690557316</v>
      </c>
      <c r="E305" s="26">
        <f>D305*(1-VLOOKUP(A305,FX!A:K,9,0))</f>
        <v>11.402207830141389</v>
      </c>
      <c r="F305">
        <v>11.419</v>
      </c>
      <c r="G305" s="25">
        <f t="shared" si="77"/>
        <v>-1.2496972761704028E-2</v>
      </c>
      <c r="H305" s="25">
        <f>(+B305/(D305*(1-VLOOKUP(A305,FX!A:K,9,0)))-1)</f>
        <v>-1.2471955629984821E-2</v>
      </c>
      <c r="I305" s="25">
        <f t="shared" si="74"/>
        <v>-1.3924161485244002E-2</v>
      </c>
      <c r="J305">
        <v>10468.530000000001</v>
      </c>
      <c r="K305">
        <v>10472.66</v>
      </c>
      <c r="L305" s="25">
        <f t="shared" si="80"/>
        <v>3.9451575340554434E-4</v>
      </c>
      <c r="M305">
        <f t="shared" si="81"/>
        <v>2</v>
      </c>
    </row>
    <row r="306" spans="1:14" ht="13.5" x14ac:dyDescent="0.15">
      <c r="A306" s="1">
        <v>42837</v>
      </c>
      <c r="B306">
        <v>11.28</v>
      </c>
      <c r="C306" s="25">
        <f t="shared" si="79"/>
        <v>1.7761989342806039E-3</v>
      </c>
      <c r="D306" s="26">
        <f t="shared" si="78"/>
        <v>11.410745952795184</v>
      </c>
      <c r="E306" s="26">
        <f>D306*(1-VLOOKUP(A306,FX!A:K,9,0))</f>
        <v>11.421487734479015</v>
      </c>
      <c r="F306">
        <v>11.41</v>
      </c>
      <c r="G306" s="25">
        <f t="shared" si="77"/>
        <v>-1.1458142468166788E-2</v>
      </c>
      <c r="H306" s="25">
        <f>(+B306/(D306*(1-VLOOKUP(A306,FX!A:K,9,0)))-1)</f>
        <v>-1.2387855047280349E-2</v>
      </c>
      <c r="I306" s="25">
        <f t="shared" si="74"/>
        <v>-1.1393514460999232E-2</v>
      </c>
      <c r="J306">
        <v>10472.66</v>
      </c>
      <c r="K306">
        <v>10465.09</v>
      </c>
      <c r="L306" s="25">
        <f t="shared" si="80"/>
        <v>-7.2283450431886997E-4</v>
      </c>
      <c r="M306">
        <f t="shared" si="81"/>
        <v>3</v>
      </c>
    </row>
    <row r="307" spans="1:14" ht="13.5" x14ac:dyDescent="0.15">
      <c r="A307" s="1">
        <v>42838</v>
      </c>
      <c r="B307">
        <v>11.3</v>
      </c>
      <c r="C307" s="25">
        <f t="shared" si="79"/>
        <v>1.7730496453902678E-3</v>
      </c>
      <c r="D307" s="26">
        <f t="shared" si="78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7"/>
        <v>-6.7972740360775497E-3</v>
      </c>
      <c r="H307" s="25">
        <f>(+B307/(D307*(1-VLOOKUP(A307,FX!A:K,9,0)))-1)</f>
        <v>-1.078277207532774E-2</v>
      </c>
      <c r="I307" s="25">
        <f t="shared" si="74"/>
        <v>-1.0854341736694528E-2</v>
      </c>
      <c r="J307">
        <v>10465.09</v>
      </c>
      <c r="K307">
        <v>10435.129999999999</v>
      </c>
      <c r="L307" s="25">
        <f t="shared" si="80"/>
        <v>-2.8628516333830678E-3</v>
      </c>
      <c r="M307">
        <f t="shared" si="81"/>
        <v>4</v>
      </c>
    </row>
    <row r="308" spans="1:14" ht="13.5" x14ac:dyDescent="0.15">
      <c r="A308" s="1">
        <v>42839</v>
      </c>
      <c r="B308">
        <v>11.3</v>
      </c>
      <c r="C308" s="25">
        <f t="shared" si="79"/>
        <v>0</v>
      </c>
      <c r="D308" s="26">
        <f t="shared" si="78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2">+B308/D308-1</f>
        <v>-4.302956270247682E-3</v>
      </c>
      <c r="H308" s="25">
        <f>(+B308/(D308*(1-VLOOKUP(A308,FX!A:K,9,0)))-1)</f>
        <v>-2.8569887534199978E-3</v>
      </c>
      <c r="I308" s="25">
        <f t="shared" si="74"/>
        <v>-2.6478375992938785E-3</v>
      </c>
      <c r="J308">
        <v>10435.129999999999</v>
      </c>
      <c r="K308">
        <v>10366.469999999999</v>
      </c>
      <c r="L308" s="25">
        <f t="shared" si="80"/>
        <v>-6.5796976175668265E-3</v>
      </c>
      <c r="M308">
        <f t="shared" si="81"/>
        <v>5</v>
      </c>
      <c r="N308" s="50" t="s">
        <v>306</v>
      </c>
    </row>
    <row r="309" spans="1:14" ht="13.5" x14ac:dyDescent="0.15">
      <c r="A309" s="1">
        <v>42842</v>
      </c>
      <c r="B309">
        <v>11.3</v>
      </c>
      <c r="C309" s="25">
        <f t="shared" si="79"/>
        <v>0</v>
      </c>
      <c r="D309" s="26">
        <f t="shared" si="78"/>
        <v>11.345563562138317</v>
      </c>
      <c r="E309" s="26">
        <f>D309*(1-VLOOKUP(A309,FX!A:K,9,0))</f>
        <v>11.347706372660371</v>
      </c>
      <c r="F309">
        <v>11.35</v>
      </c>
      <c r="G309" s="25">
        <f t="shared" si="82"/>
        <v>-4.0159805098063384E-3</v>
      </c>
      <c r="H309" s="25">
        <f>(+B309/(D309*(1-VLOOKUP(A309,FX!A:K,9,0)))-1)</f>
        <v>-4.2040542021167804E-3</v>
      </c>
      <c r="I309" s="25">
        <f t="shared" si="74"/>
        <v>-4.405286343612258E-3</v>
      </c>
      <c r="J309">
        <v>10366.469999999999</v>
      </c>
      <c r="K309">
        <v>10380.709999999999</v>
      </c>
      <c r="L309" s="25">
        <f t="shared" si="80"/>
        <v>1.3736595002926677E-3</v>
      </c>
      <c r="M309">
        <f t="shared" si="81"/>
        <v>1</v>
      </c>
    </row>
    <row r="310" spans="1:14" ht="13.5" x14ac:dyDescent="0.15">
      <c r="A310" s="1">
        <v>42843</v>
      </c>
      <c r="B310">
        <v>11.18</v>
      </c>
      <c r="C310" s="25">
        <f t="shared" si="79"/>
        <v>-1.0619469026548756E-2</v>
      </c>
      <c r="D310" s="26">
        <f t="shared" si="78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2"/>
        <v>-9.2793333979267478E-3</v>
      </c>
      <c r="H310" s="25">
        <f>(+B310/(D310*(1-VLOOKUP(A310,FX!A:K,9,0)))-1)</f>
        <v>-8.850994583326055E-3</v>
      </c>
      <c r="I310" s="25">
        <f t="shared" si="74"/>
        <v>-7.8097266595670289E-3</v>
      </c>
      <c r="J310">
        <v>10380.709999999999</v>
      </c>
      <c r="K310">
        <v>10321</v>
      </c>
      <c r="L310" s="25">
        <f t="shared" si="80"/>
        <v>-5.7520150355803157E-3</v>
      </c>
      <c r="M310">
        <f t="shared" si="81"/>
        <v>2</v>
      </c>
    </row>
    <row r="311" spans="1:14" ht="13.5" x14ac:dyDescent="0.15">
      <c r="A311" s="1">
        <v>42844</v>
      </c>
      <c r="B311">
        <v>11.06</v>
      </c>
      <c r="C311" s="25">
        <f t="shared" si="79"/>
        <v>-1.0733452593917669E-2</v>
      </c>
      <c r="D311" s="26">
        <f t="shared" si="78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2"/>
        <v>-1.3274768192458319E-2</v>
      </c>
      <c r="H311" s="25">
        <f>(+B311/(D311*(1-VLOOKUP(A311,FX!A:K,9,0)))-1)</f>
        <v>-1.3733240368298039E-2</v>
      </c>
      <c r="I311" s="25">
        <f t="shared" si="74"/>
        <v>-1.5926683868671576E-2</v>
      </c>
      <c r="J311">
        <v>10321</v>
      </c>
      <c r="K311">
        <v>10266.77</v>
      </c>
      <c r="L311" s="25">
        <f t="shared" si="80"/>
        <v>-5.2543358201724288E-3</v>
      </c>
      <c r="M311">
        <f t="shared" si="81"/>
        <v>3</v>
      </c>
      <c r="N311" s="50" t="s">
        <v>308</v>
      </c>
    </row>
    <row r="312" spans="1:14" ht="13.5" x14ac:dyDescent="0.15">
      <c r="A312" s="1">
        <v>42845</v>
      </c>
      <c r="B312">
        <v>11.16</v>
      </c>
      <c r="C312" s="25">
        <f t="shared" si="79"/>
        <v>9.0415913200723175E-3</v>
      </c>
      <c r="D312" s="26">
        <f t="shared" si="78"/>
        <v>11.300303019352727</v>
      </c>
      <c r="E312" s="26">
        <f>D312*(1-VLOOKUP(A312,FX!A:K,9,0))</f>
        <v>11.300385117097418</v>
      </c>
      <c r="F312">
        <v>11.279</v>
      </c>
      <c r="G312" s="25">
        <f t="shared" si="82"/>
        <v>-1.2415863460691789E-2</v>
      </c>
      <c r="H312" s="25">
        <f>(+B312/(D312*(1-VLOOKUP(A312,FX!A:K,9,0)))-1)</f>
        <v>-1.2423038298492672E-2</v>
      </c>
      <c r="I312" s="25">
        <f t="shared" si="74"/>
        <v>-1.0550580725241621E-2</v>
      </c>
      <c r="J312">
        <v>10266.77</v>
      </c>
      <c r="K312">
        <v>10322.77</v>
      </c>
      <c r="L312" s="25">
        <f t="shared" si="80"/>
        <v>5.4544905554521073E-3</v>
      </c>
      <c r="M312">
        <f t="shared" si="81"/>
        <v>4</v>
      </c>
    </row>
    <row r="313" spans="1:14" ht="13.5" x14ac:dyDescent="0.15">
      <c r="A313" s="1">
        <v>42846</v>
      </c>
      <c r="B313">
        <v>11.18</v>
      </c>
      <c r="C313" s="25">
        <f t="shared" ref="C313:C318" si="83">B313/B312-1</f>
        <v>1.7921146953405742E-3</v>
      </c>
      <c r="D313" s="26">
        <f t="shared" si="78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2"/>
        <v>-1.4270956694324211E-2</v>
      </c>
      <c r="H313" s="25">
        <f>(+B313/(D313*(1-VLOOKUP(A313,FX!A:K,9,0)))-1)</f>
        <v>-1.4417755252488007E-2</v>
      </c>
      <c r="I313" s="25">
        <f t="shared" si="74"/>
        <v>-1.3935438348915086E-2</v>
      </c>
      <c r="J313">
        <v>10322.77</v>
      </c>
      <c r="K313">
        <v>10380.299999999999</v>
      </c>
      <c r="L313" s="25">
        <f t="shared" si="80"/>
        <v>5.5731165181438502E-3</v>
      </c>
      <c r="M313">
        <f t="shared" si="81"/>
        <v>5</v>
      </c>
    </row>
    <row r="314" spans="1:14" ht="13.5" x14ac:dyDescent="0.15">
      <c r="A314" s="1">
        <v>42849</v>
      </c>
      <c r="B314">
        <v>11.14</v>
      </c>
      <c r="C314" s="25">
        <f t="shared" si="83"/>
        <v>-3.5778175313058158E-3</v>
      </c>
      <c r="D314" s="26">
        <f t="shared" si="78"/>
        <v>11.280077383119949</v>
      </c>
      <c r="E314" s="26">
        <f>D314*(1-VLOOKUP(A314,FX!A:K,9,0))</f>
        <v>11.274710063564648</v>
      </c>
      <c r="F314">
        <v>11.305</v>
      </c>
      <c r="G314" s="25">
        <f t="shared" si="82"/>
        <v>-1.2418122532525055E-2</v>
      </c>
      <c r="H314" s="25">
        <f>(+B314/(D314*(1-VLOOKUP(A314,FX!A:K,9,0)))-1)</f>
        <v>-1.194798472024361E-2</v>
      </c>
      <c r="I314" s="25">
        <f t="shared" si="74"/>
        <v>-1.4595311808934031E-2</v>
      </c>
      <c r="J314">
        <v>10380.299999999999</v>
      </c>
      <c r="K314">
        <v>10327.27</v>
      </c>
      <c r="L314" s="25">
        <f t="shared" si="80"/>
        <v>-5.1087155477200774E-3</v>
      </c>
      <c r="M314">
        <f t="shared" si="81"/>
        <v>1</v>
      </c>
      <c r="N314" s="50" t="s">
        <v>323</v>
      </c>
    </row>
    <row r="315" spans="1:14" ht="13.5" x14ac:dyDescent="0.15">
      <c r="A315" s="1">
        <v>42850</v>
      </c>
      <c r="B315">
        <v>11.2</v>
      </c>
      <c r="C315" s="25">
        <f t="shared" si="83"/>
        <v>5.3859964093356805E-3</v>
      </c>
      <c r="D315" s="26">
        <f t="shared" si="78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2"/>
        <v>-1.456184290247553E-2</v>
      </c>
      <c r="H315" s="25">
        <f>(+B315/(D315*(1-VLOOKUP(A315,FX!A:K,9,0)))-1)</f>
        <v>-1.431489596820823E-2</v>
      </c>
      <c r="I315" s="25">
        <f t="shared" si="74"/>
        <v>-1.2780960775672257E-2</v>
      </c>
      <c r="J315">
        <v>10327.27</v>
      </c>
      <c r="K315">
        <v>10382.540000000001</v>
      </c>
      <c r="L315" s="25">
        <f t="shared" si="80"/>
        <v>5.3518500048899131E-3</v>
      </c>
      <c r="M315">
        <f t="shared" si="81"/>
        <v>2</v>
      </c>
    </row>
    <row r="316" spans="1:14" ht="13.5" x14ac:dyDescent="0.15">
      <c r="A316" s="1">
        <v>42851</v>
      </c>
      <c r="B316">
        <v>11.24</v>
      </c>
      <c r="C316" s="25">
        <f t="shared" si="83"/>
        <v>3.5714285714285587E-3</v>
      </c>
      <c r="D316" s="26">
        <f t="shared" si="78"/>
        <v>11.352648899017003</v>
      </c>
      <c r="E316" s="26">
        <f>D316*(1-VLOOKUP(A316,FX!A:K,9,0))</f>
        <v>11.346633049793565</v>
      </c>
      <c r="F316">
        <v>11.35</v>
      </c>
      <c r="G316" s="25">
        <f t="shared" si="82"/>
        <v>-9.9226973386586925E-3</v>
      </c>
      <c r="H316" s="25">
        <f>(+B316/(D316*(1-VLOOKUP(A316,FX!A:K,9,0)))-1)</f>
        <v>-9.3977701865933794E-3</v>
      </c>
      <c r="I316" s="25">
        <f t="shared" si="74"/>
        <v>-9.6916299559470787E-3</v>
      </c>
      <c r="J316">
        <v>10382.540000000001</v>
      </c>
      <c r="K316">
        <v>10389.540000000001</v>
      </c>
      <c r="L316" s="25">
        <f t="shared" si="80"/>
        <v>6.742088159543691E-4</v>
      </c>
      <c r="M316">
        <f t="shared" si="81"/>
        <v>3</v>
      </c>
    </row>
    <row r="317" spans="1:14" ht="13.5" x14ac:dyDescent="0.15">
      <c r="A317" s="1">
        <v>42852</v>
      </c>
      <c r="B317">
        <v>11.18</v>
      </c>
      <c r="C317" s="25">
        <f t="shared" si="83"/>
        <v>-5.3380782918149849E-3</v>
      </c>
      <c r="D317" s="26">
        <f t="shared" si="78"/>
        <v>11.374623708075621</v>
      </c>
      <c r="E317" s="26">
        <f>D317*(1-VLOOKUP(A317,FX!A:K,9,0))</f>
        <v>11.35462376637232</v>
      </c>
      <c r="F317">
        <v>11.365</v>
      </c>
      <c r="G317" s="25">
        <f t="shared" si="82"/>
        <v>-1.7110342554667923E-2</v>
      </c>
      <c r="H317" s="25">
        <f>(+B317/(D317*(1-VLOOKUP(A317,FX!A:K,9,0)))-1)</f>
        <v>-1.5379088727667356E-2</v>
      </c>
      <c r="I317" s="25">
        <f t="shared" si="74"/>
        <v>-1.6278046634403909E-2</v>
      </c>
      <c r="J317">
        <v>10389.540000000001</v>
      </c>
      <c r="K317">
        <v>10412.08</v>
      </c>
      <c r="L317" s="25">
        <f t="shared" si="80"/>
        <v>2.1694896982926704E-3</v>
      </c>
      <c r="M317">
        <f t="shared" si="81"/>
        <v>4</v>
      </c>
      <c r="N317" s="50" t="s">
        <v>327</v>
      </c>
    </row>
    <row r="318" spans="1:14" ht="13.5" x14ac:dyDescent="0.15">
      <c r="A318" s="1">
        <v>42853</v>
      </c>
      <c r="B318">
        <v>11.16</v>
      </c>
      <c r="C318" s="25">
        <f t="shared" si="83"/>
        <v>-1.7889087656529634E-3</v>
      </c>
      <c r="D318" s="26">
        <f t="shared" si="78"/>
        <v>11.341532306705288</v>
      </c>
      <c r="E318" s="26">
        <f>D318*(1-VLOOKUP(A318,FX!A:K,9,0))</f>
        <v>11.353040795272872</v>
      </c>
      <c r="F318">
        <v>11.333</v>
      </c>
      <c r="G318" s="25">
        <f t="shared" si="82"/>
        <v>-1.6005977128678017E-2</v>
      </c>
      <c r="H318" s="25">
        <f>(+B318/(D318*(1-VLOOKUP(A318,FX!A:K,9,0)))-1)</f>
        <v>-1.7003444165659021E-2</v>
      </c>
      <c r="I318" s="25">
        <f t="shared" si="74"/>
        <v>-1.52651548574958E-2</v>
      </c>
      <c r="J318">
        <v>10412.08</v>
      </c>
      <c r="K318">
        <v>10390.58</v>
      </c>
      <c r="L318" s="25">
        <f t="shared" si="80"/>
        <v>-2.0649092208281372E-3</v>
      </c>
      <c r="M318">
        <f t="shared" si="81"/>
        <v>5</v>
      </c>
    </row>
    <row r="319" spans="1:14" ht="13.5" x14ac:dyDescent="0.15">
      <c r="A319" s="1">
        <v>42856</v>
      </c>
      <c r="B319">
        <v>11.16</v>
      </c>
      <c r="C319" s="25">
        <f t="shared" ref="C319" si="84">B319/B318-1</f>
        <v>0</v>
      </c>
      <c r="D319" s="26">
        <f t="shared" ref="D319" si="85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6">+B319/D319-1</f>
        <v>-1.52651548574958E-2</v>
      </c>
      <c r="H319" s="25">
        <f>(+B319/(D319*(1-VLOOKUP(A319,FX!A:K,9,0)))-1)</f>
        <v>-1.4336388810298861E-2</v>
      </c>
      <c r="I319" s="25">
        <f t="shared" si="74"/>
        <v>-1.4134275618374548E-2</v>
      </c>
      <c r="J319">
        <v>10390.58</v>
      </c>
      <c r="K319">
        <v>10390.58</v>
      </c>
      <c r="L319" s="25">
        <f t="shared" ref="L319" si="87">+K319/J319-1</f>
        <v>0</v>
      </c>
      <c r="M319">
        <f t="shared" ref="M319" si="88">WEEKDAY(A319,2)</f>
        <v>1</v>
      </c>
    </row>
    <row r="320" spans="1:14" ht="13.5" x14ac:dyDescent="0.15">
      <c r="A320" s="1">
        <v>42857</v>
      </c>
      <c r="B320">
        <v>11.12</v>
      </c>
      <c r="C320" s="25">
        <f t="shared" ref="C320" si="89">B320/B319-1</f>
        <v>-3.5842293906810374E-3</v>
      </c>
      <c r="D320" s="26">
        <f t="shared" ref="D320" si="90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1">+B320/D320-1</f>
        <v>-1.3410268568847084E-2</v>
      </c>
      <c r="H320" s="25">
        <f>(+B320/(D320*(1-VLOOKUP(A320,FX!A:K,9,0)))-1)</f>
        <v>-1.4242624275365823E-2</v>
      </c>
      <c r="I320" s="25">
        <f t="shared" si="74"/>
        <v>-1.400957616598697E-2</v>
      </c>
      <c r="J320">
        <v>10390.58</v>
      </c>
      <c r="K320">
        <v>10345.74</v>
      </c>
      <c r="L320" s="25">
        <f t="shared" ref="L320" si="92">+K320/J320-1</f>
        <v>-4.3154472608843975E-3</v>
      </c>
      <c r="M320">
        <f t="shared" ref="M320" si="93">WEEKDAY(A320,2)</f>
        <v>2</v>
      </c>
    </row>
    <row r="321" spans="1:14" ht="13.5" x14ac:dyDescent="0.15">
      <c r="A321" s="1">
        <v>42858</v>
      </c>
      <c r="B321">
        <v>11.12</v>
      </c>
      <c r="C321" s="25">
        <f t="shared" ref="C321" si="94">B321/B320-1</f>
        <v>0</v>
      </c>
      <c r="D321" s="26">
        <f t="shared" ref="D321" si="95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6">+B321/D321-1</f>
        <v>-1.1122969085816115E-2</v>
      </c>
      <c r="H321" s="25">
        <f>(+B321/(D321*(1-VLOOKUP(A321,FX!A:K,9,0)))-1)</f>
        <v>-1.20604027280099E-2</v>
      </c>
      <c r="I321" s="25">
        <f t="shared" si="74"/>
        <v>-1.400957616598697E-2</v>
      </c>
      <c r="J321">
        <v>10345.74</v>
      </c>
      <c r="K321">
        <v>10315.540000000001</v>
      </c>
      <c r="L321" s="25">
        <f t="shared" ref="L321" si="97">+K321/J321-1</f>
        <v>-2.9190758708413922E-3</v>
      </c>
      <c r="M321">
        <f t="shared" ref="M321" si="98">WEEKDAY(A321,2)</f>
        <v>3</v>
      </c>
    </row>
    <row r="322" spans="1:14" ht="13.5" x14ac:dyDescent="0.15">
      <c r="A322" s="1">
        <v>42859</v>
      </c>
      <c r="B322">
        <v>11.06</v>
      </c>
      <c r="C322" s="25">
        <f t="shared" ref="C322" si="99">B322/B321-1</f>
        <v>-5.3956834532372655E-3</v>
      </c>
      <c r="D322" s="26">
        <f t="shared" ref="D322" si="100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1">+B322/D322-1</f>
        <v>-1.7037002196972573E-2</v>
      </c>
      <c r="H322" s="25">
        <f>(+B322/(D322*(1-VLOOKUP(A322,FX!A:K,9,0)))-1)</f>
        <v>-1.611625855725729E-2</v>
      </c>
      <c r="I322" s="25">
        <f t="shared" si="74"/>
        <v>-1.4260249554367221E-2</v>
      </c>
      <c r="J322">
        <v>10315.540000000001</v>
      </c>
      <c r="K322">
        <v>10291.48</v>
      </c>
      <c r="L322" s="25">
        <f t="shared" ref="L322" si="102">+K322/J322-1</f>
        <v>-2.3324033448565151E-3</v>
      </c>
      <c r="M322">
        <f t="shared" ref="M322" si="103">WEEKDAY(A322,2)</f>
        <v>4</v>
      </c>
    </row>
    <row r="323" spans="1:14" ht="13.5" x14ac:dyDescent="0.15">
      <c r="A323" s="1">
        <v>42860</v>
      </c>
      <c r="B323">
        <v>11.04</v>
      </c>
      <c r="C323" s="25">
        <f t="shared" ref="C323" si="104">B323/B322-1</f>
        <v>-1.8083182640146189E-3</v>
      </c>
      <c r="D323" s="26">
        <f t="shared" ref="D323" si="105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6">+B323/D323-1</f>
        <v>-1.3963683469290888E-2</v>
      </c>
      <c r="H323" s="25">
        <f>(+B323/(D323*(1-VLOOKUP(A323,FX!A:K,9,0)))-1)</f>
        <v>-1.3533170495038438E-2</v>
      </c>
      <c r="I323" s="25">
        <f t="shared" si="74"/>
        <v>-1.5165031222123204E-2</v>
      </c>
      <c r="J323">
        <v>10291.48</v>
      </c>
      <c r="K323">
        <v>10269.780000000001</v>
      </c>
      <c r="L323" s="25">
        <f t="shared" ref="L323" si="107">+K323/J323-1</f>
        <v>-2.1085402682606835E-3</v>
      </c>
      <c r="M323">
        <f t="shared" ref="M323" si="108">WEEKDAY(A323,2)</f>
        <v>5</v>
      </c>
    </row>
    <row r="324" spans="1:14" ht="13.5" x14ac:dyDescent="0.15">
      <c r="A324" s="1">
        <v>42863</v>
      </c>
      <c r="B324">
        <v>11.02</v>
      </c>
      <c r="C324" s="25">
        <f t="shared" ref="C324" si="109">B324/B323-1</f>
        <v>-1.8115942028985588E-3</v>
      </c>
      <c r="D324" s="26">
        <f t="shared" ref="D324" si="110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1">+B324/D324-1</f>
        <v>-1.6713618334347369E-2</v>
      </c>
      <c r="H324" s="25">
        <f>(+B324/(D324*(1-VLOOKUP(A324,FX!A:K,9,0)))-1)</f>
        <v>-1.6027071101214374E-2</v>
      </c>
      <c r="I324" s="25">
        <f t="shared" si="74"/>
        <v>-1.5895695659939313E-2</v>
      </c>
      <c r="J324">
        <v>10269.780000000001</v>
      </c>
      <c r="K324">
        <v>10267.32</v>
      </c>
      <c r="L324" s="25">
        <f t="shared" ref="L324" si="112">+K324/J324-1</f>
        <v>-2.3953775056528848E-4</v>
      </c>
      <c r="M324">
        <f t="shared" ref="M324" si="113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4">B325/B324-1</f>
        <v>3.6297640653357721E-3</v>
      </c>
      <c r="D325" s="26">
        <f t="shared" ref="D325" si="115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6">+B325/D325-1</f>
        <v>-1.1700847859387076E-2</v>
      </c>
      <c r="H325" s="25">
        <f>(+B325/(D325*(1-VLOOKUP(A325,FX!A:K,9,0)))-1)</f>
        <v>-1.0708236566100648E-2</v>
      </c>
      <c r="I325" s="25">
        <f t="shared" si="74"/>
        <v>-1.0379384395132418E-2</v>
      </c>
      <c r="J325">
        <v>10267.32</v>
      </c>
      <c r="K325">
        <v>10260.85</v>
      </c>
      <c r="L325" s="25">
        <f t="shared" ref="L325" si="117">+K325/J325-1</f>
        <v>-6.3015470444083288E-4</v>
      </c>
      <c r="M325">
        <f t="shared" ref="M325" si="118">WEEKDAY(A325,2)</f>
        <v>2</v>
      </c>
      <c r="N325" s="50" t="s">
        <v>338</v>
      </c>
    </row>
    <row r="326" spans="1:14" ht="13.5" x14ac:dyDescent="0.15">
      <c r="A326" s="1">
        <v>42865</v>
      </c>
      <c r="B326">
        <v>11.06</v>
      </c>
      <c r="C326" s="25">
        <f t="shared" ref="C326" si="119">B326/B325-1</f>
        <v>0</v>
      </c>
      <c r="D326" s="26">
        <f t="shared" ref="D326" si="120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1">+B326/D326-1</f>
        <v>-1.4526482004690866E-2</v>
      </c>
      <c r="H326" s="25">
        <f>(+B326/(D326*(1-VLOOKUP(A326,FX!A:K,9,0)))-1)</f>
        <v>-1.4259052769089231E-2</v>
      </c>
      <c r="I326" s="25">
        <f t="shared" si="74"/>
        <v>-1.5050316145694076E-2</v>
      </c>
      <c r="J326">
        <v>10260.85</v>
      </c>
      <c r="K326">
        <v>10304.030000000001</v>
      </c>
      <c r="L326" s="25">
        <f t="shared" ref="L326" si="122">+K326/J326-1</f>
        <v>4.2082283631472706E-3</v>
      </c>
      <c r="M326">
        <f t="shared" ref="M326" si="123">WEEKDAY(A326,2)</f>
        <v>3</v>
      </c>
    </row>
    <row r="327" spans="1:14" ht="13.5" x14ac:dyDescent="0.15">
      <c r="A327" s="1">
        <v>42866</v>
      </c>
      <c r="B327">
        <v>11.16</v>
      </c>
      <c r="C327" s="25">
        <f t="shared" ref="C327" si="124">B327/B326-1</f>
        <v>9.0415913200723175E-3</v>
      </c>
      <c r="D327" s="26">
        <f t="shared" ref="D327" si="125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6">+B327/D327-1</f>
        <v>-1.3393049817593261E-2</v>
      </c>
      <c r="H327" s="25">
        <f>(+B327/(D327*(1-VLOOKUP(A327,FX!A:K,9,0)))-1)</f>
        <v>-1.3697028250325372E-2</v>
      </c>
      <c r="I327" s="25">
        <f t="shared" si="74"/>
        <v>-1.3524264120922891E-2</v>
      </c>
      <c r="J327">
        <v>10304.030000000001</v>
      </c>
      <c r="K327">
        <v>10379.73</v>
      </c>
      <c r="L327" s="25">
        <f t="shared" ref="L327" si="127">+K327/J327-1</f>
        <v>7.3466401010089388E-3</v>
      </c>
      <c r="M327">
        <f t="shared" ref="M327" si="128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9">B328/B327-1</f>
        <v>1.6129032258064502E-2</v>
      </c>
      <c r="D328" s="26">
        <f t="shared" ref="D328" si="130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1">+B328/D328-1</f>
        <v>-1.3746348146804199E-2</v>
      </c>
      <c r="H328" s="25">
        <f>(+B328/(D328*(1-VLOOKUP(A328,FX!A:K,9,0)))-1)</f>
        <v>-1.492600075505468E-2</v>
      </c>
      <c r="I328" s="25">
        <f t="shared" si="74"/>
        <v>-1.6052060737527185E-2</v>
      </c>
      <c r="J328">
        <v>10379.73</v>
      </c>
      <c r="K328">
        <v>10549.52</v>
      </c>
      <c r="L328" s="25">
        <f t="shared" ref="L328" si="132">+K328/J328-1</f>
        <v>1.6357843604795308E-2</v>
      </c>
      <c r="M328">
        <f t="shared" ref="M328" si="133">WEEKDAY(A328,2)</f>
        <v>5</v>
      </c>
      <c r="N328" s="50" t="s">
        <v>343</v>
      </c>
    </row>
    <row r="329" spans="1:14" ht="13.5" x14ac:dyDescent="0.15">
      <c r="A329" s="1">
        <v>42870</v>
      </c>
      <c r="B329">
        <v>11.4</v>
      </c>
      <c r="C329" s="25">
        <f t="shared" ref="C329" si="134">B329/B328-1</f>
        <v>5.2910052910053462E-3</v>
      </c>
      <c r="D329" s="26">
        <f t="shared" ref="D329" si="13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6">+B329/D329-1</f>
        <v>-1.2994108914469504E-2</v>
      </c>
      <c r="H329" s="25">
        <f>(+B329/(D329*(1-VLOOKUP(A329,FX!A:K,9,0)))-1)</f>
        <v>-1.3278653319441891E-2</v>
      </c>
      <c r="I329" s="25">
        <f t="shared" si="74"/>
        <v>-1.3499480789200269E-2</v>
      </c>
      <c r="J329">
        <v>10549.52</v>
      </c>
      <c r="K329">
        <v>10572.48</v>
      </c>
      <c r="L329" s="25">
        <f t="shared" ref="L329" si="137">+K329/J329-1</f>
        <v>2.1764023386845466E-3</v>
      </c>
      <c r="M329">
        <f t="shared" ref="M329" si="138">WEEKDAY(A329,2)</f>
        <v>1</v>
      </c>
      <c r="N329" s="50" t="s">
        <v>344</v>
      </c>
    </row>
    <row r="330" spans="1:14" ht="13.5" x14ac:dyDescent="0.15">
      <c r="A330" s="1">
        <v>42871</v>
      </c>
      <c r="B330">
        <v>11.42</v>
      </c>
      <c r="C330" s="25">
        <f t="shared" ref="C330" si="139">B330/B329-1</f>
        <v>1.7543859649122862E-3</v>
      </c>
      <c r="D330" s="26">
        <f t="shared" ref="D330" si="140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1">+B330/D330-1</f>
        <v>-1.2102360648783228E-2</v>
      </c>
      <c r="H330" s="25">
        <f>(+B330/(D330*(1-VLOOKUP(A330,FX!A:K,9,0)))-1)</f>
        <v>-1.3808287391836149E-2</v>
      </c>
      <c r="I330" s="25">
        <f t="shared" si="74"/>
        <v>-1.3135153819564427E-2</v>
      </c>
      <c r="J330">
        <v>10572.48</v>
      </c>
      <c r="K330">
        <v>10576.05</v>
      </c>
      <c r="L330" s="25">
        <f t="shared" ref="L330" si="142">+K330/J330-1</f>
        <v>3.376691183147873E-4</v>
      </c>
      <c r="M330">
        <f t="shared" ref="M330" si="143">WEEKDAY(A330,2)</f>
        <v>2</v>
      </c>
    </row>
    <row r="331" spans="1:14" ht="13.5" x14ac:dyDescent="0.15">
      <c r="A331" s="1">
        <v>42872</v>
      </c>
      <c r="B331">
        <v>11.34</v>
      </c>
      <c r="C331" s="25">
        <f t="shared" ref="C331" si="144">B331/B330-1</f>
        <v>-7.0052539404553693E-3</v>
      </c>
      <c r="D331" s="26">
        <f t="shared" ref="D331" si="145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6">+B331/D331-1</f>
        <v>-1.1200096486861488E-2</v>
      </c>
      <c r="H331" s="25">
        <f>(+B331/(D331*(1-VLOOKUP(A331,FX!A:K,9,0)))-1)</f>
        <v>-1.2592337723330904E-2</v>
      </c>
      <c r="I331" s="25">
        <f t="shared" si="74"/>
        <v>-1.3655736279029274E-2</v>
      </c>
      <c r="J331">
        <v>10576.05</v>
      </c>
      <c r="K331">
        <v>10481.41</v>
      </c>
      <c r="L331" s="25">
        <f t="shared" ref="L331" si="147">+K331/J331-1</f>
        <v>-8.9485204778720906E-3</v>
      </c>
      <c r="M331">
        <f t="shared" ref="M331" si="148">WEEKDAY(A331,2)</f>
        <v>3</v>
      </c>
    </row>
    <row r="332" spans="1:14" ht="13.5" x14ac:dyDescent="0.15">
      <c r="A332" s="1">
        <v>42873</v>
      </c>
      <c r="B332">
        <v>11.26</v>
      </c>
      <c r="C332" s="25">
        <f t="shared" ref="C332" si="149">B332/B331-1</f>
        <v>-7.0546737213403876E-3</v>
      </c>
      <c r="D332" s="26">
        <f t="shared" ref="D332" si="150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1">+B332/D332-1</f>
        <v>-1.8536234380933325E-2</v>
      </c>
      <c r="H332" s="25">
        <f>(+B332/(D332*(1-VLOOKUP(A332,FX!A:K,9,0)))-1)</f>
        <v>-1.7942451543011328E-2</v>
      </c>
      <c r="I332" s="25">
        <f t="shared" si="74"/>
        <v>-1.8565327290159583E-2</v>
      </c>
      <c r="J332">
        <v>10481.41</v>
      </c>
      <c r="K332">
        <v>10459.219999999999</v>
      </c>
      <c r="L332" s="25">
        <f t="shared" ref="L332" si="152">+K332/J332-1</f>
        <v>-2.1170815758567718E-3</v>
      </c>
      <c r="M332">
        <f t="shared" ref="M332" si="153">WEEKDAY(A332,2)</f>
        <v>4</v>
      </c>
    </row>
    <row r="333" spans="1:14" ht="13.5" x14ac:dyDescent="0.15">
      <c r="A333" s="1">
        <v>42874</v>
      </c>
      <c r="B333">
        <v>11.32</v>
      </c>
      <c r="C333" s="25">
        <f t="shared" ref="C333" si="154">B333/B332-1</f>
        <v>5.3285968028420339E-3</v>
      </c>
      <c r="D333" s="26">
        <f t="shared" ref="D333" si="155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6">+B333/D333-1</f>
        <v>-1.6862433194199999E-2</v>
      </c>
      <c r="H333" s="25">
        <f>(+B333/(D333*(1-VLOOKUP(A333,FX!A:K,9,0)))-1)</f>
        <v>-1.6155785833670722E-2</v>
      </c>
      <c r="I333" s="25">
        <f t="shared" si="74"/>
        <v>-1.4023168713526712E-2</v>
      </c>
      <c r="J333">
        <v>10459.219999999999</v>
      </c>
      <c r="K333">
        <v>10496.74</v>
      </c>
      <c r="L333" s="25">
        <f t="shared" ref="L333" si="157">+K333/J333-1</f>
        <v>3.587265589594768E-3</v>
      </c>
      <c r="M333">
        <f t="shared" ref="M333" si="158">WEEKDAY(A333,2)</f>
        <v>5</v>
      </c>
    </row>
    <row r="334" spans="1:14" ht="13.5" x14ac:dyDescent="0.15">
      <c r="A334" s="1">
        <v>42877</v>
      </c>
      <c r="B334">
        <v>11.44</v>
      </c>
      <c r="C334" s="25">
        <f t="shared" ref="C334" si="159">B334/B333-1</f>
        <v>1.0600706713780772E-2</v>
      </c>
      <c r="D334" s="26">
        <f t="shared" ref="D334" si="160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1">+B334/D334-1</f>
        <v>-1.2059689814795438E-2</v>
      </c>
      <c r="H334" s="25">
        <f>(+B334/(D334*(1-VLOOKUP(A334,FX!A:K,9,0)))-1)</f>
        <v>-1.322592477026685E-2</v>
      </c>
      <c r="I334" s="25">
        <f t="shared" si="74"/>
        <v>-1.3878113955693605E-2</v>
      </c>
      <c r="J334">
        <v>10496.74</v>
      </c>
      <c r="K334">
        <v>10586.93</v>
      </c>
      <c r="L334" s="25">
        <f t="shared" ref="L334" si="162">+K334/J334-1</f>
        <v>8.5921914804025779E-3</v>
      </c>
      <c r="M334">
        <f t="shared" ref="M334" si="163">WEEKDAY(A334,2)</f>
        <v>1</v>
      </c>
    </row>
    <row r="335" spans="1:14" ht="13.5" x14ac:dyDescent="0.15">
      <c r="A335" s="1">
        <v>42878</v>
      </c>
      <c r="B335">
        <v>11.54</v>
      </c>
      <c r="C335" s="25">
        <f t="shared" ref="C335" si="164">B335/B334-1</f>
        <v>8.7412587412587506E-3</v>
      </c>
      <c r="D335" s="26">
        <f t="shared" ref="D335" si="165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6">+B335/D335-1</f>
        <v>-1.9630897585148688E-2</v>
      </c>
      <c r="H335" s="25">
        <f>(+B335/(D335*(1-VLOOKUP(A335,FX!A:K,9,0)))-1)</f>
        <v>-1.9479821273579501E-2</v>
      </c>
      <c r="I335" s="25">
        <f t="shared" si="74"/>
        <v>-1.9624500892022945E-2</v>
      </c>
      <c r="J335">
        <v>10586.93</v>
      </c>
      <c r="K335">
        <v>10742.14</v>
      </c>
      <c r="L335" s="25">
        <f t="shared" ref="L335" si="167">+K335/J335-1</f>
        <v>1.4660529539724854E-2</v>
      </c>
      <c r="M335">
        <f t="shared" ref="M335" si="168">WEEKDAY(A335,2)</f>
        <v>2</v>
      </c>
    </row>
    <row r="336" spans="1:14" ht="13.5" x14ac:dyDescent="0.15">
      <c r="A336" s="1">
        <v>42879</v>
      </c>
      <c r="B336">
        <v>11.52</v>
      </c>
      <c r="C336" s="25">
        <f t="shared" ref="C336" si="169">B336/B335-1</f>
        <v>-1.7331022530329143E-3</v>
      </c>
      <c r="D336" s="26">
        <f t="shared" ref="D336" si="170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1">+B336/D336-1</f>
        <v>-1.9952345903048174E-2</v>
      </c>
      <c r="H336" s="25">
        <f>(+B336/(D336*(1-VLOOKUP(A336,FX!A:K,9,0)))-1)</f>
        <v>-1.954486803737987E-2</v>
      </c>
      <c r="I336" s="25">
        <f t="shared" si="74"/>
        <v>-1.890648952478291E-2</v>
      </c>
      <c r="J336">
        <v>10742.14</v>
      </c>
      <c r="K336">
        <v>10727.11</v>
      </c>
      <c r="L336" s="25">
        <f t="shared" ref="L336" si="172">+K336/J336-1</f>
        <v>-1.399162550478672E-3</v>
      </c>
      <c r="M336">
        <f t="shared" ref="M336" si="173">WEEKDAY(A336,2)</f>
        <v>3</v>
      </c>
    </row>
    <row r="337" spans="1:14" ht="13.5" x14ac:dyDescent="0.15">
      <c r="A337" s="1">
        <v>42880</v>
      </c>
      <c r="B337">
        <v>11.86</v>
      </c>
      <c r="C337" s="25">
        <f t="shared" ref="C337" si="174">B337/B336-1</f>
        <v>2.951388888888884E-2</v>
      </c>
      <c r="D337" s="26">
        <f t="shared" ref="D337" si="175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6">+B337/D337-1</f>
        <v>-1.5680115741843581E-2</v>
      </c>
      <c r="H337" s="25">
        <f>(+B337/(D337*(1-VLOOKUP(A337,FX!A:K,9,0)))-1)</f>
        <v>-1.9368488952221208E-2</v>
      </c>
      <c r="I337" s="25">
        <f t="shared" si="74"/>
        <v>-1.6746808157851123E-2</v>
      </c>
      <c r="J337">
        <v>10727.11</v>
      </c>
      <c r="K337">
        <v>11007.51</v>
      </c>
      <c r="L337" s="25">
        <f t="shared" ref="L337" si="177">+K337/J337-1</f>
        <v>2.6139379571944232E-2</v>
      </c>
      <c r="M337">
        <f t="shared" ref="M337" si="178">WEEKDAY(A337,2)</f>
        <v>4</v>
      </c>
    </row>
    <row r="338" spans="1:14" ht="13.5" x14ac:dyDescent="0.15">
      <c r="A338" s="1">
        <v>42881</v>
      </c>
      <c r="B338">
        <v>11.9</v>
      </c>
      <c r="C338" s="25">
        <f t="shared" ref="C338" si="179">B338/B337-1</f>
        <v>3.3726812816190499E-3</v>
      </c>
      <c r="D338" s="26">
        <f t="shared" ref="D338" si="180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1">+B338/D338-1</f>
        <v>-1.2049318750065319E-2</v>
      </c>
      <c r="H338" s="25">
        <f>(+B338/(D338*(1-VLOOKUP(A338,FX!A:K,9,0)))-1)</f>
        <v>-1.3793247829859356E-2</v>
      </c>
      <c r="I338" s="25">
        <f t="shared" si="74"/>
        <v>-1.2612014603385235E-2</v>
      </c>
      <c r="J338">
        <v>11007.51</v>
      </c>
      <c r="K338">
        <v>10992.12</v>
      </c>
      <c r="L338" s="25">
        <f t="shared" ref="L338" si="182">+K338/J338-1</f>
        <v>-1.3981363632646904E-3</v>
      </c>
      <c r="M338">
        <f t="shared" ref="M338" si="183">WEEKDAY(A338,2)</f>
        <v>5</v>
      </c>
    </row>
    <row r="339" spans="1:14" ht="13.5" x14ac:dyDescent="0.15">
      <c r="A339" s="1">
        <v>42884</v>
      </c>
      <c r="B339">
        <v>11.9</v>
      </c>
      <c r="C339" s="25">
        <f t="shared" ref="C339" si="184">B339/B338-1</f>
        <v>0</v>
      </c>
      <c r="D339" s="26">
        <f t="shared" ref="D339" si="185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6">+B339/D339-1</f>
        <v>-1.2612014603385235E-2</v>
      </c>
      <c r="H339" s="25">
        <f>(+B339/(D339*(1-VLOOKUP(A339,FX!A:K,9,0)))-1)</f>
        <v>-1.6353916605079677E-2</v>
      </c>
      <c r="I339" s="25">
        <f t="shared" si="74"/>
        <v>-1.2530080491245488E-2</v>
      </c>
      <c r="J339">
        <v>10992.12</v>
      </c>
      <c r="K339">
        <v>10992.12</v>
      </c>
      <c r="L339" s="25">
        <f t="shared" ref="L339" si="187">+K339/J339-1</f>
        <v>0</v>
      </c>
      <c r="M339">
        <f t="shared" ref="M339" si="188">WEEKDAY(A339,2)</f>
        <v>1</v>
      </c>
    </row>
    <row r="340" spans="1:14" ht="13.5" x14ac:dyDescent="0.15">
      <c r="A340" s="1">
        <v>42885</v>
      </c>
      <c r="B340">
        <v>11.9</v>
      </c>
      <c r="C340" s="25">
        <f t="shared" ref="C340" si="189">B340/B339-1</f>
        <v>0</v>
      </c>
      <c r="D340" s="26">
        <f t="shared" ref="D340" si="190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1">+B340/D340-1</f>
        <v>-1.2530080491245488E-2</v>
      </c>
      <c r="H340" s="25">
        <f>(+B340/(D340*(1-VLOOKUP(A340,FX!A:K,9,0)))-1)</f>
        <v>-1.1134578122280914E-2</v>
      </c>
      <c r="I340" s="25">
        <f t="shared" si="74"/>
        <v>-1.0806317539484578E-2</v>
      </c>
      <c r="J340">
        <v>10992.12</v>
      </c>
      <c r="K340">
        <v>10992.12</v>
      </c>
      <c r="L340" s="25">
        <f t="shared" ref="L340" si="192">+K340/J340-1</f>
        <v>0</v>
      </c>
      <c r="M340">
        <f t="shared" ref="M340" si="193">WEEKDAY(A340,2)</f>
        <v>2</v>
      </c>
    </row>
    <row r="341" spans="1:14" ht="13.5" x14ac:dyDescent="0.15">
      <c r="A341" s="1">
        <v>42886</v>
      </c>
      <c r="B341">
        <v>11.94</v>
      </c>
      <c r="C341" s="25">
        <f t="shared" ref="C341" si="194">B341/B340-1</f>
        <v>3.3613445378151141E-3</v>
      </c>
      <c r="D341" s="26">
        <f t="shared" ref="D341" si="195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6">+B341/D341-1</f>
        <v>-1.1079051216920321E-2</v>
      </c>
      <c r="H341" s="25">
        <f>(+B341/(D341*(1-VLOOKUP(A341,FX!A:K,9,0)))-1)</f>
        <v>-1.5892649788486479E-2</v>
      </c>
      <c r="I341" s="25">
        <f t="shared" ref="I341:I378" si="197">+B341/F341-1</f>
        <v>-1.3304685563176655E-2</v>
      </c>
      <c r="J341">
        <v>10992.12</v>
      </c>
      <c r="K341">
        <v>11032.11</v>
      </c>
      <c r="L341" s="25">
        <f t="shared" ref="L341" si="198">+K341/J341-1</f>
        <v>3.6380607198611692E-3</v>
      </c>
      <c r="M341">
        <f t="shared" ref="M341" si="199">WEEKDAY(A341,2)</f>
        <v>3</v>
      </c>
    </row>
    <row r="342" spans="1:14" ht="13.5" x14ac:dyDescent="0.15">
      <c r="A342" s="1">
        <v>42887</v>
      </c>
      <c r="B342">
        <v>12.02</v>
      </c>
      <c r="C342" s="25">
        <f t="shared" ref="C342" si="200">B342/B341-1</f>
        <v>6.7001675041875597E-3</v>
      </c>
      <c r="D342" s="26">
        <f t="shared" ref="D342" si="2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2">+B342/D342-1</f>
        <v>-1.5565264789831557E-2</v>
      </c>
      <c r="H342" s="25">
        <f>(+B342/(D342*(1-VLOOKUP(A342,FX!A:K,9,0)))-1)</f>
        <v>-2.3212034633383838E-2</v>
      </c>
      <c r="I342" s="25">
        <f t="shared" si="197"/>
        <v>-2.3161316537992693E-2</v>
      </c>
      <c r="J342">
        <v>11032.11</v>
      </c>
      <c r="K342">
        <v>11131.53</v>
      </c>
      <c r="L342" s="25">
        <f t="shared" ref="L342" si="203">+K342/J342-1</f>
        <v>9.0118753348180647E-3</v>
      </c>
      <c r="M342">
        <f t="shared" ref="M342" si="204">WEEKDAY(A342,2)</f>
        <v>4</v>
      </c>
    </row>
    <row r="343" spans="1:14" ht="13.5" x14ac:dyDescent="0.15">
      <c r="A343" s="1">
        <v>42888</v>
      </c>
      <c r="B343">
        <v>11.96</v>
      </c>
      <c r="C343" s="25">
        <f t="shared" ref="C343" si="205">B343/B342-1</f>
        <v>-4.991680532445808E-3</v>
      </c>
      <c r="D343" s="26">
        <f t="shared" ref="D343" si="206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7">+B343/D343-1</f>
        <v>-2.068606015065344E-2</v>
      </c>
      <c r="H343" s="25">
        <f>(+B343/(D343*(1-VLOOKUP(A343,FX!A:K,9,0)))-1)</f>
        <v>-1.3974496184555707E-2</v>
      </c>
      <c r="I343" s="25">
        <f t="shared" si="197"/>
        <v>-2.111638566050078E-2</v>
      </c>
      <c r="J343">
        <v>11131.53</v>
      </c>
      <c r="K343">
        <v>11047.97</v>
      </c>
      <c r="L343" s="25">
        <f t="shared" ref="L343" si="208">+K343/J343-1</f>
        <v>-7.5066051117861354E-3</v>
      </c>
      <c r="M343">
        <f t="shared" ref="M343" si="209">WEEKDAY(A343,2)</f>
        <v>5</v>
      </c>
    </row>
    <row r="344" spans="1:14" ht="13.5" x14ac:dyDescent="0.15">
      <c r="A344" s="1">
        <v>42891</v>
      </c>
      <c r="B344">
        <v>11.84</v>
      </c>
      <c r="C344" s="25">
        <f t="shared" ref="C344" si="210">B344/B343-1</f>
        <v>-1.0033444816053616E-2</v>
      </c>
      <c r="D344" s="26">
        <f t="shared" ref="D344" si="211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2">+B344/D344-1</f>
        <v>-2.050912032097818E-2</v>
      </c>
      <c r="H344" s="25">
        <f>(+B344/(D344*(1-VLOOKUP(A344,FX!A:K,9,0)))-1)</f>
        <v>-2.1314635485017774E-2</v>
      </c>
      <c r="I344" s="25">
        <f t="shared" si="197"/>
        <v>-2.2376352076624584E-2</v>
      </c>
      <c r="J344">
        <v>11047.97</v>
      </c>
      <c r="K344">
        <v>10930.34</v>
      </c>
      <c r="L344" s="25">
        <f t="shared" ref="L344" si="213">+K344/J344-1</f>
        <v>-1.064720487112103E-2</v>
      </c>
      <c r="M344">
        <f t="shared" ref="M344" si="214">WEEKDAY(A344,2)</f>
        <v>1</v>
      </c>
      <c r="N344" s="50" t="s">
        <v>351</v>
      </c>
    </row>
    <row r="345" spans="1:14" ht="13.5" x14ac:dyDescent="0.15">
      <c r="A345" s="1">
        <v>42892</v>
      </c>
      <c r="B345">
        <v>11.94</v>
      </c>
      <c r="C345" s="25">
        <f t="shared" ref="C345" si="215">B345/B344-1</f>
        <v>8.4459459459458319E-3</v>
      </c>
      <c r="D345" s="26">
        <f t="shared" ref="D345" si="216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7">+B345/D345-1</f>
        <v>-2.2366856526101819E-2</v>
      </c>
      <c r="H345" s="25">
        <f>(+B345/(D345*(1-VLOOKUP(A345,FX!A:K,9,0)))-1)</f>
        <v>-2.4423625100912227E-2</v>
      </c>
      <c r="I345" s="25">
        <f t="shared" si="197"/>
        <v>-2.2353230164578686E-2</v>
      </c>
      <c r="J345">
        <v>10930.34</v>
      </c>
      <c r="K345">
        <v>11022.55</v>
      </c>
      <c r="L345" s="25">
        <f t="shared" ref="L345" si="218">+K345/J345-1</f>
        <v>8.4361511169825931E-3</v>
      </c>
      <c r="M345">
        <f t="shared" ref="M345" si="219">WEEKDAY(A345,2)</f>
        <v>2</v>
      </c>
      <c r="N345" s="50" t="s">
        <v>353</v>
      </c>
    </row>
    <row r="346" spans="1:14" ht="13.5" x14ac:dyDescent="0.15">
      <c r="A346" s="1">
        <v>42893</v>
      </c>
      <c r="B346">
        <v>12.04</v>
      </c>
      <c r="C346" s="25">
        <f t="shared" ref="C346" si="220">B346/B345-1</f>
        <v>8.3752093802345051E-3</v>
      </c>
      <c r="D346" s="26">
        <f t="shared" ref="D346" si="221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2">+B346/D346-1</f>
        <v>-2.4095553226058164E-2</v>
      </c>
      <c r="H346" s="25">
        <f>(+B346/(D346*(1-VLOOKUP(A346,FX!A:K,9,0)))-1)</f>
        <v>-2.3981643311549616E-2</v>
      </c>
      <c r="I346" s="25">
        <f t="shared" si="197"/>
        <v>-2.5101214574898778E-2</v>
      </c>
      <c r="J346">
        <v>11022.55</v>
      </c>
      <c r="K346">
        <v>11134.71</v>
      </c>
      <c r="L346" s="25">
        <f t="shared" ref="L346" si="223">+K346/J346-1</f>
        <v>1.0175503853464107E-2</v>
      </c>
      <c r="M346">
        <f t="shared" ref="M346" si="224">WEEKDAY(A346,2)</f>
        <v>3</v>
      </c>
    </row>
    <row r="347" spans="1:14" ht="13.5" x14ac:dyDescent="0.15">
      <c r="A347" s="1">
        <v>42894</v>
      </c>
      <c r="B347">
        <v>12.16</v>
      </c>
      <c r="C347" s="25">
        <f t="shared" ref="C347" si="225">B347/B346-1</f>
        <v>9.9667774086380501E-3</v>
      </c>
      <c r="D347" s="26">
        <f t="shared" ref="D347" si="226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7">+B347/D347-1</f>
        <v>-2.3698519062617329E-2</v>
      </c>
      <c r="H347" s="25">
        <f>(+B347/(D347*(1-VLOOKUP(A347,FX!A:K,9,0)))-1)</f>
        <v>-2.3675443081798253E-2</v>
      </c>
      <c r="I347" s="25">
        <f t="shared" si="197"/>
        <v>-2.2822243651559049E-2</v>
      </c>
      <c r="J347">
        <v>11134.71</v>
      </c>
      <c r="K347">
        <v>11229.53</v>
      </c>
      <c r="L347" s="25">
        <f t="shared" ref="L347" si="228">+K347/J347-1</f>
        <v>8.5157134761482123E-3</v>
      </c>
      <c r="M347">
        <f t="shared" ref="M347" si="229">WEEKDAY(A347,2)</f>
        <v>4</v>
      </c>
    </row>
    <row r="348" spans="1:14" ht="13.5" x14ac:dyDescent="0.15">
      <c r="A348" s="1">
        <v>42895</v>
      </c>
      <c r="B348">
        <v>12.24</v>
      </c>
      <c r="C348" s="25">
        <f t="shared" ref="C348" si="230">B348/B347-1</f>
        <v>6.5789473684210176E-3</v>
      </c>
      <c r="D348" s="26">
        <f t="shared" ref="D348" si="231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2">+B348/D348-1</f>
        <v>-2.2789522432277498E-2</v>
      </c>
      <c r="H348" s="25">
        <f>(+B348/(D348*(1-VLOOKUP(A348,FX!A:K,9,0)))-1)</f>
        <v>-2.0247030151949064E-2</v>
      </c>
      <c r="I348" s="25">
        <f t="shared" si="197"/>
        <v>-2.2676461194506503E-2</v>
      </c>
      <c r="J348">
        <v>11229.53</v>
      </c>
      <c r="K348">
        <v>11303.03</v>
      </c>
      <c r="L348" s="25">
        <f t="shared" ref="L348" si="233">+K348/J348-1</f>
        <v>6.5452427661709667E-3</v>
      </c>
      <c r="M348">
        <f t="shared" ref="M348" si="234">WEEKDAY(A348,2)</f>
        <v>5</v>
      </c>
    </row>
    <row r="349" spans="1:14" ht="13.5" x14ac:dyDescent="0.15">
      <c r="A349" s="1">
        <v>42898</v>
      </c>
      <c r="B349">
        <v>12.18</v>
      </c>
      <c r="C349" s="25">
        <f t="shared" ref="C349" si="235">B349/B348-1</f>
        <v>-4.9019607843138191E-3</v>
      </c>
      <c r="D349" s="26">
        <f t="shared" ref="D349" si="236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7">+B349/D349-1</f>
        <v>-2.8374157081272222E-2</v>
      </c>
      <c r="H349" s="25">
        <f>(+B349/(D349*(1-VLOOKUP(A349,FX!A:K,9,0)))-1)</f>
        <v>-2.841996627312815E-2</v>
      </c>
      <c r="I349" s="25">
        <f t="shared" si="197"/>
        <v>-2.8475711892797406E-2</v>
      </c>
      <c r="J349">
        <v>11303.03</v>
      </c>
      <c r="K349">
        <v>11313.58</v>
      </c>
      <c r="L349" s="25">
        <f t="shared" ref="L349" si="238">+K349/J349-1</f>
        <v>9.3337804110915634E-4</v>
      </c>
      <c r="M349">
        <f t="shared" ref="M349" si="239">WEEKDAY(A349,2)</f>
        <v>1</v>
      </c>
    </row>
    <row r="350" spans="1:14" ht="13.5" x14ac:dyDescent="0.15">
      <c r="A350" s="1">
        <v>42899</v>
      </c>
      <c r="B350">
        <v>12.18</v>
      </c>
      <c r="C350" s="25">
        <f t="shared" ref="C350" si="240">B350/B349-1</f>
        <v>0</v>
      </c>
      <c r="D350" s="26">
        <f t="shared" ref="D350" si="241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2">+B350/D350-1</f>
        <v>-2.6044606946367121E-2</v>
      </c>
      <c r="H350" s="25">
        <f>(+B350/(D350*(1-VLOOKUP(A350,FX!A:K,9,0)))-1)</f>
        <v>-2.5647011147104992E-2</v>
      </c>
      <c r="I350" s="25">
        <f t="shared" si="197"/>
        <v>-2.6145358599184432E-2</v>
      </c>
      <c r="J350">
        <v>11313.58</v>
      </c>
      <c r="K350">
        <v>11285.34</v>
      </c>
      <c r="L350" s="25">
        <f t="shared" ref="L350" si="243">+K350/J350-1</f>
        <v>-2.496115287998979E-3</v>
      </c>
      <c r="M350">
        <f t="shared" ref="M350" si="244">WEEKDAY(A350,2)</f>
        <v>2</v>
      </c>
    </row>
    <row r="351" spans="1:14" ht="13.5" x14ac:dyDescent="0.15">
      <c r="A351" s="1">
        <v>42900</v>
      </c>
      <c r="B351">
        <v>12.02</v>
      </c>
      <c r="C351" s="25">
        <f t="shared" ref="C351" si="245">B351/B350-1</f>
        <v>-1.3136288998357948E-2</v>
      </c>
      <c r="D351" s="26">
        <f t="shared" ref="D351" si="246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7">+B351/D351-1</f>
        <v>-2.2956196178948729E-2</v>
      </c>
      <c r="H351" s="25">
        <f>(+B351/(D351*(1-VLOOKUP(A351,FX!A:K,9,0)))-1)</f>
        <v>-2.2904389573143114E-2</v>
      </c>
      <c r="I351" s="25">
        <f t="shared" si="197"/>
        <v>-2.6957014490407216E-2</v>
      </c>
      <c r="J351">
        <v>11285.34</v>
      </c>
      <c r="K351">
        <v>11100.74</v>
      </c>
      <c r="L351" s="25">
        <f t="shared" ref="L351" si="248">+K351/J351-1</f>
        <v>-1.6357504514706744E-2</v>
      </c>
      <c r="M351">
        <f t="shared" ref="M351" si="249">WEEKDAY(A351,2)</f>
        <v>3</v>
      </c>
    </row>
    <row r="352" spans="1:14" ht="13.5" x14ac:dyDescent="0.15">
      <c r="A352" s="1">
        <v>42901</v>
      </c>
      <c r="B352">
        <v>11.94</v>
      </c>
      <c r="C352" s="25">
        <f t="shared" ref="C352" si="250">B352/B351-1</f>
        <v>-6.6555740432612254E-3</v>
      </c>
      <c r="D352" s="26">
        <f t="shared" ref="D352" si="25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2">+B352/D352-1</f>
        <v>-2.6249833092091723E-2</v>
      </c>
      <c r="H352" s="25">
        <f>(+B352/(D352*(1-VLOOKUP(A352,FX!A:K,9,0)))-1)</f>
        <v>-2.6971638464454162E-2</v>
      </c>
      <c r="I352" s="25">
        <f t="shared" si="197"/>
        <v>-2.7528913503828023E-2</v>
      </c>
      <c r="J352">
        <v>11100.74</v>
      </c>
      <c r="K352">
        <v>11018.85</v>
      </c>
      <c r="L352" s="25">
        <f t="shared" ref="L352" si="253">+K352/J352-1</f>
        <v>-7.3769856784321464E-3</v>
      </c>
      <c r="M352">
        <f t="shared" ref="M352" si="254">WEEKDAY(A352,2)</f>
        <v>4</v>
      </c>
      <c r="N352" s="50" t="s">
        <v>360</v>
      </c>
    </row>
    <row r="353" spans="1:14" ht="13.5" x14ac:dyDescent="0.15">
      <c r="A353" s="1">
        <v>42902</v>
      </c>
      <c r="B353">
        <v>11.88</v>
      </c>
      <c r="C353" s="25">
        <f t="shared" ref="C353" si="255">B353/B352-1</f>
        <v>-5.0251256281406143E-3</v>
      </c>
      <c r="D353" s="26">
        <f t="shared" ref="D353" si="256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7">+B353/D353-1</f>
        <v>-2.8589603862676394E-2</v>
      </c>
      <c r="H353" s="25">
        <f>(+B353/(D353*(1-VLOOKUP(A353,FX!A:K,9,0)))-1)</f>
        <v>-2.2584330459831992E-2</v>
      </c>
      <c r="I353" s="25">
        <f t="shared" si="197"/>
        <v>-2.8697571743929284E-2</v>
      </c>
      <c r="J353">
        <v>11018.85</v>
      </c>
      <c r="K353">
        <v>10975.45</v>
      </c>
      <c r="L353" s="25">
        <f t="shared" ref="L353" si="258">+K353/J353-1</f>
        <v>-3.9387050372770016E-3</v>
      </c>
      <c r="M353">
        <f t="shared" ref="M353" si="259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60">B354/B353-1</f>
        <v>1.1784511784511675E-2</v>
      </c>
      <c r="D354" s="26">
        <f t="shared" ref="D354" si="261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2">+B354/D354-1</f>
        <v>-2.7459183820633282E-2</v>
      </c>
      <c r="H354" s="25">
        <f>(+B354/(D354*(1-VLOOKUP(A354,FX!A:K,9,0)))-1)</f>
        <v>-2.9550397115225446E-2</v>
      </c>
      <c r="I354" s="25">
        <f t="shared" si="197"/>
        <v>-2.7508090614886682E-2</v>
      </c>
      <c r="J354">
        <v>10975.45</v>
      </c>
      <c r="K354">
        <v>11090.65</v>
      </c>
      <c r="L354" s="25">
        <f t="shared" ref="L354" si="263">+K354/J354-1</f>
        <v>1.0496152777334844E-2</v>
      </c>
      <c r="M354">
        <f t="shared" ref="M354" si="264">WEEKDAY(A354,2)</f>
        <v>1</v>
      </c>
      <c r="N354" s="50" t="s">
        <v>364</v>
      </c>
    </row>
    <row r="355" spans="1:14" ht="13.5" x14ac:dyDescent="0.15">
      <c r="A355" s="1">
        <v>42906</v>
      </c>
      <c r="B355">
        <v>11.96</v>
      </c>
      <c r="C355" s="25">
        <f t="shared" ref="C355:C357" si="265">B355/B354-1</f>
        <v>-4.991680532445808E-3</v>
      </c>
      <c r="D355" s="26">
        <f t="shared" ref="D355" si="266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7">+B355/D355-1</f>
        <v>-3.0005397107126019E-2</v>
      </c>
      <c r="H355" s="25">
        <f>(+B355/(D355*(1-VLOOKUP(A355,FX!A:K,9,0)))-1)</f>
        <v>-2.704406041149976E-2</v>
      </c>
      <c r="I355" s="25">
        <f t="shared" si="197"/>
        <v>-2.835323746851881E-2</v>
      </c>
      <c r="J355">
        <v>11090.65</v>
      </c>
      <c r="K355">
        <v>11063.7</v>
      </c>
      <c r="L355" s="25">
        <f t="shared" ref="L355" si="268">+K355/J355-1</f>
        <v>-2.4299747985915277E-3</v>
      </c>
      <c r="M355">
        <f t="shared" ref="M355" si="269">WEEKDAY(A355,2)</f>
        <v>2</v>
      </c>
    </row>
    <row r="356" spans="1:14" ht="13.5" x14ac:dyDescent="0.15">
      <c r="A356" s="1">
        <v>42907</v>
      </c>
      <c r="B356">
        <v>12.08</v>
      </c>
      <c r="C356" s="25">
        <f t="shared" si="265"/>
        <v>1.0033444816053505E-2</v>
      </c>
      <c r="D356" s="26">
        <f t="shared" ref="D356:D357" si="270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1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2">+K356/J356-1</f>
        <v>1.1780868967885993E-2</v>
      </c>
      <c r="M356">
        <f t="shared" ref="M356:M357" si="273">WEEKDAY(A356,2)</f>
        <v>3</v>
      </c>
    </row>
    <row r="357" spans="1:14" ht="13.5" x14ac:dyDescent="0.15">
      <c r="A357" s="1">
        <v>42908</v>
      </c>
      <c r="B357">
        <v>12.18</v>
      </c>
      <c r="C357" s="25">
        <f t="shared" si="265"/>
        <v>8.2781456953642252E-3</v>
      </c>
      <c r="D357" s="26">
        <f t="shared" si="270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4">+B357/D357-1</f>
        <v>-2.8393486682597668E-2</v>
      </c>
      <c r="H357" s="25">
        <f>(+B357/(D357*(1-VLOOKUP(A357,FX!A:K,9,0)))-1)</f>
        <v>-2.8278243020006255E-2</v>
      </c>
      <c r="I357" s="25">
        <f t="shared" si="197"/>
        <v>-2.7932960893854775E-2</v>
      </c>
      <c r="J357">
        <v>11194.04</v>
      </c>
      <c r="K357">
        <v>11280.37</v>
      </c>
      <c r="L357" s="25">
        <f t="shared" si="272"/>
        <v>7.7121396743267123E-3</v>
      </c>
      <c r="M357">
        <f t="shared" si="273"/>
        <v>4</v>
      </c>
    </row>
    <row r="358" spans="1:14" ht="13.5" x14ac:dyDescent="0.15">
      <c r="A358" s="1">
        <v>42909</v>
      </c>
      <c r="B358">
        <v>12.3</v>
      </c>
      <c r="C358" s="25">
        <f t="shared" ref="C358" si="275">B358/B357-1</f>
        <v>9.8522167487684609E-3</v>
      </c>
      <c r="D358" s="26">
        <f t="shared" ref="D358" si="276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4"/>
        <v>-2.5469439908006763E-2</v>
      </c>
      <c r="H358" s="25">
        <f>(+B358/(D358*(1-VLOOKUP(A358,FX!A:K,9,0)))-1)</f>
        <v>-2.4008740390135119E-2</v>
      </c>
      <c r="I358" s="25">
        <f t="shared" si="197"/>
        <v>-2.4583663758921404E-2</v>
      </c>
      <c r="J358">
        <v>11280.37</v>
      </c>
      <c r="K358">
        <v>11362.71</v>
      </c>
      <c r="L358" s="25">
        <f t="shared" si="272"/>
        <v>7.2994059592015326E-3</v>
      </c>
      <c r="M358">
        <f t="shared" ref="M358" si="277">WEEKDAY(A358,2)</f>
        <v>5</v>
      </c>
    </row>
    <row r="359" spans="1:14" ht="13.5" x14ac:dyDescent="0.15">
      <c r="A359" s="1">
        <v>42912</v>
      </c>
      <c r="B359">
        <v>12.42</v>
      </c>
      <c r="C359" s="25">
        <f t="shared" ref="C359" si="278">B359/B358-1</f>
        <v>9.7560975609756184E-3</v>
      </c>
      <c r="D359" s="26">
        <f t="shared" ref="D359" si="279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4"/>
        <v>-2.1462552944311541E-2</v>
      </c>
      <c r="H359" s="25">
        <f>(+B359/(D359*(1-VLOOKUP(A359,FX!A:K,9,0)))-1)</f>
        <v>-2.0227240774714161E-2</v>
      </c>
      <c r="I359" s="25">
        <f t="shared" si="197"/>
        <v>-2.1585000787773811E-2</v>
      </c>
      <c r="J359">
        <v>11362.71</v>
      </c>
      <c r="K359">
        <v>11436.97</v>
      </c>
      <c r="L359" s="25">
        <f t="shared" si="272"/>
        <v>6.5354127668488804E-3</v>
      </c>
      <c r="M359">
        <f t="shared" ref="M359" si="280">WEEKDAY(A359,2)</f>
        <v>1</v>
      </c>
    </row>
    <row r="360" spans="1:14" ht="13.5" x14ac:dyDescent="0.15">
      <c r="A360" s="1">
        <v>42913</v>
      </c>
      <c r="B360">
        <v>12.44</v>
      </c>
      <c r="C360" s="25">
        <f t="shared" ref="C360" si="281">B360/B359-1</f>
        <v>1.6103059581320522E-3</v>
      </c>
      <c r="D360" s="26">
        <f t="shared" ref="D360" si="282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4"/>
        <v>-2.4758194964189073E-2</v>
      </c>
      <c r="H360" s="25">
        <f>(+B360/(D360*(1-VLOOKUP(A360,FX!A:K,9,0)))-1)</f>
        <v>-2.4995957075988673E-2</v>
      </c>
      <c r="I360" s="25">
        <f t="shared" si="197"/>
        <v>-2.377776033900969E-2</v>
      </c>
      <c r="J360">
        <v>11436.97</v>
      </c>
      <c r="K360">
        <v>11492.66</v>
      </c>
      <c r="L360" s="25">
        <f t="shared" si="272"/>
        <v>4.8692966756056499E-3</v>
      </c>
      <c r="M360">
        <f t="shared" ref="M360" si="283">WEEKDAY(A360,2)</f>
        <v>2</v>
      </c>
    </row>
    <row r="361" spans="1:14" ht="13.5" x14ac:dyDescent="0.15">
      <c r="A361" s="1">
        <v>42914</v>
      </c>
      <c r="B361">
        <v>12.4</v>
      </c>
      <c r="C361" s="25">
        <f t="shared" ref="C361" si="284">B361/B360-1</f>
        <v>-3.215434083601254E-3</v>
      </c>
      <c r="D361" s="26">
        <f t="shared" ref="D361" si="285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4"/>
        <v>-1.9869792196593239E-2</v>
      </c>
      <c r="H361" s="25">
        <f>(+B361/(D361*(1-VLOOKUP(A361,FX!A:K,9,0)))-1)</f>
        <v>-2.6518873936609677E-2</v>
      </c>
      <c r="I361" s="25">
        <f t="shared" si="197"/>
        <v>-2.3622047244094446E-2</v>
      </c>
      <c r="J361">
        <v>11492.66</v>
      </c>
      <c r="K361">
        <v>11410.03</v>
      </c>
      <c r="L361" s="25">
        <f t="shared" si="272"/>
        <v>-7.1898063633657472E-3</v>
      </c>
      <c r="M361">
        <f t="shared" ref="M361" si="286">WEEKDAY(A361,2)</f>
        <v>3</v>
      </c>
    </row>
    <row r="362" spans="1:14" ht="13.5" x14ac:dyDescent="0.15">
      <c r="A362" s="1">
        <v>42915</v>
      </c>
      <c r="B362">
        <v>12.52</v>
      </c>
      <c r="C362" s="25">
        <f t="shared" ref="C362" si="287">B362/B361-1</f>
        <v>9.6774193548385679E-3</v>
      </c>
      <c r="D362" s="26">
        <f t="shared" ref="D362" si="288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4"/>
        <v>-2.0688507917499321E-2</v>
      </c>
      <c r="H362" s="25">
        <f>(+B362/(D362*(1-VLOOKUP(A362,FX!A:K,9,0)))-1)</f>
        <v>-2.2568051833697811E-2</v>
      </c>
      <c r="I362" s="25">
        <f t="shared" si="197"/>
        <v>-2.2562260910297449E-2</v>
      </c>
      <c r="J362">
        <v>11410.03</v>
      </c>
      <c r="K362">
        <v>11485.94</v>
      </c>
      <c r="L362" s="25">
        <f t="shared" ref="L362" si="289">+K362/J362-1</f>
        <v>6.652918528698093E-3</v>
      </c>
      <c r="M362">
        <f t="shared" ref="M362" si="290">WEEKDAY(A362,2)</f>
        <v>4</v>
      </c>
    </row>
    <row r="363" spans="1:14" ht="13.5" x14ac:dyDescent="0.15">
      <c r="A363" s="1">
        <v>42916</v>
      </c>
      <c r="B363">
        <v>12.54</v>
      </c>
      <c r="C363" s="25">
        <f t="shared" ref="C363" si="291">B363/B362-1</f>
        <v>1.5974440894568342E-3</v>
      </c>
      <c r="D363" s="26">
        <f t="shared" ref="D363" si="292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3">+B363/D363-1</f>
        <v>-1.8806274190720784E-2</v>
      </c>
      <c r="H363" s="25">
        <f>(+B363/(D363*(1-VLOOKUP(A363,FX!A:K,9,0)))-1)</f>
        <v>-2.1481923769151146E-2</v>
      </c>
      <c r="I363" s="25">
        <f t="shared" si="197"/>
        <v>-2.2069718474616029E-2</v>
      </c>
      <c r="J363">
        <v>11485.94</v>
      </c>
      <c r="K363">
        <v>11460.25</v>
      </c>
      <c r="L363" s="25">
        <f t="shared" ref="L363" si="294">+K363/J363-1</f>
        <v>-2.2366475882688031E-3</v>
      </c>
      <c r="M363">
        <f t="shared" ref="M363" si="295">WEEKDAY(A363,2)</f>
        <v>5</v>
      </c>
    </row>
    <row r="364" spans="1:14" ht="13.5" x14ac:dyDescent="0.15">
      <c r="A364" s="1">
        <v>42919</v>
      </c>
      <c r="B364">
        <v>12.42</v>
      </c>
      <c r="C364" s="25">
        <f t="shared" ref="C364" si="296">B364/B363-1</f>
        <v>-9.5693779904305609E-3</v>
      </c>
      <c r="D364" s="26">
        <f t="shared" ref="D364" si="297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8">+B364/D364-1</f>
        <v>-2.3718342549722826E-2</v>
      </c>
      <c r="H364" s="25">
        <f>(+B364/(D364*(1-VLOOKUP(A364,FX!A:K,9,0)))-1)</f>
        <v>-2.1515003480259254E-2</v>
      </c>
      <c r="I364" s="25">
        <f t="shared" si="197"/>
        <v>-2.4045261669024098E-2</v>
      </c>
      <c r="J364">
        <v>11460.25</v>
      </c>
      <c r="K364">
        <v>11369.75</v>
      </c>
      <c r="L364" s="25">
        <f t="shared" ref="L364" si="299">+K364/J364-1</f>
        <v>-7.8968608887240999E-3</v>
      </c>
      <c r="M364">
        <f t="shared" ref="M364" si="300">WEEKDAY(A364,2)</f>
        <v>1</v>
      </c>
    </row>
    <row r="365" spans="1:14" ht="13.5" x14ac:dyDescent="0.15">
      <c r="A365" s="1">
        <v>42920</v>
      </c>
      <c r="B365">
        <v>12.28</v>
      </c>
      <c r="C365" s="25">
        <f t="shared" ref="C365" si="301">B365/B364-1</f>
        <v>-1.1272141706924366E-2</v>
      </c>
      <c r="D365" s="26">
        <f t="shared" ref="D365" si="302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3">+B365/D365-1</f>
        <v>-2.5301736646966444E-2</v>
      </c>
      <c r="H365" s="25">
        <f>(+B365/(D365*(1-VLOOKUP(A365,FX!A:K,9,0)))-1)</f>
        <v>-2.3016206665602446E-2</v>
      </c>
      <c r="I365" s="25">
        <f t="shared" si="197"/>
        <v>-2.3614534467679138E-2</v>
      </c>
      <c r="J365">
        <v>11369.75</v>
      </c>
      <c r="K365">
        <v>11256.08</v>
      </c>
      <c r="L365" s="25">
        <f t="shared" ref="L365" si="304">+K365/J365-1</f>
        <v>-9.997581301259939E-3</v>
      </c>
      <c r="M365">
        <f t="shared" ref="M365" si="305">WEEKDAY(A365,2)</f>
        <v>2</v>
      </c>
      <c r="N365" s="50" t="s">
        <v>370</v>
      </c>
    </row>
    <row r="366" spans="1:14" ht="13.5" x14ac:dyDescent="0.15">
      <c r="A366" s="1">
        <v>42921</v>
      </c>
      <c r="B366">
        <v>12.52</v>
      </c>
      <c r="C366" s="25">
        <f t="shared" ref="C366" si="306">B366/B365-1</f>
        <v>1.9543973941368087E-2</v>
      </c>
      <c r="D366" s="26">
        <f t="shared" ref="D366" si="307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8">+B366/D366-1</f>
        <v>-1.9187526358568796E-2</v>
      </c>
      <c r="H366" s="25">
        <f>(+B366/(D366*(1-VLOOKUP(A366,FX!A:K,9,0)))-1)</f>
        <v>-1.9963173679282353E-2</v>
      </c>
      <c r="I366" s="25">
        <f t="shared" si="197"/>
        <v>-1.865496159272606E-2</v>
      </c>
      <c r="J366">
        <v>11256.08</v>
      </c>
      <c r="K366">
        <v>11424.27</v>
      </c>
      <c r="L366" s="25">
        <f t="shared" ref="L366" si="309">+K366/J366-1</f>
        <v>1.4942146821984359E-2</v>
      </c>
      <c r="M366">
        <f t="shared" ref="M366" si="310">WEEKDAY(A366,2)</f>
        <v>3</v>
      </c>
    </row>
    <row r="367" spans="1:14" ht="13.5" x14ac:dyDescent="0.15">
      <c r="A367" s="1">
        <v>42922</v>
      </c>
      <c r="B367">
        <v>12.54</v>
      </c>
      <c r="C367" s="25">
        <f t="shared" ref="C367" si="311">B367/B366-1</f>
        <v>1.5974440894568342E-3</v>
      </c>
      <c r="D367" s="26">
        <f t="shared" ref="D367" si="312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3">+B367/D367-1</f>
        <v>-1.8360737758167933E-2</v>
      </c>
      <c r="H367" s="25">
        <f>(+B367/(D367*(1-VLOOKUP(A367,FX!A:K,9,0)))-1)</f>
        <v>-1.6930935574755002E-2</v>
      </c>
      <c r="I367" s="25">
        <f t="shared" si="197"/>
        <v>-1.9009622154423922E-2</v>
      </c>
      <c r="J367">
        <v>11424.27</v>
      </c>
      <c r="K367">
        <v>11439.09</v>
      </c>
      <c r="L367" s="25">
        <f t="shared" ref="L367" si="314">+K367/J367-1</f>
        <v>1.2972382480456179E-3</v>
      </c>
      <c r="M367">
        <f t="shared" ref="M367" si="315">WEEKDAY(A367,2)</f>
        <v>4</v>
      </c>
    </row>
    <row r="368" spans="1:14" ht="13.5" x14ac:dyDescent="0.15">
      <c r="A368" s="1">
        <v>42923</v>
      </c>
      <c r="B368">
        <v>12.44</v>
      </c>
      <c r="C368" s="25">
        <f t="shared" ref="C368" si="316">B368/B367-1</f>
        <v>-7.9744816586921896E-3</v>
      </c>
      <c r="D368" s="26">
        <f t="shared" ref="D368" si="31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8">+B368/D368-1</f>
        <v>-2.0483989713309669E-2</v>
      </c>
      <c r="H368" s="25">
        <f>(+B368/(D368*(1-VLOOKUP(A368,FX!A:K,9,0)))-1)</f>
        <v>-2.0900616884965029E-2</v>
      </c>
      <c r="I368" s="25">
        <f t="shared" si="197"/>
        <v>-2.3317892753395686E-2</v>
      </c>
      <c r="J368">
        <v>11439.09</v>
      </c>
      <c r="K368">
        <v>11364.95</v>
      </c>
      <c r="L368" s="25">
        <f t="shared" ref="L368" si="319">+K368/J368-1</f>
        <v>-6.4812847875136415E-3</v>
      </c>
      <c r="M368">
        <f t="shared" ref="M368" si="320">WEEKDAY(A368,2)</f>
        <v>5</v>
      </c>
    </row>
    <row r="369" spans="1:14" ht="13.5" x14ac:dyDescent="0.15">
      <c r="A369" s="1">
        <v>42926</v>
      </c>
      <c r="B369">
        <v>12.52</v>
      </c>
      <c r="C369" s="25">
        <f t="shared" ref="C369" si="321">B369/B368-1</f>
        <v>6.4308681672025081E-3</v>
      </c>
      <c r="D369" s="26">
        <f t="shared" ref="D369" si="322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3">+B369/D369-1</f>
        <v>-1.979347148719357E-2</v>
      </c>
      <c r="H369" s="25">
        <f>(+B369/(D369*(1-VLOOKUP(A369,FX!A:K,9,0)))-1)</f>
        <v>-1.9977189493903924E-2</v>
      </c>
      <c r="I369" s="25">
        <f t="shared" si="197"/>
        <v>-1.9193106149627992E-2</v>
      </c>
      <c r="J369">
        <v>11364.95</v>
      </c>
      <c r="K369">
        <v>11396.91</v>
      </c>
      <c r="L369" s="25">
        <f t="shared" ref="L369" si="324">+K369/J369-1</f>
        <v>2.8121549148918401E-3</v>
      </c>
      <c r="M369">
        <f t="shared" ref="M369" si="325">WEEKDAY(A369,2)</f>
        <v>1</v>
      </c>
    </row>
    <row r="370" spans="1:14" ht="13.5" x14ac:dyDescent="0.15">
      <c r="A370" s="1">
        <v>42927</v>
      </c>
      <c r="B370">
        <v>12.68</v>
      </c>
      <c r="C370" s="25">
        <f t="shared" ref="C370" si="326">B370/B369-1</f>
        <v>1.2779552715654896E-2</v>
      </c>
      <c r="D370" s="26">
        <f t="shared" ref="D370" si="327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8">+B370/D370-1</f>
        <v>-1.8436482218897932E-2</v>
      </c>
      <c r="H370" s="25">
        <f>(+B370/(D370*(1-VLOOKUP(A370,FX!A:K,9,0)))-1)</f>
        <v>-1.7515930284449754E-2</v>
      </c>
      <c r="I370" s="25">
        <f t="shared" si="197"/>
        <v>-2.0092735703245768E-2</v>
      </c>
      <c r="J370">
        <v>11396.91</v>
      </c>
      <c r="K370">
        <v>11533.66</v>
      </c>
      <c r="L370" s="25">
        <f t="shared" ref="L370" si="329">+K370/J370-1</f>
        <v>1.1998866359390403E-2</v>
      </c>
      <c r="M370">
        <f t="shared" ref="M370" si="330">WEEKDAY(A370,2)</f>
        <v>2</v>
      </c>
    </row>
    <row r="371" spans="1:14" ht="13.5" x14ac:dyDescent="0.15">
      <c r="A371" s="1">
        <v>42928</v>
      </c>
      <c r="B371">
        <v>12.66</v>
      </c>
      <c r="C371" s="25">
        <f t="shared" ref="C371" si="331">B371/B370-1</f>
        <v>-1.577287066246047E-3</v>
      </c>
      <c r="D371" s="26">
        <f t="shared" ref="D371" si="332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3">+B371/D371-1</f>
        <v>-1.855110902855428E-2</v>
      </c>
      <c r="H371" s="25">
        <f>(+B371/(D371*(1-VLOOKUP(A371,FX!A:K,9,0)))-1)</f>
        <v>-2.1040831024112028E-2</v>
      </c>
      <c r="I371" s="25">
        <f t="shared" si="197"/>
        <v>-2.0502901353965264E-2</v>
      </c>
      <c r="J371">
        <v>11533.66</v>
      </c>
      <c r="K371">
        <v>11497.38</v>
      </c>
      <c r="L371" s="25">
        <f t="shared" ref="L371" si="334">+K371/J371-1</f>
        <v>-3.1455756455454065E-3</v>
      </c>
      <c r="M371">
        <f t="shared" ref="M371" si="335">WEEKDAY(A371,2)</f>
        <v>3</v>
      </c>
    </row>
    <row r="372" spans="1:14" ht="13.5" x14ac:dyDescent="0.15">
      <c r="A372" s="1">
        <v>42929</v>
      </c>
      <c r="B372">
        <v>12.88</v>
      </c>
      <c r="C372" s="25">
        <f t="shared" ref="C372" si="336">B372/B371-1</f>
        <v>1.7377567140600458E-2</v>
      </c>
      <c r="D372" s="26">
        <f t="shared" ref="D372" si="337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8">+B372/D372-1</f>
        <v>-1.6202036302697898E-2</v>
      </c>
      <c r="H372" s="25">
        <f>(+B372/(D372*(1-VLOOKUP(A372,FX!A:K,9,0)))-1)</f>
        <v>-1.8181465321176593E-2</v>
      </c>
      <c r="I372" s="25">
        <f t="shared" si="197"/>
        <v>-1.8143009605122717E-2</v>
      </c>
      <c r="J372">
        <v>11497.38</v>
      </c>
      <c r="K372">
        <v>11646.04</v>
      </c>
      <c r="L372" s="25">
        <f t="shared" ref="L372" si="339">+K372/J372-1</f>
        <v>1.2929902290782946E-2</v>
      </c>
      <c r="M372">
        <f t="shared" ref="M372" si="340">WEEKDAY(A372,2)</f>
        <v>4</v>
      </c>
    </row>
    <row r="373" spans="1:14" ht="13.5" x14ac:dyDescent="0.15">
      <c r="A373" s="1">
        <v>42930</v>
      </c>
      <c r="B373">
        <v>12.96</v>
      </c>
      <c r="C373" s="25">
        <f t="shared" ref="C373" si="341">B373/B372-1</f>
        <v>6.2111801242235032E-3</v>
      </c>
      <c r="D373" s="26">
        <f t="shared" ref="D373" si="342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3">+B373/D373-1</f>
        <v>-1.9787881949619779E-2</v>
      </c>
      <c r="H373" s="25">
        <f>(+B373/(D373*(1-VLOOKUP(A373,FX!A:K,9,0)))-1)</f>
        <v>-1.9086768352525652E-2</v>
      </c>
      <c r="I373" s="25">
        <f t="shared" si="197"/>
        <v>-2.1665282705518152E-2</v>
      </c>
      <c r="J373">
        <v>11646.04</v>
      </c>
      <c r="K373">
        <v>11738.04</v>
      </c>
      <c r="L373" s="25">
        <f t="shared" ref="L373" si="344">+K373/J373-1</f>
        <v>7.8996809215836628E-3</v>
      </c>
      <c r="M373">
        <f t="shared" ref="M373" si="345">WEEKDAY(A373,2)</f>
        <v>5</v>
      </c>
    </row>
    <row r="374" spans="1:14" ht="13.5" x14ac:dyDescent="0.15">
      <c r="A374" s="1">
        <v>42933</v>
      </c>
      <c r="B374">
        <v>13</v>
      </c>
      <c r="C374" s="25">
        <f t="shared" ref="C374" si="346">B374/B373-1</f>
        <v>3.0864197530864335E-3</v>
      </c>
      <c r="D374" s="26">
        <f t="shared" ref="D374" si="347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8">+B374/D374-1</f>
        <v>-2.1442671515561562E-2</v>
      </c>
      <c r="H374" s="25">
        <f>(+B374/(D374*(1-VLOOKUP(A374,FX!A:K,9,0)))-1)</f>
        <v>-2.3548046095207331E-2</v>
      </c>
      <c r="I374" s="25">
        <f t="shared" si="197"/>
        <v>-2.336413492600109E-2</v>
      </c>
      <c r="J374">
        <v>11738.04</v>
      </c>
      <c r="K374">
        <v>11771.59</v>
      </c>
      <c r="L374" s="25">
        <f t="shared" ref="L374" si="349">+K374/J374-1</f>
        <v>2.8582284606288866E-3</v>
      </c>
      <c r="M374">
        <f t="shared" ref="M374" si="350">WEEKDAY(A374,2)</f>
        <v>1</v>
      </c>
    </row>
    <row r="375" spans="1:14" ht="13.5" x14ac:dyDescent="0.15">
      <c r="A375" s="1">
        <v>42934</v>
      </c>
      <c r="B375">
        <v>12.98</v>
      </c>
      <c r="C375" s="25">
        <f t="shared" ref="C375" si="351">B375/B374-1</f>
        <v>-1.5384615384614886E-3</v>
      </c>
      <c r="D375" s="26">
        <f t="shared" ref="D375" si="352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3">+B375/D375-1</f>
        <v>-2.2003677883482453E-2</v>
      </c>
      <c r="H375" s="25">
        <f>(+B375/(D375*(1-VLOOKUP(A375,FX!A:K,9,0)))-1)</f>
        <v>-2.3836148975572957E-2</v>
      </c>
      <c r="I375" s="25">
        <f t="shared" si="197"/>
        <v>-2.1411338962605497E-2</v>
      </c>
      <c r="J375">
        <v>11771.59</v>
      </c>
      <c r="K375">
        <v>11737.13</v>
      </c>
      <c r="L375" s="25">
        <f t="shared" ref="L375" si="354">+K375/J375-1</f>
        <v>-2.9273870394739276E-3</v>
      </c>
      <c r="M375">
        <f t="shared" ref="M375" si="355">WEEKDAY(A375,2)</f>
        <v>2</v>
      </c>
    </row>
    <row r="376" spans="1:14" ht="13.5" x14ac:dyDescent="0.15">
      <c r="A376" s="1">
        <v>42935</v>
      </c>
      <c r="B376">
        <v>13.12</v>
      </c>
      <c r="C376" s="25">
        <f t="shared" ref="C376" si="356">B376/B375-1</f>
        <v>1.0785824345146189E-2</v>
      </c>
      <c r="D376" s="26">
        <f t="shared" ref="D376" si="357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8">+B376/D376-1</f>
        <v>-2.2849866617327685E-2</v>
      </c>
      <c r="H376" s="25">
        <f>(+B376/(D376*(1-VLOOKUP(A376,FX!A:K,9,0)))-1)</f>
        <v>-2.2708789119852968E-2</v>
      </c>
      <c r="I376" s="25">
        <f t="shared" si="197"/>
        <v>-2.5766688943343108E-2</v>
      </c>
      <c r="J376">
        <v>11737.13</v>
      </c>
      <c r="K376">
        <v>11881.19</v>
      </c>
      <c r="L376" s="25">
        <f t="shared" ref="L376" si="359">+K376/J376-1</f>
        <v>1.2273869336030252E-2</v>
      </c>
      <c r="M376">
        <f t="shared" ref="M376" si="360">WEEKDAY(A376,2)</f>
        <v>3</v>
      </c>
    </row>
    <row r="377" spans="1:14" ht="13.5" x14ac:dyDescent="0.15">
      <c r="A377" s="1">
        <v>42936</v>
      </c>
      <c r="B377">
        <v>13.14</v>
      </c>
      <c r="C377" s="25">
        <f t="shared" ref="C377" si="361">B377/B376-1</f>
        <v>1.5243902439026069E-3</v>
      </c>
      <c r="D377" s="26">
        <f t="shared" ref="D377" si="362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3">+B377/D377-1</f>
        <v>-2.7091102520113708E-2</v>
      </c>
      <c r="H377" s="25">
        <f>(+B377/(D377*(1-VLOOKUP(A377,FX!A:K,9,0)))-1)</f>
        <v>-2.5068902541023119E-2</v>
      </c>
      <c r="I377" s="25">
        <f t="shared" si="197"/>
        <v>-2.7027027027027084E-2</v>
      </c>
      <c r="J377">
        <v>11881.19</v>
      </c>
      <c r="K377">
        <v>11915.5</v>
      </c>
      <c r="L377" s="25">
        <f t="shared" ref="L377" si="364">+K377/J377-1</f>
        <v>2.8877578761050682E-3</v>
      </c>
      <c r="M377">
        <f t="shared" ref="M377" si="365">WEEKDAY(A377,2)</f>
        <v>4</v>
      </c>
    </row>
    <row r="378" spans="1:14" ht="13.5" x14ac:dyDescent="0.15">
      <c r="A378" s="1">
        <v>42937</v>
      </c>
      <c r="B378">
        <v>13.08</v>
      </c>
      <c r="C378" s="25">
        <f t="shared" ref="C378" si="366">B378/B377-1</f>
        <v>-4.5662100456621557E-3</v>
      </c>
      <c r="D378" s="26">
        <f t="shared" ref="D378" si="367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8">+B378/D378-1</f>
        <v>-2.2696196020021264E-2</v>
      </c>
      <c r="H378" s="25">
        <f>(+B378/(D378*(1-VLOOKUP(A378,FX!A:K,9,0)))-1)</f>
        <v>-2.4111602075508665E-2</v>
      </c>
      <c r="I378" s="25">
        <f t="shared" si="197"/>
        <v>-2.3807746846779554E-2</v>
      </c>
      <c r="J378">
        <v>11915.5</v>
      </c>
      <c r="K378">
        <v>11808.53</v>
      </c>
      <c r="L378" s="25">
        <f t="shared" ref="L378" si="369">+K378/J378-1</f>
        <v>-8.9773824010741521E-3</v>
      </c>
      <c r="M378">
        <f t="shared" ref="M378" si="370">WEEKDAY(A378,2)</f>
        <v>5</v>
      </c>
    </row>
    <row r="379" spans="1:14" ht="13.5" x14ac:dyDescent="0.15">
      <c r="A379" s="1">
        <v>42940</v>
      </c>
      <c r="B379">
        <v>13.16</v>
      </c>
      <c r="C379" s="25">
        <f t="shared" ref="C379" si="371">B379/B378-1</f>
        <v>6.1162079510703737E-3</v>
      </c>
      <c r="D379" s="26">
        <f t="shared" ref="D379" si="372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3">+B379/D379-1</f>
        <v>-2.4727676919260921E-2</v>
      </c>
      <c r="H379" s="25">
        <f>(+B379/(D379*(1-VLOOKUP(A379,FX!A:K,9,0)))-1)</f>
        <v>-2.5388326470576539E-2</v>
      </c>
      <c r="I379" s="25">
        <f t="shared" ref="I379:I480" si="374">+B379/F379-1</f>
        <v>-2.4462564862861358E-2</v>
      </c>
      <c r="J379">
        <v>11808.53</v>
      </c>
      <c r="K379">
        <v>11891.96</v>
      </c>
      <c r="L379" s="25">
        <f t="shared" ref="L379" si="375">+K379/J379-1</f>
        <v>7.0652316588091235E-3</v>
      </c>
      <c r="M379">
        <f t="shared" ref="M379" si="376">WEEKDAY(A379,2)</f>
        <v>1</v>
      </c>
    </row>
    <row r="380" spans="1:14" ht="13.5" x14ac:dyDescent="0.15">
      <c r="A380" s="1">
        <v>42941</v>
      </c>
      <c r="B380">
        <v>13.18</v>
      </c>
      <c r="C380" s="25">
        <f t="shared" ref="C380" si="377">B380/B379-1</f>
        <v>1.5197568389058169E-3</v>
      </c>
      <c r="D380" s="26">
        <f t="shared" ref="D380" si="378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9">+B380/D380-1</f>
        <v>-2.0341356525056864E-2</v>
      </c>
      <c r="H380" s="25">
        <f>(+B380/(D380*(1-VLOOKUP(A380,FX!A:K,9,0)))-1)</f>
        <v>-2.14539276605199E-2</v>
      </c>
      <c r="I380" s="25">
        <f t="shared" si="374"/>
        <v>-1.9491147150721644E-2</v>
      </c>
      <c r="J380">
        <v>11891.96</v>
      </c>
      <c r="K380">
        <v>11859.93</v>
      </c>
      <c r="L380" s="25">
        <f t="shared" ref="L380" si="380">+K380/J380-1</f>
        <v>-2.6934163922515131E-3</v>
      </c>
      <c r="M380">
        <f t="shared" ref="M380" si="381">WEEKDAY(A380,2)</f>
        <v>2</v>
      </c>
    </row>
    <row r="381" spans="1:14" ht="13.5" x14ac:dyDescent="0.15">
      <c r="A381" s="1">
        <v>42942</v>
      </c>
      <c r="B381">
        <v>13.12</v>
      </c>
      <c r="C381" s="25">
        <f t="shared" ref="C381" si="382">B381/B380-1</f>
        <v>-4.5523520485584168E-3</v>
      </c>
      <c r="D381" s="26">
        <f t="shared" ref="D381" si="383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4">+B381/D381-1</f>
        <v>-1.9576731302327732E-2</v>
      </c>
      <c r="H381" s="25">
        <f>(+B381/(D381*(1-VLOOKUP(A381,FX!A:K,9,0)))-1)</f>
        <v>-1.8298526063696641E-2</v>
      </c>
      <c r="I381" s="25">
        <f t="shared" si="374"/>
        <v>-1.9138755980861233E-2</v>
      </c>
      <c r="J381">
        <v>11859.93</v>
      </c>
      <c r="K381">
        <v>11806.97</v>
      </c>
      <c r="L381" s="25">
        <f t="shared" ref="L381" si="385">+K381/J381-1</f>
        <v>-4.4654563728454555E-3</v>
      </c>
      <c r="M381">
        <f t="shared" ref="M381" si="386">WEEKDAY(A381,2)</f>
        <v>3</v>
      </c>
    </row>
    <row r="382" spans="1:14" ht="13.5" x14ac:dyDescent="0.15">
      <c r="A382" s="1">
        <v>42943</v>
      </c>
      <c r="B382">
        <v>13.18</v>
      </c>
      <c r="C382" s="25">
        <f t="shared" ref="C382" si="387">B382/B381-1</f>
        <v>4.5731707317073766E-3</v>
      </c>
      <c r="D382" s="26">
        <f t="shared" ref="D382" si="388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9">+B382/D382-1</f>
        <v>-1.3582894478422203E-2</v>
      </c>
      <c r="H382" s="25">
        <f>(+B382/(D382*(1-VLOOKUP(A382,FX!A:K,9,0)))-1)</f>
        <v>-1.7400472402015366E-2</v>
      </c>
      <c r="I382" s="25">
        <f t="shared" si="374"/>
        <v>-1.7004773269689744E-2</v>
      </c>
      <c r="J382">
        <v>11806.97</v>
      </c>
      <c r="K382">
        <v>11794.16</v>
      </c>
      <c r="L382" s="25">
        <f t="shared" ref="L382" si="390">+K382/J382-1</f>
        <v>-1.084952362883862E-3</v>
      </c>
      <c r="M382">
        <f t="shared" ref="M382" si="391">WEEKDAY(A382,2)</f>
        <v>4</v>
      </c>
    </row>
    <row r="383" spans="1:14" ht="13.5" x14ac:dyDescent="0.15">
      <c r="A383" s="1">
        <v>42944</v>
      </c>
      <c r="B383">
        <v>13.24</v>
      </c>
      <c r="C383" s="25">
        <f t="shared" ref="C383" si="392">B383/B382-1</f>
        <v>4.5523520485584168E-3</v>
      </c>
      <c r="D383" s="26">
        <f t="shared" ref="D383" si="393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4">+B383/D383-1</f>
        <v>-1.4791921525599272E-2</v>
      </c>
      <c r="H383" s="25">
        <f>(+B383/(D383*(1-VLOOKUP(A383,FX!A:K,9,0)))-1)</f>
        <v>-1.2267544202879233E-2</v>
      </c>
      <c r="I383" s="25">
        <f t="shared" si="374"/>
        <v>-1.4000595770032764E-2</v>
      </c>
      <c r="J383">
        <v>11794.16</v>
      </c>
      <c r="K383">
        <v>11821.24</v>
      </c>
      <c r="L383" s="25">
        <f t="shared" ref="L383" si="395">+K383/J383-1</f>
        <v>2.2960516052012991E-3</v>
      </c>
      <c r="M383">
        <f t="shared" ref="M383" si="396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7">B384/B383-1</f>
        <v>3.0211480362536403E-3</v>
      </c>
      <c r="D384" s="26">
        <f t="shared" ref="D384" si="398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9">+B384/D384-1</f>
        <v>-9.7878797400579032E-3</v>
      </c>
      <c r="H384" s="25">
        <f>(+B384/(D384*(1-VLOOKUP(A384,FX!A:K,9,0)))-1)</f>
        <v>-1.2665641674058481E-2</v>
      </c>
      <c r="I384" s="25">
        <f t="shared" si="374"/>
        <v>-1.0874422761805502E-2</v>
      </c>
      <c r="J384">
        <v>11821.24</v>
      </c>
      <c r="K384">
        <v>11806.51</v>
      </c>
      <c r="L384" s="25">
        <f t="shared" ref="L384" si="400">+K384/J384-1</f>
        <v>-1.2460621728346277E-3</v>
      </c>
      <c r="M384">
        <f t="shared" ref="M384" si="401">WEEKDAY(A384,2)</f>
        <v>1</v>
      </c>
      <c r="N384" s="50" t="s">
        <v>395</v>
      </c>
    </row>
    <row r="385" spans="1:14" ht="13.5" x14ac:dyDescent="0.15">
      <c r="A385" s="1">
        <v>42948</v>
      </c>
      <c r="B385">
        <v>13.44</v>
      </c>
      <c r="C385" s="25">
        <f t="shared" ref="C385" si="402">B385/B384-1</f>
        <v>1.2048192771084265E-2</v>
      </c>
      <c r="D385" s="26">
        <f t="shared" ref="D385" si="403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4">+B385/D385-1</f>
        <v>-1.3653229301051284E-2</v>
      </c>
      <c r="H385" s="25">
        <f>(+B385/(D385*(1-VLOOKUP(A385,FX!A:K,9,0)))-1)</f>
        <v>-1.4034393263986478E-2</v>
      </c>
      <c r="I385" s="25">
        <f t="shared" si="374"/>
        <v>-1.5745148297326983E-2</v>
      </c>
      <c r="J385">
        <v>11806.51</v>
      </c>
      <c r="K385">
        <v>11982.42</v>
      </c>
      <c r="L385" s="25">
        <f t="shared" ref="L385" si="405">+K385/J385-1</f>
        <v>1.4899407191456326E-2</v>
      </c>
      <c r="M385">
        <f t="shared" ref="M385" si="406">WEEKDAY(A385,2)</f>
        <v>2</v>
      </c>
    </row>
    <row r="386" spans="1:14" ht="13.5" x14ac:dyDescent="0.15">
      <c r="A386" s="1">
        <v>42949</v>
      </c>
      <c r="B386">
        <v>13.44</v>
      </c>
      <c r="C386" s="25">
        <f t="shared" ref="C386" si="407">B386/B385-1</f>
        <v>0</v>
      </c>
      <c r="D386" s="26">
        <f t="shared" ref="D386" si="408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9">+B386/D386-1</f>
        <v>-1.4774922256395984E-2</v>
      </c>
      <c r="H386" s="25">
        <f>(+B386/(D386*(1-VLOOKUP(A386,FX!A:K,9,0)))-1)</f>
        <v>-1.3672477266822192E-2</v>
      </c>
      <c r="I386" s="25">
        <f t="shared" si="374"/>
        <v>-1.4590512500916475E-2</v>
      </c>
      <c r="J386">
        <v>11982.42</v>
      </c>
      <c r="K386">
        <v>11970.62</v>
      </c>
      <c r="L386" s="25">
        <f t="shared" ref="L386" si="410">+K386/J386-1</f>
        <v>-9.847760302175157E-4</v>
      </c>
      <c r="M386">
        <f t="shared" ref="M386" si="411">WEEKDAY(A386,2)</f>
        <v>3</v>
      </c>
    </row>
    <row r="387" spans="1:14" ht="13.5" x14ac:dyDescent="0.15">
      <c r="A387" s="1">
        <v>42950</v>
      </c>
      <c r="B387">
        <v>13.26</v>
      </c>
      <c r="C387" s="25">
        <f t="shared" ref="C387" si="412">B387/B386-1</f>
        <v>-1.3392857142857095E-2</v>
      </c>
      <c r="D387" s="26">
        <f t="shared" ref="D387" si="413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4">+B387/D387-1</f>
        <v>-1.4045438163949653E-2</v>
      </c>
      <c r="H387" s="25">
        <f>(+B387/(D387*(1-VLOOKUP(A387,FX!A:K,9,0)))-1)</f>
        <v>-1.4388105362028281E-2</v>
      </c>
      <c r="I387" s="25">
        <f t="shared" si="374"/>
        <v>-1.4419503493384944E-2</v>
      </c>
      <c r="J387">
        <v>11970.62</v>
      </c>
      <c r="K387">
        <v>11803.77</v>
      </c>
      <c r="L387" s="25">
        <f t="shared" ref="L387" si="415">+K387/J387-1</f>
        <v>-1.3938292252197448E-2</v>
      </c>
      <c r="M387">
        <f t="shared" ref="M387" si="416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25">
        <f t="shared" ref="C388" si="417">B388/B387-1</f>
        <v>-4.5248868778280382E-3</v>
      </c>
      <c r="D388" s="26">
        <f t="shared" ref="D388" si="418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9">+B388/D388-1</f>
        <v>-1.2570817284852431E-2</v>
      </c>
      <c r="H388" s="25">
        <f>(+B388/(D388*(1-VLOOKUP(A388,FX!A:K,9,0)))-1)</f>
        <v>-1.3472089261871933E-2</v>
      </c>
      <c r="I388" s="25">
        <f t="shared" si="374"/>
        <v>-1.3747758517633102E-2</v>
      </c>
      <c r="J388">
        <v>11803.77</v>
      </c>
      <c r="K388">
        <v>11728.36</v>
      </c>
      <c r="L388" s="25">
        <f t="shared" ref="L388" si="420">+K388/J388-1</f>
        <v>-6.3886368507688474E-3</v>
      </c>
      <c r="M388">
        <f t="shared" ref="M388" si="421">WEEKDAY(A388,2)</f>
        <v>5</v>
      </c>
      <c r="N388" s="50" t="s">
        <v>398</v>
      </c>
    </row>
    <row r="389" spans="1:14" ht="13.5" x14ac:dyDescent="0.15">
      <c r="A389" s="1">
        <v>42954</v>
      </c>
      <c r="B389">
        <v>13.26</v>
      </c>
      <c r="C389" s="25">
        <f t="shared" ref="C389" si="422">B389/B388-1</f>
        <v>4.5454545454546302E-3</v>
      </c>
      <c r="D389" s="26">
        <f t="shared" ref="D389" si="42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4">+B389/D389-1</f>
        <v>-1.307252718750529E-2</v>
      </c>
      <c r="H389" s="25">
        <f>(+B389/(D389*(1-VLOOKUP(A389,FX!A:K,9,0)))-1)</f>
        <v>-1.2004757561060009E-2</v>
      </c>
      <c r="I389" s="25">
        <f t="shared" si="374"/>
        <v>-1.2364069715477433E-2</v>
      </c>
      <c r="J389">
        <v>11728.36</v>
      </c>
      <c r="K389">
        <v>11773.61</v>
      </c>
      <c r="L389" s="25">
        <f t="shared" ref="L389" si="425">+K389/J389-1</f>
        <v>3.8581694286328183E-3</v>
      </c>
      <c r="M389">
        <f t="shared" ref="M389" si="426">WEEKDAY(A389,2)</f>
        <v>1</v>
      </c>
    </row>
    <row r="390" spans="1:14" ht="13.5" x14ac:dyDescent="0.15">
      <c r="A390" s="1">
        <v>42955</v>
      </c>
      <c r="B390">
        <v>13.26</v>
      </c>
      <c r="C390" s="25">
        <f t="shared" ref="C390" si="427">B390/B389-1</f>
        <v>0</v>
      </c>
      <c r="D390" s="26">
        <f t="shared" ref="D390" si="428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9">+B390/D390-1</f>
        <v>-1.1106704078264307E-2</v>
      </c>
      <c r="H390" s="25">
        <f>(+B390/(D390*(1-VLOOKUP(A390,FX!A:K,9,0)))-1)</f>
        <v>-1.4839688742908752E-2</v>
      </c>
      <c r="I390" s="25">
        <f t="shared" si="374"/>
        <v>-1.199612547500184E-2</v>
      </c>
      <c r="J390">
        <v>11773.61</v>
      </c>
      <c r="K390">
        <v>11758.64</v>
      </c>
      <c r="L390" s="25">
        <f t="shared" ref="L390" si="430">+K390/J390-1</f>
        <v>-1.2714876745536507E-3</v>
      </c>
      <c r="M390">
        <f t="shared" ref="M390" si="431">WEEKDAY(A390,2)</f>
        <v>2</v>
      </c>
    </row>
    <row r="391" spans="1:14" ht="13.5" x14ac:dyDescent="0.15">
      <c r="A391" s="1">
        <v>42956</v>
      </c>
      <c r="B391">
        <v>13.2</v>
      </c>
      <c r="C391" s="25">
        <f t="shared" ref="C391" si="432">B391/B390-1</f>
        <v>-4.5248868778280382E-3</v>
      </c>
      <c r="D391" s="26">
        <f t="shared" ref="D391" si="433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4">+B391/D391-1</f>
        <v>-1.0848271629589123E-2</v>
      </c>
      <c r="H391" s="25">
        <f>(+B391/(D391*(1-VLOOKUP(A391,FX!A:K,9,0)))-1)</f>
        <v>-1.1705013965557343E-2</v>
      </c>
      <c r="I391" s="25">
        <f t="shared" si="374"/>
        <v>-1.1606140022463629E-2</v>
      </c>
      <c r="J391">
        <v>11758.64</v>
      </c>
      <c r="K391">
        <v>11691.85</v>
      </c>
      <c r="L391" s="25">
        <f t="shared" ref="L391" si="435">+K391/J391-1</f>
        <v>-5.6800786485511345E-3</v>
      </c>
      <c r="M391">
        <f t="shared" ref="M391" si="436">WEEKDAY(A391,2)</f>
        <v>3</v>
      </c>
      <c r="N391" s="50" t="s">
        <v>401</v>
      </c>
    </row>
    <row r="392" spans="1:14" ht="13.5" x14ac:dyDescent="0.15">
      <c r="A392" s="1">
        <v>42957</v>
      </c>
      <c r="B392">
        <v>13.12</v>
      </c>
      <c r="C392" s="25">
        <f t="shared" ref="C392" si="437">B392/B391-1</f>
        <v>-6.0606060606060996E-3</v>
      </c>
      <c r="D392" s="26">
        <f t="shared" ref="D392" si="438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9">+B392/D392-1</f>
        <v>-1.3656718687724667E-2</v>
      </c>
      <c r="H392" s="25">
        <f>(+B392/(D392*(1-VLOOKUP(A392,FX!A:K,9,0)))-1)</f>
        <v>-1.6538263548798504E-2</v>
      </c>
      <c r="I392" s="25">
        <f t="shared" si="374"/>
        <v>-1.8037572038021255E-2</v>
      </c>
      <c r="J392">
        <v>11691.85</v>
      </c>
      <c r="K392">
        <v>11645.15</v>
      </c>
      <c r="L392" s="25">
        <f t="shared" ref="L392" si="440">+K392/J392-1</f>
        <v>-3.9942353006582332E-3</v>
      </c>
      <c r="M392">
        <f t="shared" ref="M392" si="441">WEEKDAY(A392,2)</f>
        <v>4</v>
      </c>
    </row>
    <row r="393" spans="1:14" ht="13.5" x14ac:dyDescent="0.15">
      <c r="A393" s="1">
        <v>42958</v>
      </c>
      <c r="B393">
        <v>12.82</v>
      </c>
      <c r="C393" s="25">
        <f t="shared" ref="C393" si="442">B393/B392-1</f>
        <v>-2.286585365853655E-2</v>
      </c>
      <c r="D393" s="26">
        <f t="shared" ref="D393" si="443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4">+B393/D393-1</f>
        <v>-2.5448178858477832E-2</v>
      </c>
      <c r="H393" s="25">
        <f>(+B393/(D393*(1-VLOOKUP(A393,FX!A:K,9,0)))-1)</f>
        <v>-2.3778390785250125E-2</v>
      </c>
      <c r="I393" s="25">
        <f t="shared" si="374"/>
        <v>-2.7977860338160521E-2</v>
      </c>
      <c r="J393">
        <v>11645.15</v>
      </c>
      <c r="K393">
        <v>11465.4</v>
      </c>
      <c r="L393" s="25">
        <f t="shared" ref="L393" si="445">+K393/J393-1</f>
        <v>-1.5435610533140354E-2</v>
      </c>
      <c r="M393">
        <f t="shared" ref="M393" si="446">WEEKDAY(A393,2)</f>
        <v>5</v>
      </c>
    </row>
    <row r="394" spans="1:14" ht="13.5" x14ac:dyDescent="0.15">
      <c r="A394" s="1">
        <v>42961</v>
      </c>
      <c r="B394">
        <v>13.04</v>
      </c>
      <c r="C394" s="25">
        <f t="shared" ref="C394" si="447">B394/B393-1</f>
        <v>1.7160686427456939E-2</v>
      </c>
      <c r="D394" s="26">
        <f t="shared" ref="D394" si="448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9">+B394/D394-1</f>
        <v>-1.9232974202872621E-2</v>
      </c>
      <c r="H394" s="25">
        <f>(+B394/(D394*(1-VLOOKUP(A394,FX!A:K,9,0)))-1)</f>
        <v>-2.0426132721744095E-2</v>
      </c>
      <c r="I394" s="25">
        <f t="shared" si="374"/>
        <v>-2.0211886693215164E-2</v>
      </c>
      <c r="J394">
        <v>11465.4</v>
      </c>
      <c r="K394">
        <v>11558.17</v>
      </c>
      <c r="L394" s="25">
        <f t="shared" ref="L394" si="450">+K394/J394-1</f>
        <v>8.0913007832261741E-3</v>
      </c>
      <c r="M394">
        <f t="shared" ref="M394" si="451">WEEKDAY(A394,2)</f>
        <v>1</v>
      </c>
    </row>
    <row r="395" spans="1:14" ht="13.5" x14ac:dyDescent="0.15">
      <c r="A395" s="1">
        <v>42962</v>
      </c>
      <c r="B395">
        <v>13.1</v>
      </c>
      <c r="C395" s="25">
        <f t="shared" ref="C395" si="452">B395/B394-1</f>
        <v>4.6012269938651151E-3</v>
      </c>
      <c r="D395" s="26">
        <f t="shared" ref="D395" si="453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4">+B395/D395-1</f>
        <v>-2.1800600539575887E-2</v>
      </c>
      <c r="H395" s="25">
        <f>(+B395/(D395*(1-VLOOKUP(A395,FX!A:K,9,0)))-1)</f>
        <v>-2.0673609257416348E-2</v>
      </c>
      <c r="I395" s="25">
        <f t="shared" si="374"/>
        <v>-2.0487513085090558E-2</v>
      </c>
      <c r="J395">
        <v>11558.17</v>
      </c>
      <c r="K395">
        <v>11630.21</v>
      </c>
      <c r="L395" s="25">
        <f t="shared" ref="L395" si="455">+K395/J395-1</f>
        <v>6.232820593571331E-3</v>
      </c>
      <c r="M395">
        <f t="shared" ref="M395" si="456">WEEKDAY(A395,2)</f>
        <v>2</v>
      </c>
    </row>
    <row r="396" spans="1:14" ht="13.5" x14ac:dyDescent="0.15">
      <c r="A396" s="1">
        <v>42963</v>
      </c>
      <c r="B396">
        <v>13.1</v>
      </c>
      <c r="C396" s="25">
        <f t="shared" ref="C396" si="457">B396/B395-1</f>
        <v>0</v>
      </c>
      <c r="D396" s="26">
        <f t="shared" ref="D396" si="458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9">+B396/D396-1</f>
        <v>-1.7840035965375312E-2</v>
      </c>
      <c r="H396" s="25">
        <f>(+B396/(D396*(1-VLOOKUP(A396,FX!A:K,9,0)))-1)</f>
        <v>-1.682441058013151E-2</v>
      </c>
      <c r="I396" s="25">
        <f t="shared" si="374"/>
        <v>-1.6442675876567447E-2</v>
      </c>
      <c r="J396">
        <v>11630.21</v>
      </c>
      <c r="K396">
        <v>11598.86</v>
      </c>
      <c r="L396" s="25">
        <f t="shared" ref="L396" si="460">+K396/J396-1</f>
        <v>-2.6955661161749411E-3</v>
      </c>
      <c r="M396">
        <f t="shared" ref="M396" si="461">WEEKDAY(A396,2)</f>
        <v>3</v>
      </c>
    </row>
    <row r="397" spans="1:14" ht="13.5" x14ac:dyDescent="0.15">
      <c r="A397" s="1">
        <v>42964</v>
      </c>
      <c r="B397">
        <v>13.14</v>
      </c>
      <c r="C397" s="25">
        <f t="shared" ref="C397" si="462">B397/B396-1</f>
        <v>3.0534351145039551E-3</v>
      </c>
      <c r="D397" s="26">
        <f t="shared" ref="D397" si="463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4">+B397/D397-1</f>
        <v>-1.4954528303141923E-2</v>
      </c>
      <c r="H397" s="25">
        <f>(+B397/(D397*(1-VLOOKUP(A397,FX!A:K,9,0)))-1)</f>
        <v>-1.7497865672643109E-2</v>
      </c>
      <c r="I397" s="25">
        <f t="shared" si="374"/>
        <v>-1.6025161000449151E-2</v>
      </c>
      <c r="J397">
        <v>11598.86</v>
      </c>
      <c r="K397">
        <v>11616.7</v>
      </c>
      <c r="L397" s="25">
        <f t="shared" ref="L397" si="465">+K397/J397-1</f>
        <v>1.5380821908359543E-3</v>
      </c>
      <c r="M397">
        <f t="shared" ref="M397" si="466">WEEKDAY(A397,2)</f>
        <v>4</v>
      </c>
    </row>
    <row r="398" spans="1:14" ht="13.5" x14ac:dyDescent="0.15">
      <c r="A398" s="1">
        <v>42965</v>
      </c>
      <c r="B398">
        <v>13.14</v>
      </c>
      <c r="C398" s="25">
        <f t="shared" ref="C398" si="467">B398/B397-1</f>
        <v>0</v>
      </c>
      <c r="D398" s="26">
        <f t="shared" ref="D398" si="468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9">+B398/D398-1</f>
        <v>-1.8509156523979442E-2</v>
      </c>
      <c r="H398" s="25">
        <f>(+B398/(D398*(1-VLOOKUP(A398,FX!A:K,9,0)))-1)</f>
        <v>-1.7870558573872097E-2</v>
      </c>
      <c r="I398" s="25">
        <f t="shared" si="374"/>
        <v>-1.8670649738610878E-2</v>
      </c>
      <c r="J398">
        <v>11616.7</v>
      </c>
      <c r="K398">
        <v>11646.1</v>
      </c>
      <c r="L398" s="25">
        <f t="shared" ref="L398" si="470">+K398/J398-1</f>
        <v>2.5308392228429177E-3</v>
      </c>
      <c r="M398">
        <f t="shared" ref="M398" si="471">WEEKDAY(A398,2)</f>
        <v>5</v>
      </c>
      <c r="N398" s="50" t="s">
        <v>410</v>
      </c>
    </row>
    <row r="399" spans="1:14" ht="13.5" x14ac:dyDescent="0.15">
      <c r="A399" s="1">
        <v>42968</v>
      </c>
      <c r="B399">
        <v>13.24</v>
      </c>
      <c r="C399" s="25">
        <f t="shared" ref="C399" si="472">B399/B398-1</f>
        <v>7.6103500761035558E-3</v>
      </c>
      <c r="D399" s="26">
        <f t="shared" ref="D399" si="47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4">+B399/D399-1</f>
        <v>-1.3422720297224799E-2</v>
      </c>
      <c r="H399" s="25">
        <f>(+B399/(D399*(1-VLOOKUP(A399,FX!A:K,9,0)))-1)</f>
        <v>-1.3739251522719598E-2</v>
      </c>
      <c r="I399" s="93">
        <f t="shared" si="374"/>
        <v>-1.4000595770032764E-2</v>
      </c>
      <c r="J399" s="92">
        <v>11646.1</v>
      </c>
      <c r="K399" s="92">
        <v>11672.31</v>
      </c>
      <c r="L399" s="25">
        <f t="shared" ref="L399" si="475">+K399/J399-1</f>
        <v>2.2505388069824495E-3</v>
      </c>
      <c r="M399">
        <f t="shared" ref="M399" si="476">WEEKDAY(A399,2)</f>
        <v>1</v>
      </c>
    </row>
    <row r="400" spans="1:14" ht="13.5" x14ac:dyDescent="0.15">
      <c r="A400" s="1">
        <v>42969</v>
      </c>
      <c r="B400">
        <v>13.36</v>
      </c>
      <c r="C400" s="93">
        <f t="shared" ref="C400" si="477">B400/B399-1</f>
        <v>9.0634441087613649E-3</v>
      </c>
      <c r="D400" s="26">
        <f t="shared" ref="D400" si="478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ref="G400" si="479">+B400/D400-1</f>
        <v>-1.4744146414390147E-2</v>
      </c>
      <c r="H400" s="93">
        <f>(+B400/(D400*(1-VLOOKUP(A400,FX!A:K,9,0)))-1)</f>
        <v>-1.7631216777445613E-2</v>
      </c>
      <c r="I400" s="93">
        <f t="shared" si="374"/>
        <v>-1.6489988221436991E-2</v>
      </c>
      <c r="J400" s="92">
        <v>11672.31</v>
      </c>
      <c r="K400" s="92">
        <v>11786.99</v>
      </c>
      <c r="L400" s="93">
        <f t="shared" ref="L400" si="480">+K400/J400-1</f>
        <v>9.8249618113295245E-3</v>
      </c>
      <c r="M400" s="92">
        <f t="shared" ref="M400" si="481">WEEKDAY(A400,2)</f>
        <v>2</v>
      </c>
    </row>
    <row r="401" spans="1:14" ht="13.5" x14ac:dyDescent="0.15">
      <c r="A401" s="1">
        <v>42970</v>
      </c>
      <c r="B401">
        <v>13.36</v>
      </c>
      <c r="C401" s="93">
        <f t="shared" ref="C401" si="482">B401/B400-1</f>
        <v>0</v>
      </c>
      <c r="D401" s="26">
        <f t="shared" ref="D401" si="483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ref="G401" si="484">+B401/D401-1</f>
        <v>-2.4026526856451347E-2</v>
      </c>
      <c r="H401" s="93">
        <f>(+B401/(D401*(1-VLOOKUP(A401,FX!A:K,9,0)))-1)</f>
        <v>-2.3800187329263589E-2</v>
      </c>
      <c r="I401" s="93">
        <f t="shared" si="374"/>
        <v>-2.4105186267348477E-2</v>
      </c>
      <c r="J401" s="92">
        <v>11786.99</v>
      </c>
      <c r="K401" s="92">
        <v>11878.01</v>
      </c>
      <c r="L401" s="93">
        <f t="shared" ref="L401" si="485">+K401/J401-1</f>
        <v>7.7220732349820853E-3</v>
      </c>
      <c r="M401" s="92">
        <f t="shared" ref="M401" si="486">WEEKDAY(A401,2)</f>
        <v>3</v>
      </c>
    </row>
    <row r="402" spans="1:14" ht="13.5" x14ac:dyDescent="0.15">
      <c r="A402" s="1">
        <v>42971</v>
      </c>
      <c r="B402">
        <v>13.4</v>
      </c>
      <c r="C402" s="93">
        <f t="shared" ref="C402:C407" si="487">B402/B401-1</f>
        <v>2.9940119760478723E-3</v>
      </c>
      <c r="D402" s="26">
        <f t="shared" ref="D402:D407" si="488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ref="G402" si="489">+B402/D402-1</f>
        <v>-1.7684293263056428E-2</v>
      </c>
      <c r="H402" s="93">
        <f>(+B402/(D402*(1-VLOOKUP(A402,FX!A:K,9,0)))-1)</f>
        <v>-1.8856887552956003E-2</v>
      </c>
      <c r="I402" s="93">
        <f t="shared" si="374"/>
        <v>-1.8602607294565643E-2</v>
      </c>
      <c r="J402" s="92">
        <v>11878.01</v>
      </c>
      <c r="K402">
        <v>11835.7</v>
      </c>
      <c r="L402" s="93">
        <f t="shared" ref="L402" si="490">+K402/J402-1</f>
        <v>-3.5620444838823095E-3</v>
      </c>
      <c r="M402" s="92">
        <f t="shared" ref="M402" si="491">WEEKDAY(A402,2)</f>
        <v>4</v>
      </c>
    </row>
    <row r="403" spans="1:14" ht="13.5" x14ac:dyDescent="0.15">
      <c r="A403" s="1">
        <v>42972</v>
      </c>
      <c r="B403">
        <v>13.74</v>
      </c>
      <c r="C403" s="93">
        <f t="shared" si="487"/>
        <v>2.5373134328358304E-2</v>
      </c>
      <c r="D403" s="26">
        <f t="shared" si="488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ref="G403" si="492">+B403/D403-1</f>
        <v>-1.4706511072177464E-2</v>
      </c>
      <c r="H403" s="93">
        <f>(+B403/(D403*(1-VLOOKUP(A403,FX!A:K,9,0)))-1)</f>
        <v>-1.422087786801407E-2</v>
      </c>
      <c r="I403" s="93">
        <f t="shared" si="374"/>
        <v>-1.3710429976311778E-2</v>
      </c>
      <c r="J403">
        <v>11835.7</v>
      </c>
      <c r="K403">
        <v>12088.02</v>
      </c>
      <c r="L403" s="93">
        <f t="shared" ref="L403" si="493">+K403/J403-1</f>
        <v>2.1318553190770251E-2</v>
      </c>
      <c r="M403" s="92">
        <f t="shared" ref="M403" si="494">WEEKDAY(A403,2)</f>
        <v>5</v>
      </c>
    </row>
    <row r="404" spans="1:14" ht="54" x14ac:dyDescent="0.15">
      <c r="A404" s="90">
        <v>42975</v>
      </c>
      <c r="B404">
        <v>13.9</v>
      </c>
      <c r="C404" s="93">
        <f t="shared" si="487"/>
        <v>1.1644832605531397E-2</v>
      </c>
      <c r="D404" s="26">
        <f t="shared" si="488"/>
        <v>14.061516474162021</v>
      </c>
      <c r="E404" s="26">
        <f>D404*(1-VLOOKUP(A404,FX!A:K,9,0))</f>
        <v>14.117634426710463</v>
      </c>
      <c r="F404">
        <v>14.103</v>
      </c>
      <c r="G404" s="93">
        <f t="shared" ref="G404" si="495">+B404/D404-1</f>
        <v>-1.1486419296155348E-2</v>
      </c>
      <c r="H404" s="93">
        <f>(+B404/(D404*(1-VLOOKUP(A404,FX!A:K,9,0)))-1)</f>
        <v>-1.5415785685645722E-2</v>
      </c>
      <c r="I404" s="93">
        <f t="shared" si="374"/>
        <v>-1.4394100545983113E-2</v>
      </c>
      <c r="J404">
        <v>12088.02</v>
      </c>
      <c r="K404">
        <v>12201.27</v>
      </c>
      <c r="L404" s="93">
        <f t="shared" ref="L404" si="496">+K404/J404-1</f>
        <v>9.3687799987094422E-3</v>
      </c>
      <c r="M404" s="92">
        <f t="shared" ref="M404" si="497">WEEKDAY(A404,2)</f>
        <v>1</v>
      </c>
      <c r="N404" s="50" t="s">
        <v>425</v>
      </c>
    </row>
    <row r="405" spans="1:14" ht="13.5" x14ac:dyDescent="0.15">
      <c r="A405" s="90">
        <v>42976</v>
      </c>
      <c r="B405">
        <v>13.98</v>
      </c>
      <c r="C405" s="93">
        <f t="shared" si="487"/>
        <v>5.7553956834532904E-3</v>
      </c>
      <c r="D405" s="26">
        <f t="shared" si="488"/>
        <v>14.120095217956816</v>
      </c>
      <c r="E405" s="26">
        <f>D405*(1-VLOOKUP(A405,FX!A:K,9,0))</f>
        <v>14.168991358491219</v>
      </c>
      <c r="F405">
        <v>14.135</v>
      </c>
      <c r="G405" s="93">
        <f t="shared" ref="G405" si="498">+B405/D405-1</f>
        <v>-9.9216907389302333E-3</v>
      </c>
      <c r="H405" s="93">
        <f>(+B405/(D405*(1-VLOOKUP(A405,FX!A:K,9,0)))-1)</f>
        <v>-1.3338377708725146E-2</v>
      </c>
      <c r="I405" s="93">
        <f t="shared" si="374"/>
        <v>-1.0965688008489516E-2</v>
      </c>
      <c r="J405">
        <v>12201.27</v>
      </c>
      <c r="K405">
        <v>12216.06</v>
      </c>
      <c r="L405" s="93">
        <f t="shared" ref="L405" si="499">+K405/J405-1</f>
        <v>1.2121688971720168E-3</v>
      </c>
      <c r="M405" s="92">
        <f t="shared" ref="M405" si="500">WEEKDAY(A405,2)</f>
        <v>2</v>
      </c>
    </row>
    <row r="406" spans="1:14" ht="27" x14ac:dyDescent="0.15">
      <c r="A406" s="90">
        <v>42977</v>
      </c>
      <c r="B406">
        <v>14.02</v>
      </c>
      <c r="C406" s="93">
        <f t="shared" si="487"/>
        <v>2.8612303290413976E-3</v>
      </c>
      <c r="D406" s="26">
        <f t="shared" si="488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ref="G406" si="501">+B406/D406-1</f>
        <v>-4.4817055766794844E-3</v>
      </c>
      <c r="H406" s="93">
        <f>(+B406/(D406*(1-VLOOKUP(A406,FX!A:K,9,0)))-1)</f>
        <v>-7.7316839006368321E-3</v>
      </c>
      <c r="I406" s="93">
        <f t="shared" si="374"/>
        <v>-7.3633531577457223E-3</v>
      </c>
      <c r="J406">
        <v>12216.06</v>
      </c>
      <c r="K406">
        <v>12171.22</v>
      </c>
      <c r="L406" s="93">
        <f t="shared" ref="L406" si="502">+K406/J406-1</f>
        <v>-3.6705779113723747E-3</v>
      </c>
      <c r="M406" s="92">
        <f t="shared" ref="M406" si="503">WEEKDAY(A406,2)</f>
        <v>3</v>
      </c>
      <c r="N406" s="50" t="s">
        <v>427</v>
      </c>
    </row>
    <row r="407" spans="1:14" ht="13.5" x14ac:dyDescent="0.15">
      <c r="A407" s="90">
        <v>42978</v>
      </c>
      <c r="B407">
        <v>13.9</v>
      </c>
      <c r="C407" s="93">
        <f t="shared" si="487"/>
        <v>-8.5592011412267688E-3</v>
      </c>
      <c r="D407" s="26">
        <f t="shared" si="488"/>
        <v>14.019676226376649</v>
      </c>
      <c r="E407" s="26">
        <f>D407*(1-VLOOKUP(A407,FX!A:K,9,0))</f>
        <v>13.983750619364692</v>
      </c>
      <c r="F407">
        <v>14.04</v>
      </c>
      <c r="G407" s="93">
        <f t="shared" ref="G407" si="504">+B407/D407-1</f>
        <v>-8.5363045796656989E-3</v>
      </c>
      <c r="H407" s="93">
        <f>(+B407/(D407*(1-VLOOKUP(A407,FX!A:K,9,0)))-1)</f>
        <v>-5.9891385111454642E-3</v>
      </c>
      <c r="I407" s="93">
        <f t="shared" si="374"/>
        <v>-9.9715099715098621E-3</v>
      </c>
      <c r="J407">
        <v>12171.22</v>
      </c>
      <c r="K407">
        <v>12081.32</v>
      </c>
      <c r="L407" s="93">
        <f t="shared" ref="L407" si="505">+K407/J407-1</f>
        <v>-7.386276807090808E-3</v>
      </c>
      <c r="M407" s="92">
        <f t="shared" ref="M407" si="506">WEEKDAY(A407,2)</f>
        <v>4</v>
      </c>
    </row>
    <row r="408" spans="1:14" ht="13.5" x14ac:dyDescent="0.15">
      <c r="A408" s="90">
        <v>42979</v>
      </c>
      <c r="B408">
        <v>13.94</v>
      </c>
      <c r="C408" s="93">
        <f t="shared" ref="C408" si="507">B408/B407-1</f>
        <v>2.8776978417266452E-3</v>
      </c>
      <c r="D408" s="26">
        <f t="shared" ref="D408" si="508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ref="G408" si="509">+B408/D408-1</f>
        <v>-6.3057599621325622E-3</v>
      </c>
      <c r="H408" s="93">
        <f>(+B408/(D408*(1-VLOOKUP(A408,FX!A:K,9,0)))-1)</f>
        <v>-9.5685864984536018E-3</v>
      </c>
      <c r="I408" s="93">
        <f t="shared" si="374"/>
        <v>-7.6879271070615651E-3</v>
      </c>
      <c r="J408">
        <v>12081.32</v>
      </c>
      <c r="K408">
        <v>12071.39</v>
      </c>
      <c r="L408" s="93">
        <f t="shared" ref="L408" si="510">+K408/J408-1</f>
        <v>-8.2193005400077457E-4</v>
      </c>
      <c r="M408" s="92">
        <f t="shared" ref="M408" si="511">WEEKDAY(A408,2)</f>
        <v>5</v>
      </c>
    </row>
    <row r="409" spans="1:14" ht="13.5" x14ac:dyDescent="0.15">
      <c r="A409" s="90">
        <v>42982</v>
      </c>
      <c r="B409">
        <v>14.04</v>
      </c>
      <c r="C409" s="93">
        <f t="shared" ref="C409" si="512">B409/B408-1</f>
        <v>7.1736011477760986E-3</v>
      </c>
      <c r="D409" s="26">
        <f t="shared" ref="D409" si="513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ref="G409" si="514">+B409/D409-1</f>
        <v>-3.6563825024259478E-3</v>
      </c>
      <c r="H409" s="93">
        <f>(+B409/(D409*(1-VLOOKUP(A409,FX!A:K,9,0)))-1)</f>
        <v>-8.8411675441305571E-3</v>
      </c>
      <c r="I409" s="93">
        <f t="shared" si="374"/>
        <v>-8.1243376898622044E-3</v>
      </c>
      <c r="J409">
        <v>12071.39</v>
      </c>
      <c r="K409">
        <v>12108.79</v>
      </c>
      <c r="L409" s="93">
        <f t="shared" ref="L409" si="515">+K409/J409-1</f>
        <v>3.0982347517560793E-3</v>
      </c>
      <c r="M409" s="92">
        <f t="shared" ref="M409" si="516">WEEKDAY(A409,2)</f>
        <v>1</v>
      </c>
    </row>
    <row r="410" spans="1:14" ht="13.5" x14ac:dyDescent="0.15">
      <c r="A410" s="90">
        <v>42983</v>
      </c>
      <c r="B410">
        <v>14.06</v>
      </c>
      <c r="C410" s="93">
        <f t="shared" ref="C410" si="517">B410/B409-1</f>
        <v>1.4245014245015675E-3</v>
      </c>
      <c r="D410" s="26">
        <f t="shared" ref="D410" si="518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ref="G410" si="519">+B410/D410-1</f>
        <v>-1.3025903515915815E-2</v>
      </c>
      <c r="H410" s="93">
        <f>(+B410/(D410*(1-VLOOKUP(A410,FX!A:K,9,0)))-1)</f>
        <v>-1.4030537107821428E-2</v>
      </c>
      <c r="I410" s="93">
        <f t="shared" si="374"/>
        <v>-1.7401635334404864E-2</v>
      </c>
      <c r="J410">
        <v>12108.79</v>
      </c>
      <c r="K410">
        <v>12186.26</v>
      </c>
      <c r="L410" s="93">
        <f t="shared" ref="L410" si="520">+K410/J410-1</f>
        <v>6.3978316578285899E-3</v>
      </c>
      <c r="M410" s="92">
        <f t="shared" ref="M410" si="521">WEEKDAY(A410,2)</f>
        <v>2</v>
      </c>
    </row>
    <row r="411" spans="1:14" ht="13.5" x14ac:dyDescent="0.15">
      <c r="A411" s="90">
        <v>42984</v>
      </c>
      <c r="B411">
        <v>14.02</v>
      </c>
      <c r="C411" s="93">
        <f t="shared" ref="C411" si="522">B411/B410-1</f>
        <v>-2.8449502133712778E-3</v>
      </c>
      <c r="D411" s="26">
        <f t="shared" ref="D411" si="523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ref="G411" si="524">+B411/D411-1</f>
        <v>-1.521020186560007E-2</v>
      </c>
      <c r="H411" s="93">
        <f>(+B411/(D411*(1-VLOOKUP(A411,FX!A:K,9,0)))-1)</f>
        <v>-1.5419397147986569E-2</v>
      </c>
      <c r="I411" s="93">
        <f t="shared" si="374"/>
        <v>-1.607130324935091E-2</v>
      </c>
      <c r="J411">
        <v>12186.26</v>
      </c>
      <c r="K411">
        <v>12124.55</v>
      </c>
      <c r="L411" s="93">
        <f t="shared" ref="L411" si="525">+K411/J411-1</f>
        <v>-5.0638998347319886E-3</v>
      </c>
      <c r="M411" s="92">
        <f t="shared" ref="M411" si="526">WEEKDAY(A411,2)</f>
        <v>3</v>
      </c>
    </row>
    <row r="412" spans="1:14" ht="13.5" x14ac:dyDescent="0.15">
      <c r="A412" s="90">
        <v>42985</v>
      </c>
      <c r="B412">
        <v>13.94</v>
      </c>
      <c r="C412" s="93">
        <f t="shared" ref="C412" si="527">B412/B411-1</f>
        <v>-5.7061340941512162E-3</v>
      </c>
      <c r="D412" s="26">
        <f t="shared" ref="D412" si="528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ref="G412" si="529">+B412/D412-1</f>
        <v>-1.398517904174168E-2</v>
      </c>
      <c r="H412" s="93">
        <f>(+B412/(D412*(1-VLOOKUP(A412,FX!A:K,9,0)))-1)</f>
        <v>-1.5097732413345777E-2</v>
      </c>
      <c r="I412" s="93">
        <f t="shared" si="374"/>
        <v>-1.4840989399293347E-2</v>
      </c>
      <c r="J412">
        <v>12124.55</v>
      </c>
      <c r="K412">
        <v>12029.86</v>
      </c>
      <c r="L412" s="93">
        <f t="shared" ref="L412" si="530">+K412/J412-1</f>
        <v>-7.8097743833790423E-3</v>
      </c>
      <c r="M412" s="92">
        <f t="shared" ref="M412" si="531">WEEKDAY(A412,2)</f>
        <v>4</v>
      </c>
    </row>
    <row r="413" spans="1:14" ht="13.5" x14ac:dyDescent="0.15">
      <c r="A413" s="90">
        <v>42986</v>
      </c>
      <c r="B413">
        <v>14.06</v>
      </c>
      <c r="C413" s="93">
        <f t="shared" ref="C413" si="532">B413/B412-1</f>
        <v>8.6083213773315848E-3</v>
      </c>
      <c r="D413" s="26">
        <f t="shared" ref="D413" si="533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ref="G413" si="534">+B413/D413-1</f>
        <v>-4.4711315454951661E-3</v>
      </c>
      <c r="H413" s="93">
        <f>(+B413/(D413*(1-VLOOKUP(A413,FX!A:K,9,0)))-1)</f>
        <v>-1.6824614468268106E-2</v>
      </c>
      <c r="I413" s="93">
        <f t="shared" si="374"/>
        <v>-5.0244144080390241E-3</v>
      </c>
      <c r="J413">
        <v>12029.86</v>
      </c>
      <c r="K413">
        <v>12007.03</v>
      </c>
      <c r="L413" s="93">
        <f t="shared" ref="L413" si="535">+K413/J413-1</f>
        <v>-1.8977776964985704E-3</v>
      </c>
      <c r="M413" s="92">
        <f t="shared" ref="M413" si="536">WEEKDAY(A413,2)</f>
        <v>5</v>
      </c>
    </row>
    <row r="414" spans="1:14" ht="13.5" x14ac:dyDescent="0.15">
      <c r="A414" s="90">
        <v>42989</v>
      </c>
      <c r="B414">
        <v>13.96</v>
      </c>
      <c r="C414" s="93">
        <f t="shared" ref="C414" si="537">B414/B413-1</f>
        <v>-7.1123755334281391E-3</v>
      </c>
      <c r="D414" s="26">
        <f t="shared" ref="D414" si="5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ref="G414" si="539">+B414/D414-1</f>
        <v>-8.163289962414999E-3</v>
      </c>
      <c r="H414" s="93">
        <f>(+B414/(D414*(1-VLOOKUP(A414,FX!A:K,9,0)))-1)</f>
        <v>2.1196412860038372E-3</v>
      </c>
      <c r="I414" s="93">
        <f t="shared" si="374"/>
        <v>-9.9992908304376016E-3</v>
      </c>
      <c r="J414">
        <v>12007.03</v>
      </c>
      <c r="K414">
        <v>11959.36</v>
      </c>
      <c r="L414" s="93">
        <f t="shared" ref="L414" si="540">+K414/J414-1</f>
        <v>-3.9701741396498402E-3</v>
      </c>
      <c r="M414" s="92">
        <f t="shared" ref="M414" si="541">WEEKDAY(A414,2)</f>
        <v>1</v>
      </c>
      <c r="N414" s="50" t="s">
        <v>436</v>
      </c>
    </row>
    <row r="415" spans="1:14" ht="13.5" x14ac:dyDescent="0.15">
      <c r="A415" s="90">
        <v>42990</v>
      </c>
      <c r="B415">
        <v>14.06</v>
      </c>
      <c r="C415" s="93">
        <f t="shared" ref="C415" si="542">B415/B414-1</f>
        <v>7.1633237822348317E-3</v>
      </c>
      <c r="D415" s="26">
        <f t="shared" ref="D415" si="543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ref="G415" si="544">+B415/D415-1</f>
        <v>-8.5985111255306723E-3</v>
      </c>
      <c r="H415" s="93">
        <f>(+B415/(D415*(1-VLOOKUP(A415,FX!A:K,9,0)))-1)</f>
        <v>-5.547655962050646E-3</v>
      </c>
      <c r="I415" s="93">
        <f t="shared" si="374"/>
        <v>-4.1787662015723148E-3</v>
      </c>
      <c r="J415">
        <v>11959.36</v>
      </c>
      <c r="K415">
        <v>12028.01</v>
      </c>
      <c r="L415" s="93">
        <f t="shared" ref="L415" si="545">+K415/J415-1</f>
        <v>5.7402737270222381E-3</v>
      </c>
      <c r="M415" s="92">
        <f t="shared" ref="M415" si="546">WEEKDAY(A415,2)</f>
        <v>2</v>
      </c>
    </row>
    <row r="416" spans="1:14" ht="13.5" x14ac:dyDescent="0.15">
      <c r="A416" s="90">
        <v>42991</v>
      </c>
      <c r="B416">
        <v>13.98</v>
      </c>
      <c r="C416" s="93">
        <f t="shared" ref="C416" si="547">B416/B415-1</f>
        <v>-5.6899004267425557E-3</v>
      </c>
      <c r="D416" s="26">
        <f t="shared" ref="D416" si="548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ref="G416" si="549">+B416/D416-1</f>
        <v>-9.111692441600594E-3</v>
      </c>
      <c r="H416" s="93">
        <f>(+B416/(D416*(1-VLOOKUP(A416,FX!A:K,9,0)))-1)</f>
        <v>-1.0761301533373402E-2</v>
      </c>
      <c r="I416" s="93">
        <f t="shared" si="374"/>
        <v>-7.1022727272727071E-3</v>
      </c>
      <c r="J416">
        <v>12028.01</v>
      </c>
      <c r="K416">
        <v>12019.11</v>
      </c>
      <c r="L416" s="93">
        <f t="shared" ref="L416" si="550">+K416/J416-1</f>
        <v>-7.399395244932494E-4</v>
      </c>
      <c r="M416" s="92">
        <f t="shared" ref="M416" si="551">WEEKDAY(A416,2)</f>
        <v>3</v>
      </c>
    </row>
    <row r="417" spans="1:14" ht="13.5" x14ac:dyDescent="0.15">
      <c r="A417" s="90">
        <v>42992</v>
      </c>
      <c r="B417">
        <v>13.8</v>
      </c>
      <c r="C417" s="93">
        <f t="shared" ref="C417" si="552">B417/B416-1</f>
        <v>-1.2875536480686622E-2</v>
      </c>
      <c r="D417" s="26">
        <f t="shared" ref="D417" si="553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ref="G417" si="554">+B417/D417-1</f>
        <v>-1.3046152045437354E-2</v>
      </c>
      <c r="H417" s="93">
        <f>(+B417/(D417*(1-VLOOKUP(A417,FX!A:K,9,0)))-1)</f>
        <v>-9.4997668659962953E-3</v>
      </c>
      <c r="I417" s="93">
        <f t="shared" si="374"/>
        <v>-1.1956755208706205E-2</v>
      </c>
      <c r="J417">
        <v>12019.11</v>
      </c>
      <c r="K417">
        <v>11935.81</v>
      </c>
      <c r="L417" s="93">
        <f t="shared" ref="L417" si="555">+K417/J417-1</f>
        <v>-6.9306296389667343E-3</v>
      </c>
      <c r="M417" s="92">
        <f t="shared" ref="M417" si="556">WEEKDAY(A417,2)</f>
        <v>4</v>
      </c>
    </row>
    <row r="418" spans="1:14" ht="13.5" x14ac:dyDescent="0.15">
      <c r="A418" s="90">
        <v>42993</v>
      </c>
      <c r="B418">
        <v>13.78</v>
      </c>
      <c r="C418" s="93">
        <f t="shared" ref="C418" si="557">B418/B417-1</f>
        <v>-1.4492753623189802E-3</v>
      </c>
      <c r="D418" s="26">
        <f t="shared" ref="D418" si="558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ref="G418" si="559">+B418/D418-1</f>
        <v>-1.1921793047871665E-2</v>
      </c>
      <c r="H418" s="93">
        <f>(+B418/(D418*(1-VLOOKUP(A418,FX!A:K,9,0)))-1)</f>
        <v>-1.2917439684999366E-2</v>
      </c>
      <c r="I418" s="93">
        <f t="shared" si="374"/>
        <v>-1.2752543344318745E-2</v>
      </c>
      <c r="J418">
        <v>11935.81</v>
      </c>
      <c r="K418">
        <v>11918.09</v>
      </c>
      <c r="L418" s="93">
        <f t="shared" ref="L418" si="560">+K418/J418-1</f>
        <v>-1.4846080827358721E-3</v>
      </c>
      <c r="M418" s="92">
        <f t="shared" ref="M418" si="561">WEEKDAY(A418,2)</f>
        <v>5</v>
      </c>
      <c r="N418" s="50" t="s">
        <v>440</v>
      </c>
    </row>
    <row r="419" spans="1:14" ht="13.5" x14ac:dyDescent="0.15">
      <c r="A419" s="90">
        <v>42996</v>
      </c>
      <c r="B419">
        <v>13.86</v>
      </c>
      <c r="C419" s="93">
        <f t="shared" ref="C419" si="562">B419/B418-1</f>
        <v>5.8055152394775877E-3</v>
      </c>
      <c r="D419" s="26">
        <f t="shared" ref="D419" si="563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ref="G419" si="564">+B419/D419-1</f>
        <v>-8.3107985936308193E-3</v>
      </c>
      <c r="H419" s="93">
        <f>(+B419/(D419*(1-VLOOKUP(A419,FX!A:K,9,0)))-1)</f>
        <v>-7.6120394791076018E-3</v>
      </c>
      <c r="I419" s="93">
        <f t="shared" si="374"/>
        <v>-8.5836909871245259E-3</v>
      </c>
      <c r="J419">
        <v>11918.09</v>
      </c>
      <c r="K419">
        <v>11933.59</v>
      </c>
      <c r="L419" s="93">
        <f t="shared" ref="L419" si="565">+K419/J419-1</f>
        <v>1.3005439630007221E-3</v>
      </c>
      <c r="M419" s="92">
        <f t="shared" ref="M419" si="566">WEEKDAY(A419,2)</f>
        <v>1</v>
      </c>
    </row>
    <row r="420" spans="1:14" ht="13.5" x14ac:dyDescent="0.15">
      <c r="A420" s="90">
        <v>42997</v>
      </c>
      <c r="B420">
        <v>13.7</v>
      </c>
      <c r="C420" s="93">
        <f t="shared" ref="C420" si="567">B420/B419-1</f>
        <v>-1.1544011544011523E-2</v>
      </c>
      <c r="D420" s="26">
        <f t="shared" ref="D420" si="568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ref="G420" si="569">+B420/D420-1</f>
        <v>-2.0549788985239847E-2</v>
      </c>
      <c r="H420" s="93">
        <f>(+B420/(D420*(1-VLOOKUP(A420,FX!A:K,9,0)))-1)</f>
        <v>-1.4150045653841703E-2</v>
      </c>
      <c r="I420" s="93">
        <f t="shared" si="374"/>
        <v>-1.6864011481880214E-2</v>
      </c>
      <c r="J420">
        <v>11933.59</v>
      </c>
      <c r="K420">
        <v>11939.94</v>
      </c>
      <c r="L420" s="93">
        <f t="shared" ref="L420" si="570">+K420/J420-1</f>
        <v>5.3211146017262401E-4</v>
      </c>
      <c r="M420" s="92">
        <f t="shared" ref="M420" si="571">WEEKDAY(A420,2)</f>
        <v>2</v>
      </c>
      <c r="N420" s="50" t="s">
        <v>445</v>
      </c>
    </row>
    <row r="421" spans="1:14" ht="13.5" x14ac:dyDescent="0.15">
      <c r="A421" s="90">
        <v>42998</v>
      </c>
      <c r="B421">
        <v>13.78</v>
      </c>
      <c r="C421" s="93">
        <f t="shared" ref="C421" si="572">B421/B420-1</f>
        <v>5.839416058394109E-3</v>
      </c>
      <c r="D421" s="26">
        <f t="shared" ref="D421" si="573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ref="G421" si="574">+B421/D421-1</f>
        <v>-1.028338298487963E-2</v>
      </c>
      <c r="H421" s="93">
        <f>(+B421/(D421*(1-VLOOKUP(A421,FX!A:K,9,0)))-1)</f>
        <v>-1.4360165636407074E-2</v>
      </c>
      <c r="I421" s="93">
        <f t="shared" si="374"/>
        <v>-8.4904302777378815E-3</v>
      </c>
      <c r="J421">
        <v>11939.94</v>
      </c>
      <c r="K421">
        <v>11929.81</v>
      </c>
      <c r="L421" s="93">
        <f t="shared" ref="L421" si="575">+K421/J421-1</f>
        <v>-8.4841297359961043E-4</v>
      </c>
      <c r="M421" s="92">
        <f t="shared" ref="M421" si="576">WEEKDAY(A421,2)</f>
        <v>3</v>
      </c>
    </row>
    <row r="422" spans="1:14" ht="13.5" x14ac:dyDescent="0.15">
      <c r="A422" s="90">
        <v>42999</v>
      </c>
      <c r="B422">
        <v>13.78</v>
      </c>
      <c r="C422" s="93">
        <f t="shared" ref="C422" si="577">B422/B421-1</f>
        <v>0</v>
      </c>
      <c r="D422" s="26">
        <f t="shared" ref="D422" si="578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ref="G422" si="579">+B422/D422-1</f>
        <v>-1.3417631758718351E-2</v>
      </c>
      <c r="H422" s="93">
        <f>(+B422/(D422*(1-VLOOKUP(A422,FX!A:K,9,0)))-1)</f>
        <v>-9.378099168719789E-3</v>
      </c>
      <c r="I422" s="93">
        <f t="shared" si="374"/>
        <v>-1.0341855788566501E-2</v>
      </c>
      <c r="J422">
        <v>11929.81</v>
      </c>
      <c r="K422">
        <v>11989.39</v>
      </c>
      <c r="L422" s="93">
        <f t="shared" ref="L422" si="580">+K422/J422-1</f>
        <v>4.994211978229357E-3</v>
      </c>
      <c r="M422" s="92">
        <f t="shared" ref="M422" si="581">WEEKDAY(A422,2)</f>
        <v>4</v>
      </c>
    </row>
    <row r="423" spans="1:14" ht="13.5" x14ac:dyDescent="0.15">
      <c r="A423" s="90">
        <v>43000</v>
      </c>
      <c r="B423">
        <v>13.8</v>
      </c>
      <c r="C423" s="93">
        <f t="shared" ref="C423" si="582">B423/B422-1</f>
        <v>1.4513788098695635E-3</v>
      </c>
      <c r="D423" s="26">
        <f t="shared" ref="D423" si="583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ref="G423" si="584">+B423/D423-1</f>
        <v>-1.0007003067818987E-2</v>
      </c>
      <c r="H423" s="93">
        <f>(+B423/(D423*(1-VLOOKUP(A423,FX!A:K,9,0)))-1)</f>
        <v>-1.2206289987779617E-2</v>
      </c>
      <c r="I423" s="93">
        <f t="shared" si="374"/>
        <v>-1.046895167072992E-2</v>
      </c>
      <c r="J423">
        <v>11989.39</v>
      </c>
      <c r="K423">
        <v>12002.73</v>
      </c>
      <c r="L423" s="93">
        <f t="shared" ref="L423" si="585">+K423/J423-1</f>
        <v>1.112650435093121E-3</v>
      </c>
      <c r="M423" s="92">
        <f t="shared" ref="M423" si="586">WEEKDAY(A423,2)</f>
        <v>5</v>
      </c>
      <c r="N423" s="50" t="s">
        <v>448</v>
      </c>
    </row>
    <row r="424" spans="1:14" ht="13.5" x14ac:dyDescent="0.15">
      <c r="A424" s="90">
        <v>43003</v>
      </c>
      <c r="B424">
        <v>13.68</v>
      </c>
      <c r="C424" s="93">
        <f t="shared" ref="C424" si="587">B424/B423-1</f>
        <v>-8.6956521739131043E-3</v>
      </c>
      <c r="D424" s="26">
        <f t="shared" ref="D424" si="58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ref="G424" si="589">+B424/D424-1</f>
        <v>-1.6529418146171038E-2</v>
      </c>
      <c r="H424" s="93">
        <f>(+B424/(D424*(1-VLOOKUP(A424,FX!A:K,9,0)))-1)</f>
        <v>-1.332952239504237E-2</v>
      </c>
      <c r="I424" s="93">
        <f t="shared" si="374"/>
        <v>-1.575652924670834E-2</v>
      </c>
      <c r="J424">
        <v>12002.73</v>
      </c>
      <c r="K424">
        <v>11971.68</v>
      </c>
      <c r="L424" s="93">
        <f t="shared" ref="L424" si="590">+K424/J424-1</f>
        <v>-2.5869114776387869E-3</v>
      </c>
      <c r="M424" s="92">
        <f t="shared" ref="M424" si="591">WEEKDAY(A424,2)</f>
        <v>1</v>
      </c>
    </row>
    <row r="425" spans="1:14" ht="13.5" x14ac:dyDescent="0.15">
      <c r="A425" s="90">
        <v>43004</v>
      </c>
      <c r="B425">
        <v>13.72</v>
      </c>
      <c r="C425" s="93">
        <f t="shared" ref="C425" si="592">B425/B424-1</f>
        <v>2.9239766081872176E-3</v>
      </c>
      <c r="D425" s="26">
        <f t="shared" ref="D425" si="593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ref="G425" si="594">+B425/D425-1</f>
        <v>-1.3284958740049202E-2</v>
      </c>
      <c r="H425" s="93">
        <f>(+B425/(D425*(1-VLOOKUP(A425,FX!A:K,9,0)))-1)</f>
        <v>-1.0923189171191838E-2</v>
      </c>
      <c r="I425" s="93">
        <f t="shared" si="374"/>
        <v>-1.1954486533198749E-2</v>
      </c>
      <c r="J425">
        <v>11971.68</v>
      </c>
      <c r="K425">
        <v>11976.61</v>
      </c>
      <c r="L425" s="93">
        <f t="shared" ref="L425" si="595">+K425/J425-1</f>
        <v>4.1180519359018675E-4</v>
      </c>
      <c r="M425" s="92">
        <f t="shared" ref="M425" si="596">WEEKDAY(A425,2)</f>
        <v>2</v>
      </c>
    </row>
    <row r="426" spans="1:14" ht="13.5" x14ac:dyDescent="0.15">
      <c r="A426" s="90">
        <v>43005</v>
      </c>
      <c r="B426">
        <v>13.66</v>
      </c>
      <c r="C426" s="93">
        <f t="shared" ref="C426" si="597">B426/B425-1</f>
        <v>-4.3731778425656342E-3</v>
      </c>
      <c r="D426" s="26">
        <f t="shared" ref="D426" si="598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ref="G426" si="599">+B426/D426-1</f>
        <v>-1.2387311923586997E-2</v>
      </c>
      <c r="H426" s="93">
        <f>(+B426/(D426*(1-VLOOKUP(A426,FX!A:K,9,0)))-1)</f>
        <v>-9.8396839928470703E-3</v>
      </c>
      <c r="I426" s="93">
        <f t="shared" si="374"/>
        <v>-1.0144927536231974E-2</v>
      </c>
      <c r="J426">
        <v>11976.61</v>
      </c>
      <c r="K426">
        <v>11929.46</v>
      </c>
      <c r="L426" s="93">
        <f t="shared" ref="L426" si="600">+K426/J426-1</f>
        <v>-3.9368402244042144E-3</v>
      </c>
      <c r="M426" s="92">
        <f t="shared" ref="M426" si="601">WEEKDAY(A426,2)</f>
        <v>3</v>
      </c>
    </row>
    <row r="427" spans="1:14" ht="27" x14ac:dyDescent="0.15">
      <c r="A427" s="90">
        <v>43006</v>
      </c>
      <c r="B427">
        <v>13.58</v>
      </c>
      <c r="C427" s="93">
        <f t="shared" ref="C427" si="602">B427/B426-1</f>
        <v>-5.8565153733528552E-3</v>
      </c>
      <c r="D427" s="26">
        <f t="shared" ref="D427" si="603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ref="G427" si="604">+B427/D427-1</f>
        <v>-1.6565256412526042E-2</v>
      </c>
      <c r="H427" s="93">
        <f>(+B427/(D427*(1-VLOOKUP(A427,FX!A:K,9,0)))-1)</f>
        <v>-1.0645041466469607E-2</v>
      </c>
      <c r="I427" s="93">
        <f t="shared" si="374"/>
        <v>-1.5157009210239991E-2</v>
      </c>
      <c r="J427">
        <v>11929.46</v>
      </c>
      <c r="K427">
        <v>11937.02</v>
      </c>
      <c r="L427" s="93">
        <f t="shared" ref="L427" si="605">+K427/J427-1</f>
        <v>6.3372524825111576E-4</v>
      </c>
      <c r="M427" s="92">
        <f t="shared" ref="M427" si="606">WEEKDAY(A427,2)</f>
        <v>4</v>
      </c>
      <c r="N427" s="50" t="s">
        <v>456</v>
      </c>
    </row>
    <row r="428" spans="1:14" ht="13.5" x14ac:dyDescent="0.15">
      <c r="A428" s="90">
        <v>43007</v>
      </c>
      <c r="B428">
        <v>13.66</v>
      </c>
      <c r="C428" s="93">
        <f t="shared" ref="C428" si="607">B428/B427-1</f>
        <v>5.8910162002945299E-3</v>
      </c>
      <c r="D428" s="26">
        <f t="shared" ref="D428" si="608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ref="G428" si="609">+B428/D428-1</f>
        <v>-1.1473609635470727E-2</v>
      </c>
      <c r="H428" s="93">
        <f>(+B428/(D428*(1-VLOOKUP(A428,FX!A:K,9,0)))-1)</f>
        <v>-1.1270581157484472E-2</v>
      </c>
      <c r="I428" s="93">
        <f t="shared" si="374"/>
        <v>-1.0288364005216599E-2</v>
      </c>
      <c r="J428">
        <v>11937.02</v>
      </c>
      <c r="K428">
        <v>11962.6</v>
      </c>
      <c r="L428" s="93">
        <f t="shared" ref="L428" si="610">+K428/J428-1</f>
        <v>2.1429133904442565E-3</v>
      </c>
      <c r="M428" s="92">
        <f t="shared" ref="M428" si="611">WEEKDAY(A428,2)</f>
        <v>5</v>
      </c>
      <c r="N428" s="50" t="s">
        <v>565</v>
      </c>
    </row>
    <row r="429" spans="1:14" ht="13.5" x14ac:dyDescent="0.15">
      <c r="A429" s="90">
        <v>43010</v>
      </c>
      <c r="B429">
        <v>13.66</v>
      </c>
      <c r="C429" s="93">
        <f t="shared" ref="C429" si="612">B429/B428-1</f>
        <v>0</v>
      </c>
      <c r="D429" s="26">
        <f t="shared" ref="D429" si="613">+F428*(1+L429)</f>
        <v>13.802</v>
      </c>
      <c r="E429" s="26">
        <f>D429*(1-VLOOKUP(A429,FX!A:K,9,0))</f>
        <v>13.811145817317394</v>
      </c>
      <c r="F429">
        <v>13.81</v>
      </c>
      <c r="G429" s="93">
        <f t="shared" ref="G429" si="614">+B429/D429-1</f>
        <v>-1.0288364005216599E-2</v>
      </c>
      <c r="H429" s="93">
        <f>(+B429/(D429*(1-VLOOKUP(A429,FX!A:K,9,0)))-1)</f>
        <v>-1.0943756536686222E-2</v>
      </c>
      <c r="I429" s="93">
        <f t="shared" si="374"/>
        <v>-1.086169442433027E-2</v>
      </c>
      <c r="J429">
        <v>11962.6</v>
      </c>
      <c r="K429">
        <v>11962.6</v>
      </c>
      <c r="L429" s="93">
        <f t="shared" ref="L429" si="615">+K429/J429-1</f>
        <v>0</v>
      </c>
      <c r="M429" s="92">
        <f t="shared" ref="M429" si="616">WEEKDAY(A429,2)</f>
        <v>1</v>
      </c>
    </row>
    <row r="430" spans="1:14" ht="13.5" x14ac:dyDescent="0.15">
      <c r="A430" s="90">
        <v>43011</v>
      </c>
      <c r="B430">
        <v>14</v>
      </c>
      <c r="C430" s="93">
        <f t="shared" ref="C430" si="617">B430/B429-1</f>
        <v>2.4890190336749551E-2</v>
      </c>
      <c r="D430" s="26">
        <f t="shared" ref="D430" si="618">+F429*(1+L430)</f>
        <v>13.81</v>
      </c>
      <c r="E430" s="26">
        <f>D430*(1-VLOOKUP(A430,FX!A:K,9,0))</f>
        <v>13.784786982007574</v>
      </c>
      <c r="F430">
        <v>13.801</v>
      </c>
      <c r="G430" s="93">
        <f t="shared" ref="G430" si="619">+B430/D430-1</f>
        <v>1.3758146270818283E-2</v>
      </c>
      <c r="H430" s="93">
        <f>(+B430/(D430*(1-VLOOKUP(A430,FX!A:K,9,0)))-1)</f>
        <v>1.5612357178484526E-2</v>
      </c>
      <c r="I430" s="93">
        <f t="shared" si="374"/>
        <v>1.4419244982247559E-2</v>
      </c>
      <c r="J430">
        <v>11962.6</v>
      </c>
      <c r="K430">
        <v>11962.6</v>
      </c>
      <c r="L430" s="93">
        <f t="shared" ref="L430" si="620">+K430/J430-1</f>
        <v>0</v>
      </c>
      <c r="M430" s="92">
        <f t="shared" ref="M430" si="621">WEEKDAY(A430,2)</f>
        <v>2</v>
      </c>
    </row>
    <row r="431" spans="1:14" ht="13.5" x14ac:dyDescent="0.15">
      <c r="A431" s="90">
        <v>43012</v>
      </c>
      <c r="B431">
        <v>14.06</v>
      </c>
      <c r="C431" s="93">
        <f t="shared" ref="C431" si="622">B431/B430-1</f>
        <v>4.2857142857142261E-3</v>
      </c>
      <c r="D431" s="26">
        <f t="shared" ref="D431" si="623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ref="G431" si="624">+B431/D431-1</f>
        <v>1.8766756032171594E-2</v>
      </c>
      <c r="H431" s="93">
        <f>(+B431/(D431*(1-VLOOKUP(A431,FX!A:K,9,0)))-1)</f>
        <v>1.3066844675612588E-2</v>
      </c>
      <c r="I431" s="93">
        <f t="shared" si="374"/>
        <v>1.9135981443896943E-2</v>
      </c>
      <c r="J431">
        <v>11962.6</v>
      </c>
      <c r="K431">
        <v>11962.6</v>
      </c>
      <c r="L431" s="93">
        <f t="shared" ref="L431" si="625">+K431/J431-1</f>
        <v>0</v>
      </c>
      <c r="M431" s="92">
        <f t="shared" ref="M431" si="626">WEEKDAY(A431,2)</f>
        <v>3</v>
      </c>
    </row>
    <row r="432" spans="1:14" ht="13.5" x14ac:dyDescent="0.15">
      <c r="A432" s="90">
        <v>43013</v>
      </c>
      <c r="B432">
        <v>14.06</v>
      </c>
      <c r="C432" s="93">
        <f t="shared" ref="C432" si="627">B432/B431-1</f>
        <v>0</v>
      </c>
      <c r="D432" s="26">
        <f t="shared" ref="D432" si="628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ref="G432" si="629">+B432/D432-1</f>
        <v>1.9135981443896943E-2</v>
      </c>
      <c r="H432" s="93">
        <f>(+B432/(D432*(1-VLOOKUP(A432,FX!A:K,9,0)))-1)</f>
        <v>2.0433214364881991E-2</v>
      </c>
      <c r="I432" s="93">
        <f t="shared" si="374"/>
        <v>1.8840579710144967E-2</v>
      </c>
      <c r="J432">
        <v>11962.6</v>
      </c>
      <c r="K432">
        <v>11962.6</v>
      </c>
      <c r="L432" s="93">
        <f t="shared" ref="L432" si="630">+K432/J432-1</f>
        <v>0</v>
      </c>
      <c r="M432" s="92">
        <f t="shared" ref="M432" si="631">WEEKDAY(A432,2)</f>
        <v>4</v>
      </c>
      <c r="N432" s="50" t="s">
        <v>466</v>
      </c>
    </row>
    <row r="433" spans="1:14" ht="13.5" x14ac:dyDescent="0.15">
      <c r="A433" s="90">
        <v>43014</v>
      </c>
      <c r="B433">
        <v>14.04</v>
      </c>
      <c r="C433" s="93">
        <f t="shared" ref="C433" si="632">B433/B432-1</f>
        <v>-1.4224751066856944E-3</v>
      </c>
      <c r="D433" s="26">
        <f t="shared" ref="D433" si="633">+F432*(1+L433)</f>
        <v>13.8</v>
      </c>
      <c r="E433" s="26">
        <f>D433*(1-VLOOKUP(A433,FX!A:K,9,0))</f>
        <v>13.789650546542619</v>
      </c>
      <c r="F433">
        <v>13.79</v>
      </c>
      <c r="G433" s="93">
        <f t="shared" ref="G433" si="634">+B433/D433-1</f>
        <v>1.7391304347825987E-2</v>
      </c>
      <c r="H433" s="93">
        <f>(+B433/(D433*(1-VLOOKUP(A433,FX!A:K,9,0)))-1)</f>
        <v>1.8154880184411137E-2</v>
      </c>
      <c r="I433" s="93">
        <f t="shared" si="374"/>
        <v>1.8129079042784602E-2</v>
      </c>
      <c r="J433">
        <v>11962.6</v>
      </c>
      <c r="K433">
        <v>11962.6</v>
      </c>
      <c r="L433" s="93">
        <f t="shared" ref="L433" si="635">+K433/J433-1</f>
        <v>0</v>
      </c>
      <c r="M433" s="92">
        <f t="shared" ref="M433" si="636">WEEKDAY(A433,2)</f>
        <v>5</v>
      </c>
    </row>
    <row r="434" spans="1:14" ht="13.5" x14ac:dyDescent="0.15">
      <c r="A434" s="90">
        <v>43017</v>
      </c>
      <c r="B434">
        <v>13.9</v>
      </c>
      <c r="C434" s="93">
        <f t="shared" ref="C434" si="637">B434/B433-1</f>
        <v>-9.9715099715098621E-3</v>
      </c>
      <c r="D434" s="26">
        <f t="shared" ref="D434" si="63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ref="G434" si="639">+B434/D434-1</f>
        <v>-4.2673885215013252E-3</v>
      </c>
      <c r="H434" s="93">
        <f>(+B434/(D434*(1-VLOOKUP(A434,FX!A:K,9,0)))-1)</f>
        <v>-8.7459060258624488E-3</v>
      </c>
      <c r="I434" s="93">
        <f t="shared" si="374"/>
        <v>-2.0819872209060231E-3</v>
      </c>
      <c r="J434">
        <v>11962.6</v>
      </c>
      <c r="K434">
        <v>12109.7</v>
      </c>
      <c r="L434" s="93">
        <f t="shared" ref="L434" si="640">+K434/J434-1</f>
        <v>1.2296657917175269E-2</v>
      </c>
      <c r="M434" s="92">
        <f t="shared" ref="M434" si="641">WEEKDAY(A434,2)</f>
        <v>1</v>
      </c>
    </row>
    <row r="435" spans="1:14" ht="13.5" x14ac:dyDescent="0.15">
      <c r="A435" s="90">
        <v>43018</v>
      </c>
      <c r="B435">
        <v>14</v>
      </c>
      <c r="C435" s="93">
        <f t="shared" ref="C435" si="642">B435/B434-1</f>
        <v>7.194244604316502E-3</v>
      </c>
      <c r="D435" s="26">
        <f t="shared" ref="D435" si="643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ref="G435" si="644">+B435/D435-1</f>
        <v>2.2180034081000777E-3</v>
      </c>
      <c r="H435" s="93">
        <f>(+B435/(D435*(1-VLOOKUP(A435,FX!A:K,9,0)))-1)</f>
        <v>-4.1821379637931866E-3</v>
      </c>
      <c r="I435" s="93">
        <f t="shared" si="374"/>
        <v>-9.9900099900096517E-4</v>
      </c>
      <c r="J435">
        <v>12109.7</v>
      </c>
      <c r="K435">
        <v>12144.49</v>
      </c>
      <c r="L435" s="93">
        <f t="shared" ref="L435" si="645">+K435/J435-1</f>
        <v>2.8729035401371394E-3</v>
      </c>
      <c r="M435" s="92">
        <f t="shared" ref="M435" si="646">WEEKDAY(A435,2)</f>
        <v>2</v>
      </c>
    </row>
    <row r="436" spans="1:14" ht="13.5" x14ac:dyDescent="0.15">
      <c r="A436" s="90">
        <v>43019</v>
      </c>
      <c r="B436">
        <v>14.06</v>
      </c>
      <c r="C436" s="93">
        <f t="shared" ref="C436" si="647">B436/B435-1</f>
        <v>4.2857142857142261E-3</v>
      </c>
      <c r="D436" s="26">
        <f t="shared" ref="D436" si="648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ref="G436" si="649">+B436/D436-1</f>
        <v>-2.3553800482685183E-3</v>
      </c>
      <c r="H436" s="93">
        <f>(+B436/(D436*(1-VLOOKUP(A436,FX!A:K,9,0)))-1)</f>
        <v>-3.6493809148741008E-3</v>
      </c>
      <c r="I436" s="93">
        <f t="shared" si="374"/>
        <v>-8.6024538146947105E-3</v>
      </c>
      <c r="J436">
        <v>12144.49</v>
      </c>
      <c r="K436">
        <v>12213.12</v>
      </c>
      <c r="L436" s="93">
        <f t="shared" ref="L436" si="650">+K436/J436-1</f>
        <v>5.6511224431821105E-3</v>
      </c>
      <c r="M436" s="92">
        <f t="shared" ref="M436" si="651">WEEKDAY(A436,2)</f>
        <v>3</v>
      </c>
      <c r="N436" s="50" t="s">
        <v>486</v>
      </c>
    </row>
    <row r="437" spans="1:14" ht="13.5" x14ac:dyDescent="0.15">
      <c r="A437" s="90">
        <v>43020</v>
      </c>
      <c r="B437">
        <v>14.12</v>
      </c>
      <c r="C437" s="93">
        <f t="shared" ref="C437" si="652">B437/B436-1</f>
        <v>4.2674253200567502E-3</v>
      </c>
      <c r="D437" s="26">
        <f t="shared" ref="D437" si="653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ref="G437" si="654">+B437/D437-1</f>
        <v>-8.6979388333741081E-3</v>
      </c>
      <c r="H437" s="93">
        <f>(+B437/(D437*(1-VLOOKUP(A437,FX!A:K,9,0)))-1)</f>
        <v>-8.425772008709087E-3</v>
      </c>
      <c r="I437" s="93">
        <f t="shared" si="374"/>
        <v>-8.4269662921349076E-3</v>
      </c>
      <c r="J437">
        <v>12213.12</v>
      </c>
      <c r="K437">
        <v>12266.42</v>
      </c>
      <c r="L437" s="93">
        <f t="shared" ref="L437" si="655">+K437/J437-1</f>
        <v>4.364159199287343E-3</v>
      </c>
      <c r="M437" s="92">
        <f t="shared" ref="M437" si="656">WEEKDAY(A437,2)</f>
        <v>4</v>
      </c>
      <c r="N437" s="50" t="s">
        <v>487</v>
      </c>
    </row>
    <row r="438" spans="1:14" ht="13.5" x14ac:dyDescent="0.15">
      <c r="A438" s="90">
        <v>43021</v>
      </c>
      <c r="B438">
        <v>14.14</v>
      </c>
      <c r="C438" s="93">
        <f t="shared" ref="C438" si="657">B438/B437-1</f>
        <v>1.4164305949009304E-3</v>
      </c>
      <c r="D438" s="26">
        <f t="shared" ref="D438" si="658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ref="G438" si="659">+B438/D438-1</f>
        <v>-7.9291027574247552E-3</v>
      </c>
      <c r="H438" s="93">
        <f>(+B438/(D438*(1-VLOOKUP(A438,FX!A:K,9,0)))-1)</f>
        <v>-8.9241460528544092E-3</v>
      </c>
      <c r="I438" s="93">
        <f t="shared" si="374"/>
        <v>-8.2064950550606586E-3</v>
      </c>
      <c r="J438">
        <v>12266.42</v>
      </c>
      <c r="K438">
        <v>12277.63</v>
      </c>
      <c r="L438" s="93">
        <f t="shared" ref="L438" si="660">+K438/J438-1</f>
        <v>9.1387707252810202E-4</v>
      </c>
      <c r="M438" s="92">
        <f t="shared" ref="M438" si="661">WEEKDAY(A438,2)</f>
        <v>5</v>
      </c>
    </row>
    <row r="439" spans="1:14" ht="13.5" x14ac:dyDescent="0.15">
      <c r="A439" s="90">
        <v>43024</v>
      </c>
      <c r="B439">
        <v>14.2</v>
      </c>
      <c r="C439" s="93">
        <f t="shared" ref="C439" si="662">B439/B438-1</f>
        <v>4.2432814710040567E-3</v>
      </c>
      <c r="D439" s="26">
        <f t="shared" ref="D439" si="663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ref="G439" si="664">+B439/D439-1</f>
        <v>-8.5347842539191809E-3</v>
      </c>
      <c r="H439" s="93">
        <f>(+B439/(D439*(1-VLOOKUP(A439,FX!A:K,9,0)))-1)</f>
        <v>-8.0706608907161748E-3</v>
      </c>
      <c r="I439" s="93">
        <f t="shared" si="374"/>
        <v>-8.9335566722501536E-3</v>
      </c>
      <c r="J439">
        <v>12277.63</v>
      </c>
      <c r="K439">
        <v>12333.81</v>
      </c>
      <c r="L439" s="93">
        <f t="shared" ref="L439" si="665">+K439/J439-1</f>
        <v>4.5758016815948821E-3</v>
      </c>
      <c r="M439" s="92">
        <f t="shared" ref="M439" si="666">WEEKDAY(A439,2)</f>
        <v>1</v>
      </c>
    </row>
    <row r="440" spans="1:14" ht="13.5" x14ac:dyDescent="0.15">
      <c r="A440" s="90">
        <v>43025</v>
      </c>
      <c r="B440">
        <v>14.14</v>
      </c>
      <c r="C440" s="93">
        <f t="shared" ref="C440" si="667">B440/B439-1</f>
        <v>-4.2253521126759397E-3</v>
      </c>
      <c r="D440" s="26">
        <f t="shared" ref="D440" si="668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ref="G440" si="669">+B440/D440-1</f>
        <v>-1.3276364325053747E-2</v>
      </c>
      <c r="H440" s="93">
        <f>(+B440/(D440*(1-VLOOKUP(A440,FX!A:K,9,0)))-1)</f>
        <v>-8.6361650060385875E-3</v>
      </c>
      <c r="I440" s="93">
        <f t="shared" si="374"/>
        <v>-1.2362925193825536E-2</v>
      </c>
      <c r="J440">
        <v>12333.81</v>
      </c>
      <c r="K440">
        <v>12335.75</v>
      </c>
      <c r="L440" s="93">
        <f t="shared" ref="L440" si="670">+K440/J440-1</f>
        <v>1.5729121820440284E-4</v>
      </c>
      <c r="M440" s="92">
        <f t="shared" ref="M440" si="671">WEEKDAY(A440,2)</f>
        <v>2</v>
      </c>
    </row>
    <row r="441" spans="1:14" ht="13.5" x14ac:dyDescent="0.15">
      <c r="A441" s="90">
        <v>43026</v>
      </c>
      <c r="B441">
        <v>14.26</v>
      </c>
      <c r="C441" s="93">
        <f t="shared" ref="C441" si="672">B441/B440-1</f>
        <v>8.4865629420083355E-3</v>
      </c>
      <c r="D441" s="26">
        <f t="shared" ref="D441" si="673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ref="G441" si="674">+B441/D441-1</f>
        <v>-1.404088934169867E-2</v>
      </c>
      <c r="H441" s="93">
        <f>(+B441/(D441*(1-VLOOKUP(A441,FX!A:K,9,0)))-1)</f>
        <v>-1.2938509562583245E-2</v>
      </c>
      <c r="I441" s="93">
        <f t="shared" si="374"/>
        <v>-1.314878892733562E-2</v>
      </c>
      <c r="J441">
        <v>12335.75</v>
      </c>
      <c r="K441">
        <v>12461.61</v>
      </c>
      <c r="L441" s="93">
        <f t="shared" ref="L441" si="675">+K441/J441-1</f>
        <v>1.0202865654702853E-2</v>
      </c>
      <c r="M441" s="92">
        <f t="shared" ref="M441" si="676">WEEKDAY(A441,2)</f>
        <v>3</v>
      </c>
    </row>
    <row r="442" spans="1:14" ht="27" x14ac:dyDescent="0.15">
      <c r="A442" s="90">
        <v>43027</v>
      </c>
      <c r="B442">
        <v>14.12</v>
      </c>
      <c r="C442" s="93">
        <f t="shared" ref="C442" si="677">B442/B441-1</f>
        <v>-9.817671809256745E-3</v>
      </c>
      <c r="D442" s="26">
        <f t="shared" ref="D442" si="678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ref="G442" si="679">+B442/D442-1</f>
        <v>-2.3702292727213803E-2</v>
      </c>
      <c r="H442" s="93">
        <f>(+B442/(D442*(1-VLOOKUP(A442,FX!A:K,9,0)))-1)</f>
        <v>-2.1154745638664041E-2</v>
      </c>
      <c r="I442" s="93">
        <f t="shared" si="374"/>
        <v>-2.039683640904677E-2</v>
      </c>
      <c r="J442">
        <v>12461.61</v>
      </c>
      <c r="K442">
        <v>12472.65</v>
      </c>
      <c r="L442" s="93">
        <f t="shared" ref="L442" si="680">+K442/J442-1</f>
        <v>8.8592084008398686E-4</v>
      </c>
      <c r="M442" s="92">
        <f t="shared" ref="M442" si="681">WEEKDAY(A442,2)</f>
        <v>4</v>
      </c>
      <c r="N442" s="50" t="s">
        <v>508</v>
      </c>
    </row>
    <row r="443" spans="1:14" ht="13.5" x14ac:dyDescent="0.15">
      <c r="A443" s="90">
        <v>43028</v>
      </c>
      <c r="B443">
        <v>14.16</v>
      </c>
      <c r="C443" s="93">
        <f t="shared" ref="C443" si="682">B443/B442-1</f>
        <v>2.8328611898018607E-3</v>
      </c>
      <c r="D443" s="26">
        <f t="shared" ref="D443" si="683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ref="G443" si="684">+B443/D443-1</f>
        <v>-1.1693972722271018E-2</v>
      </c>
      <c r="H443" s="93">
        <f>(+B443/(D443*(1-VLOOKUP(A443,FX!A:K,9,0)))-1)</f>
        <v>-1.2593323218274555E-2</v>
      </c>
      <c r="I443" s="93">
        <f t="shared" si="374"/>
        <v>-1.2001116382919341E-2</v>
      </c>
      <c r="J443">
        <v>12472.65</v>
      </c>
      <c r="K443">
        <v>12397.84</v>
      </c>
      <c r="L443" s="93">
        <f t="shared" ref="L443" si="685">+K443/J443-1</f>
        <v>-5.9979234565228357E-3</v>
      </c>
      <c r="M443" s="92">
        <f t="shared" ref="M443" si="686">WEEKDAY(A443,2)</f>
        <v>5</v>
      </c>
    </row>
    <row r="444" spans="1:14" ht="13.5" x14ac:dyDescent="0.15">
      <c r="A444" s="90">
        <v>43031</v>
      </c>
      <c r="B444">
        <v>14.08</v>
      </c>
      <c r="C444" s="93">
        <f t="shared" ref="C444" si="687">B444/B443-1</f>
        <v>-5.6497175141243527E-3</v>
      </c>
      <c r="D444" s="26">
        <f t="shared" ref="D444" si="688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ref="G444" si="689">+B444/D444-1</f>
        <v>-1.5628236206940982E-2</v>
      </c>
      <c r="H444" s="93">
        <f>(+B444/(D444*(1-VLOOKUP(A444,FX!A:K,9,0)))-1)</f>
        <v>-1.4501703747047623E-2</v>
      </c>
      <c r="I444" s="93">
        <f t="shared" si="374"/>
        <v>-1.3936550178583973E-2</v>
      </c>
      <c r="J444">
        <v>12397.84</v>
      </c>
      <c r="K444">
        <v>12373.22</v>
      </c>
      <c r="L444" s="93">
        <f t="shared" ref="L444" si="690">+K444/J444-1</f>
        <v>-1.9858297897054067E-3</v>
      </c>
      <c r="M444" s="92">
        <f t="shared" ref="M444" si="691">WEEKDAY(A444,2)</f>
        <v>1</v>
      </c>
      <c r="N444" s="50" t="s">
        <v>517</v>
      </c>
    </row>
    <row r="445" spans="1:14" ht="13.5" x14ac:dyDescent="0.15">
      <c r="A445" s="90">
        <v>43032</v>
      </c>
      <c r="B445">
        <v>14.14</v>
      </c>
      <c r="C445" s="93">
        <f t="shared" ref="C445" si="692">B445/B444-1</f>
        <v>4.2613636363637575E-3</v>
      </c>
      <c r="D445" s="26">
        <f t="shared" ref="D445" si="693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ref="G445" si="694">+B445/D445-1</f>
        <v>-1.735937513217356E-2</v>
      </c>
      <c r="H445" s="93">
        <f>(+B445/(D445*(1-VLOOKUP(A445,FX!A:K,9,0)))-1)</f>
        <v>-1.7074787628017174E-2</v>
      </c>
      <c r="I445" s="93">
        <f t="shared" si="374"/>
        <v>-1.6416249304396113E-2</v>
      </c>
      <c r="J445">
        <v>12373.22</v>
      </c>
      <c r="K445">
        <v>12469.23</v>
      </c>
      <c r="L445" s="93">
        <f t="shared" ref="L445" si="695">+K445/J445-1</f>
        <v>7.7594999523162844E-3</v>
      </c>
      <c r="M445" s="92">
        <f t="shared" ref="M445" si="696">WEEKDAY(A445,2)</f>
        <v>2</v>
      </c>
    </row>
    <row r="446" spans="1:14" ht="13.5" x14ac:dyDescent="0.15">
      <c r="A446" s="90">
        <v>43033</v>
      </c>
      <c r="B446">
        <v>14.26</v>
      </c>
      <c r="C446" s="93">
        <f t="shared" ref="C446" si="697">B446/B445-1</f>
        <v>8.4865629420083355E-3</v>
      </c>
      <c r="D446" s="26">
        <f t="shared" ref="D446" si="698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ref="G446" si="699">+B446/D446-1</f>
        <v>-1.2254704329428323E-2</v>
      </c>
      <c r="H446" s="93">
        <f>(+B446/(D446*(1-VLOOKUP(A446,FX!A:K,9,0)))-1)</f>
        <v>-1.1288434069464226E-2</v>
      </c>
      <c r="I446" s="93">
        <f t="shared" si="374"/>
        <v>-1.1644025505960665E-2</v>
      </c>
      <c r="J446">
        <v>12469.23</v>
      </c>
      <c r="K446">
        <v>12522.07</v>
      </c>
      <c r="L446" s="93">
        <f t="shared" ref="L446" si="700">+K446/J446-1</f>
        <v>4.2376313533394327E-3</v>
      </c>
      <c r="M446" s="92">
        <f t="shared" ref="M446" si="701">WEEKDAY(A446,2)</f>
        <v>3</v>
      </c>
    </row>
    <row r="447" spans="1:14" ht="13.5" x14ac:dyDescent="0.15">
      <c r="A447" s="90">
        <v>43034</v>
      </c>
      <c r="B447">
        <v>14.34</v>
      </c>
      <c r="C447" s="93">
        <f t="shared" ref="C447" si="702">B447/B446-1</f>
        <v>5.6100981767182034E-3</v>
      </c>
      <c r="D447" s="26">
        <f t="shared" ref="D447" si="703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ref="G447" si="704">+B447/D447-1</f>
        <v>-1.1326040327496512E-2</v>
      </c>
      <c r="H447" s="93">
        <f>(+B447/(D447*(1-VLOOKUP(A447,FX!A:K,9,0)))-1)</f>
        <v>-1.2335962556421998E-2</v>
      </c>
      <c r="I447" s="93">
        <f t="shared" si="374"/>
        <v>-1.1375387797311287E-2</v>
      </c>
      <c r="J447">
        <v>12522.07</v>
      </c>
      <c r="K447">
        <v>12588.27</v>
      </c>
      <c r="L447" s="93">
        <f t="shared" ref="L447" si="705">+K447/J447-1</f>
        <v>5.2866658627528373E-3</v>
      </c>
      <c r="M447" s="92">
        <f t="shared" ref="M447" si="706">WEEKDAY(A447,2)</f>
        <v>4</v>
      </c>
    </row>
    <row r="448" spans="1:14" ht="13.5" x14ac:dyDescent="0.15">
      <c r="A448" s="90">
        <v>43035</v>
      </c>
      <c r="B448">
        <v>14.54</v>
      </c>
      <c r="C448" s="93">
        <f t="shared" ref="C448" si="707">B448/B447-1</f>
        <v>1.3947001394700065E-2</v>
      </c>
      <c r="D448" s="26">
        <f t="shared" ref="D448" si="708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ref="G448" si="709">+B448/D448-1</f>
        <v>-1.4534059222504947E-2</v>
      </c>
      <c r="H448" s="93">
        <f>(+B448/(D448*(1-VLOOKUP(A448,FX!A:K,9,0)))-1)</f>
        <v>-1.1385592369461794E-2</v>
      </c>
      <c r="I448" s="93">
        <f t="shared" si="374"/>
        <v>-1.1892626571525677E-2</v>
      </c>
      <c r="J448">
        <v>12588.27</v>
      </c>
      <c r="K448">
        <v>12804.75</v>
      </c>
      <c r="L448" s="93">
        <f t="shared" ref="L448" si="710">+K448/J448-1</f>
        <v>1.7196961933609645E-2</v>
      </c>
      <c r="M448" s="92">
        <f t="shared" ref="M448" si="711">WEEKDAY(A448,2)</f>
        <v>5</v>
      </c>
    </row>
    <row r="449" spans="1:14" ht="13.5" x14ac:dyDescent="0.15">
      <c r="A449" s="90">
        <v>43038</v>
      </c>
      <c r="B449">
        <v>14.52</v>
      </c>
      <c r="C449" s="93">
        <f t="shared" ref="C449" si="712">B449/B448-1</f>
        <v>-1.3755158184318717E-3</v>
      </c>
      <c r="D449" s="26">
        <f t="shared" ref="D449" si="713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ref="G449" si="714">+B449/D449-1</f>
        <v>-1.4838997348734395E-2</v>
      </c>
      <c r="H449" s="93">
        <f>(+B449/(D449*(1-VLOOKUP(A449,FX!A:K,9,0)))-1)</f>
        <v>-1.5869044677518485E-2</v>
      </c>
      <c r="I449" s="93">
        <f t="shared" si="374"/>
        <v>-1.4055815848441733E-2</v>
      </c>
      <c r="J449">
        <v>12804.75</v>
      </c>
      <c r="K449">
        <v>12825.38</v>
      </c>
      <c r="L449" s="93">
        <f t="shared" ref="L449" si="715">+K449/J449-1</f>
        <v>1.6111208731133253E-3</v>
      </c>
      <c r="M449" s="92">
        <f t="shared" ref="M449" si="716">WEEKDAY(A449,2)</f>
        <v>1</v>
      </c>
    </row>
    <row r="450" spans="1:14" ht="13.5" x14ac:dyDescent="0.15">
      <c r="A450" s="90">
        <v>43039</v>
      </c>
      <c r="B450">
        <v>14.56</v>
      </c>
      <c r="C450" s="93">
        <f t="shared" ref="C450" si="717">B450/B449-1</f>
        <v>2.7548209366392573E-3</v>
      </c>
      <c r="D450" s="26">
        <f t="shared" ref="D450" si="718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ref="G450" si="719">+B450/D450-1</f>
        <v>-8.5172629748681006E-3</v>
      </c>
      <c r="H450" s="93">
        <f>(+B450/(D450*(1-VLOOKUP(A450,FX!A:K,9,0)))-1)</f>
        <v>-1.1506029061197687E-2</v>
      </c>
      <c r="I450" s="93">
        <f t="shared" si="374"/>
        <v>-9.9952403617324936E-3</v>
      </c>
      <c r="J450">
        <v>12825.38</v>
      </c>
      <c r="K450">
        <v>12788.87</v>
      </c>
      <c r="L450" s="93">
        <f t="shared" ref="L450" si="720">+K450/J450-1</f>
        <v>-2.8466992790855405E-3</v>
      </c>
      <c r="M450" s="92">
        <f t="shared" ref="M450" si="721">WEEKDAY(A450,2)</f>
        <v>2</v>
      </c>
      <c r="N450" s="50" t="s">
        <v>564</v>
      </c>
    </row>
    <row r="451" spans="1:14" ht="13.5" x14ac:dyDescent="0.15">
      <c r="A451" s="90">
        <v>43040</v>
      </c>
      <c r="B451">
        <v>14.6</v>
      </c>
      <c r="C451" s="93">
        <f t="shared" ref="C451" si="722">B451/B450-1</f>
        <v>2.7472527472527375E-3</v>
      </c>
      <c r="D451" s="26">
        <f t="shared" ref="D451" si="72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ref="G451" si="724">+B451/D451-1</f>
        <v>-6.7294494939108551E-3</v>
      </c>
      <c r="H451" s="93">
        <f>(+B451/(D451*(1-VLOOKUP(A451,FX!A:K,9,0)))-1)</f>
        <v>-6.2893941236150663E-3</v>
      </c>
      <c r="I451" s="93">
        <f t="shared" si="374"/>
        <v>-8.15217391304357E-3</v>
      </c>
      <c r="J451">
        <v>12788.87</v>
      </c>
      <c r="K451">
        <v>12781.84</v>
      </c>
      <c r="L451" s="93">
        <f t="shared" ref="L451" si="725">+K451/J451-1</f>
        <v>-5.4969672848348416E-4</v>
      </c>
      <c r="M451" s="92">
        <f t="shared" ref="M451" si="726">WEEKDAY(A451,2)</f>
        <v>3</v>
      </c>
    </row>
    <row r="452" spans="1:14" ht="13.5" x14ac:dyDescent="0.15">
      <c r="A452" s="90">
        <v>43041</v>
      </c>
      <c r="B452">
        <v>14.62</v>
      </c>
      <c r="C452" s="93">
        <f t="shared" ref="C452" si="727">B452/B451-1</f>
        <v>1.36986301369868E-3</v>
      </c>
      <c r="D452" s="26">
        <f t="shared" ref="D452" si="728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" si="729">+B452/D452-1</f>
        <v>-7.4713755660548165E-3</v>
      </c>
      <c r="H452" s="93">
        <f>(+B452/(D452*(1-VLOOKUP(A452,FX!A:K,9,0)))-1)</f>
        <v>-1.1744965158054899E-2</v>
      </c>
      <c r="I452" s="93">
        <f t="shared" si="374"/>
        <v>-8.8807538471967762E-3</v>
      </c>
      <c r="J452">
        <v>12781.84</v>
      </c>
      <c r="K452">
        <v>12790.57</v>
      </c>
      <c r="L452" s="93">
        <f t="shared" ref="L452" si="730">+K452/J452-1</f>
        <v>6.830002566140525E-4</v>
      </c>
      <c r="M452" s="92">
        <f t="shared" ref="M452" si="731">WEEKDAY(A452,2)</f>
        <v>4</v>
      </c>
    </row>
    <row r="453" spans="1:14" ht="54" x14ac:dyDescent="0.15">
      <c r="A453" s="90">
        <v>43042</v>
      </c>
      <c r="B453">
        <v>14.56</v>
      </c>
      <c r="C453" s="93">
        <f t="shared" ref="C453" si="732">B453/B452-1</f>
        <v>-4.1039671682625567E-3</v>
      </c>
      <c r="D453" s="26">
        <f t="shared" ref="D453" si="733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ref="G453" si="734">+B453/D453-1</f>
        <v>-1.3742488896702376E-2</v>
      </c>
      <c r="H453" s="93">
        <f>(+B453/(D453*(1-VLOOKUP(A453,FX!A:K,9,0)))-1)</f>
        <v>-1.0980313677525833E-2</v>
      </c>
      <c r="I453" s="93">
        <f t="shared" si="374"/>
        <v>-1.5617605300520587E-2</v>
      </c>
      <c r="J453">
        <v>12790.57</v>
      </c>
      <c r="K453">
        <v>12800.87</v>
      </c>
      <c r="L453" s="93">
        <f t="shared" ref="L453" si="735">+K453/J453-1</f>
        <v>8.0528076543906479E-4</v>
      </c>
      <c r="M453" s="92">
        <f t="shared" ref="M453" si="736">WEEKDAY(A453,2)</f>
        <v>5</v>
      </c>
      <c r="N453" s="50" t="s">
        <v>556</v>
      </c>
    </row>
    <row r="454" spans="1:14" ht="13.5" x14ac:dyDescent="0.15">
      <c r="A454" s="90">
        <v>43045</v>
      </c>
      <c r="B454">
        <v>14.56</v>
      </c>
      <c r="C454" s="93">
        <f t="shared" ref="C454" si="737">B454/B453-1</f>
        <v>0</v>
      </c>
      <c r="D454" s="26">
        <f t="shared" ref="D454" si="738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ref="G454" si="739">+B454/D454-1</f>
        <v>-1.6296929061100696E-2</v>
      </c>
      <c r="H454" s="93">
        <f>(+B454/(D454*(1-VLOOKUP(A454,FX!A:K,9,0)))-1)</f>
        <v>-1.365466563558182E-2</v>
      </c>
      <c r="I454" s="93">
        <f t="shared" si="374"/>
        <v>-1.3683782685273038E-2</v>
      </c>
      <c r="J454">
        <v>12800.87</v>
      </c>
      <c r="K454">
        <v>12809.71</v>
      </c>
      <c r="L454" s="93">
        <f t="shared" ref="L454" si="740">+K454/J454-1</f>
        <v>6.9057806227212915E-4</v>
      </c>
      <c r="M454" s="92">
        <f t="shared" ref="M454" si="741">WEEKDAY(A454,2)</f>
        <v>1</v>
      </c>
    </row>
    <row r="455" spans="1:14" ht="13.5" x14ac:dyDescent="0.15">
      <c r="A455" s="90">
        <v>43046</v>
      </c>
      <c r="B455">
        <v>14.76</v>
      </c>
      <c r="C455" s="93">
        <f t="shared" ref="C455" si="742">B455/B454-1</f>
        <v>1.3736263736263687E-2</v>
      </c>
      <c r="D455" s="26">
        <f t="shared" ref="D455" si="743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ref="G455" si="744">+B455/D455-1</f>
        <v>-1.0270970381481948E-2</v>
      </c>
      <c r="H455" s="93">
        <f>(+B455/(D455*(1-VLOOKUP(A455,FX!A:K,9,0)))-1)</f>
        <v>-1.201200679216019E-2</v>
      </c>
      <c r="I455" s="93">
        <f t="shared" si="374"/>
        <v>-1.0657550774180624E-2</v>
      </c>
      <c r="J455">
        <v>12809.71</v>
      </c>
      <c r="K455">
        <v>12940.89</v>
      </c>
      <c r="L455" s="93">
        <f t="shared" ref="L455" si="745">+K455/J455-1</f>
        <v>1.024066899250653E-2</v>
      </c>
      <c r="M455" s="92">
        <f t="shared" ref="M455" si="746">WEEKDAY(A455,2)</f>
        <v>2</v>
      </c>
    </row>
    <row r="456" spans="1:14" ht="13.5" x14ac:dyDescent="0.15">
      <c r="A456" s="90">
        <v>43047</v>
      </c>
      <c r="B456">
        <v>14.7</v>
      </c>
      <c r="C456" s="93">
        <f t="shared" ref="C456" si="747">B456/B455-1</f>
        <v>-4.0650406504065817E-3</v>
      </c>
      <c r="D456" s="26">
        <f t="shared" ref="D456" si="748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ref="G456" si="749">+B456/D456-1</f>
        <v>-1.2434121992511038E-2</v>
      </c>
      <c r="H456" s="93">
        <f>(+B456/(D456*(1-VLOOKUP(A456,FX!A:K,9,0)))-1)</f>
        <v>-9.609773617319739E-3</v>
      </c>
      <c r="I456" s="93">
        <f t="shared" si="374"/>
        <v>-1.1565357719203861E-2</v>
      </c>
      <c r="J456">
        <v>12940.89</v>
      </c>
      <c r="K456">
        <v>12911.47</v>
      </c>
      <c r="L456" s="93">
        <f t="shared" ref="L456" si="750">+K456/J456-1</f>
        <v>-2.2734139614818405E-3</v>
      </c>
      <c r="M456" s="92">
        <f t="shared" ref="M456" si="751">WEEKDAY(A456,2)</f>
        <v>3</v>
      </c>
    </row>
    <row r="457" spans="1:14" ht="13.5" x14ac:dyDescent="0.15">
      <c r="A457" s="90">
        <v>43048</v>
      </c>
      <c r="B457">
        <v>14.82</v>
      </c>
      <c r="C457" s="93">
        <f t="shared" ref="C457" si="752">B457/B456-1</f>
        <v>8.1632653061225469E-3</v>
      </c>
      <c r="D457" s="26">
        <f t="shared" ref="D457" si="753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ref="G457" si="754">+B457/D457-1</f>
        <v>-9.7860619326000098E-3</v>
      </c>
      <c r="H457" s="93">
        <f>(+B457/(D457*(1-VLOOKUP(A457,FX!A:K,9,0)))-1)</f>
        <v>-1.1313281330228797E-2</v>
      </c>
      <c r="I457" s="93">
        <f t="shared" si="374"/>
        <v>-8.4303492573263306E-3</v>
      </c>
      <c r="J457">
        <v>12911.47</v>
      </c>
      <c r="K457">
        <v>12993.48</v>
      </c>
      <c r="L457" s="93">
        <f t="shared" ref="L457" si="755">+K457/J457-1</f>
        <v>6.3517167293887233E-3</v>
      </c>
      <c r="M457" s="92">
        <f t="shared" ref="M457" si="756">WEEKDAY(A457,2)</f>
        <v>4</v>
      </c>
      <c r="N457" s="50" t="s">
        <v>570</v>
      </c>
    </row>
    <row r="458" spans="1:14" ht="13.5" x14ac:dyDescent="0.15">
      <c r="A458" s="90">
        <v>43049</v>
      </c>
      <c r="B458">
        <v>14.98</v>
      </c>
      <c r="C458" s="93">
        <f t="shared" ref="C458" si="757">B458/B457-1</f>
        <v>1.0796221322537214E-2</v>
      </c>
      <c r="D458" s="26">
        <f t="shared" ref="D458" si="758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ref="G458" si="759">+B458/D458-1</f>
        <v>-7.4221482336432887E-3</v>
      </c>
      <c r="H458" s="93">
        <f>(+B458/(D458*(1-VLOOKUP(A458,FX!A:K,9,0)))-1)</f>
        <v>-5.8108651717977411E-3</v>
      </c>
      <c r="I458" s="93">
        <f t="shared" si="374"/>
        <v>-8.2754054948692701E-3</v>
      </c>
      <c r="J458">
        <v>12993.48</v>
      </c>
      <c r="K458">
        <v>13120.42</v>
      </c>
      <c r="L458" s="93">
        <f t="shared" ref="L458" si="760">+K458/J458-1</f>
        <v>9.7695151722247964E-3</v>
      </c>
      <c r="M458" s="92">
        <f t="shared" ref="M458" si="761">WEEKDAY(A458,2)</f>
        <v>5</v>
      </c>
    </row>
    <row r="459" spans="1:14" ht="13.5" x14ac:dyDescent="0.15">
      <c r="A459" s="90">
        <v>43052</v>
      </c>
      <c r="B459">
        <v>15</v>
      </c>
      <c r="C459" s="93">
        <f t="shared" ref="C459" si="762">B459/B458-1</f>
        <v>1.3351134846462109E-3</v>
      </c>
      <c r="D459" s="26">
        <f t="shared" ref="D459" si="763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ref="G459" si="764">+B459/D459-1</f>
        <v>-1.1123782306695751E-2</v>
      </c>
      <c r="H459" s="93">
        <f>(+B459/(D459*(1-VLOOKUP(A459,FX!A:K,9,0)))-1)</f>
        <v>-1.0152956373723154E-2</v>
      </c>
      <c r="I459" s="93">
        <f t="shared" si="374"/>
        <v>-1.0227647641042559E-2</v>
      </c>
      <c r="J459">
        <v>13120.42</v>
      </c>
      <c r="K459">
        <v>13175.78</v>
      </c>
      <c r="L459" s="93">
        <f t="shared" ref="L459" si="765">+K459/J459-1</f>
        <v>4.2193771235983224E-3</v>
      </c>
      <c r="M459" s="92">
        <f t="shared" ref="M459" si="766">WEEKDAY(A459,2)</f>
        <v>1</v>
      </c>
    </row>
    <row r="460" spans="1:14" ht="13.5" x14ac:dyDescent="0.15">
      <c r="A460" s="90">
        <v>43053</v>
      </c>
      <c r="B460">
        <v>14.9</v>
      </c>
      <c r="C460" s="93">
        <f t="shared" ref="C460" si="767">B460/B459-1</f>
        <v>-6.6666666666665986E-3</v>
      </c>
      <c r="D460" s="26">
        <f t="shared" ref="D460" si="768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ref="G460" si="769">+B460/D460-1</f>
        <v>-1.1825173886917506E-2</v>
      </c>
      <c r="H460" s="93">
        <f>(+B460/(D460*(1-VLOOKUP(A460,FX!A:K,9,0)))-1)</f>
        <v>-1.2431917532077064E-2</v>
      </c>
      <c r="I460" s="93">
        <f t="shared" si="374"/>
        <v>-1.1018186645426864E-2</v>
      </c>
      <c r="J460">
        <v>13175.78</v>
      </c>
      <c r="K460">
        <v>13109.1</v>
      </c>
      <c r="L460" s="93">
        <f t="shared" ref="L460" si="770">+K460/J460-1</f>
        <v>-5.0608009544785837E-3</v>
      </c>
      <c r="M460" s="92">
        <f t="shared" ref="M460" si="771">WEEKDAY(A460,2)</f>
        <v>2</v>
      </c>
    </row>
    <row r="461" spans="1:14" ht="13.5" x14ac:dyDescent="0.15">
      <c r="A461" s="90">
        <v>43054</v>
      </c>
      <c r="B461">
        <v>14.82</v>
      </c>
      <c r="C461" s="93">
        <f t="shared" ref="C461" si="772">B461/B460-1</f>
        <v>-5.3691275167785379E-3</v>
      </c>
      <c r="D461" s="26">
        <f t="shared" ref="D461" si="773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ref="G461" si="774">+B461/D461-1</f>
        <v>-1.2835568036539846E-2</v>
      </c>
      <c r="H461" s="93">
        <f>(+B461/(D461*(1-VLOOKUP(A461,FX!A:K,9,0)))-1)</f>
        <v>-1.3839016322370279E-2</v>
      </c>
      <c r="I461" s="93">
        <f t="shared" si="374"/>
        <v>-1.5086063667176242E-2</v>
      </c>
      <c r="J461">
        <v>13109.1</v>
      </c>
      <c r="K461">
        <v>13062.72</v>
      </c>
      <c r="L461" s="93">
        <f t="shared" ref="L461" si="775">+K461/J461-1</f>
        <v>-3.5380003203882016E-3</v>
      </c>
      <c r="M461" s="92">
        <f t="shared" ref="M461" si="776">WEEKDAY(A461,2)</f>
        <v>3</v>
      </c>
    </row>
    <row r="462" spans="1:14" ht="13.5" x14ac:dyDescent="0.15">
      <c r="A462" s="90">
        <v>43055</v>
      </c>
      <c r="B462">
        <v>15.04</v>
      </c>
      <c r="C462" s="93">
        <f t="shared" ref="C462" si="777">B462/B461-1</f>
        <v>1.4844804318488558E-2</v>
      </c>
      <c r="D462" s="26">
        <f t="shared" ref="D462" si="77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ref="G462" si="779">+B462/D462-1</f>
        <v>-1.1588949589593334E-2</v>
      </c>
      <c r="H462" s="93">
        <f>(+B462/(D462*(1-VLOOKUP(A462,FX!A:K,9,0)))-1)</f>
        <v>-1.1797322522571929E-2</v>
      </c>
      <c r="I462" s="93">
        <f t="shared" si="374"/>
        <v>-1.1631727672997361E-2</v>
      </c>
      <c r="J462">
        <v>13062.72</v>
      </c>
      <c r="K462">
        <v>13209.73</v>
      </c>
      <c r="L462" s="93">
        <f t="shared" ref="L462" si="780">+K462/J462-1</f>
        <v>1.125416452316208E-2</v>
      </c>
      <c r="M462" s="92">
        <f t="shared" ref="M462" si="781">WEEKDAY(A462,2)</f>
        <v>4</v>
      </c>
    </row>
    <row r="463" spans="1:14" ht="13.5" x14ac:dyDescent="0.15">
      <c r="A463" s="90">
        <v>43056</v>
      </c>
      <c r="B463">
        <v>15.26</v>
      </c>
      <c r="C463" s="93">
        <f t="shared" ref="C463" si="782">B463/B462-1</f>
        <v>1.4627659574468099E-2</v>
      </c>
      <c r="D463" s="26">
        <f t="shared" ref="D463" si="783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ref="G463" si="784">+B463/D463-1</f>
        <v>-1.2780227175718251E-2</v>
      </c>
      <c r="H463" s="93">
        <f>(+B463/(D463*(1-VLOOKUP(A463,FX!A:K,9,0)))-1)</f>
        <v>-1.3317651058081137E-2</v>
      </c>
      <c r="I463" s="93">
        <f t="shared" si="374"/>
        <v>-1.293661060802076E-2</v>
      </c>
      <c r="J463">
        <v>13209.73</v>
      </c>
      <c r="K463">
        <v>13418.55</v>
      </c>
      <c r="L463" s="93">
        <f t="shared" ref="L463" si="785">+K463/J463-1</f>
        <v>1.5808044524755704E-2</v>
      </c>
      <c r="M463" s="92">
        <f t="shared" ref="M463" si="786">WEEKDAY(A463,2)</f>
        <v>5</v>
      </c>
      <c r="N463" s="50" t="s">
        <v>588</v>
      </c>
    </row>
    <row r="464" spans="1:14" ht="13.5" x14ac:dyDescent="0.15">
      <c r="A464" s="90">
        <v>43059</v>
      </c>
      <c r="B464">
        <v>15.36</v>
      </c>
      <c r="C464" s="93">
        <f t="shared" ref="C464" si="787">B464/B463-1</f>
        <v>6.5530799475752577E-3</v>
      </c>
      <c r="D464" s="26">
        <f t="shared" ref="D464" si="788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ref="G464" si="789">+B464/D464-1</f>
        <v>-1.2173582502816083E-2</v>
      </c>
      <c r="H464" s="93">
        <f>(+B464/(D464*(1-VLOOKUP(A464,FX!A:K,9,0)))-1)</f>
        <v>-1.1101079654100565E-2</v>
      </c>
      <c r="I464" s="93">
        <f t="shared" si="374"/>
        <v>-1.2599640010285351E-2</v>
      </c>
      <c r="J464">
        <v>13418.55</v>
      </c>
      <c r="K464">
        <v>13496.05</v>
      </c>
      <c r="L464" s="93">
        <f t="shared" ref="L464" si="790">+K464/J464-1</f>
        <v>5.7755867809861083E-3</v>
      </c>
      <c r="M464" s="92">
        <f t="shared" ref="M464" si="791">WEEKDAY(A464,2)</f>
        <v>1</v>
      </c>
    </row>
    <row r="465" spans="1:14" x14ac:dyDescent="0.25">
      <c r="A465" s="90">
        <v>43060</v>
      </c>
      <c r="B465">
        <v>15.74</v>
      </c>
      <c r="C465" s="93">
        <f t="shared" ref="C465" si="792">B465/B464-1</f>
        <v>2.4739583333333481E-2</v>
      </c>
      <c r="D465" s="26">
        <f t="shared" ref="D465" si="793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ref="G465" si="794">+B465/D465-1</f>
        <v>-8.219676106457352E-3</v>
      </c>
      <c r="H465" s="93">
        <f>(+B465/(D465*(1-VLOOKUP(A465,FX!A:K,9,0)))-1)</f>
        <v>-7.89412301061998E-3</v>
      </c>
      <c r="I465" s="93">
        <f t="shared" si="374"/>
        <v>-6.9400630914826511E-3</v>
      </c>
      <c r="J465">
        <v>13496.05</v>
      </c>
      <c r="K465">
        <v>13768.86</v>
      </c>
      <c r="L465" s="93">
        <f t="shared" ref="L465" si="795">+K465/J465-1</f>
        <v>2.021406263314085E-2</v>
      </c>
      <c r="M465" s="92">
        <f t="shared" ref="M465" si="796">WEEKDAY(A465,2)</f>
        <v>2</v>
      </c>
    </row>
    <row r="466" spans="1:14" x14ac:dyDescent="0.25">
      <c r="A466" s="90">
        <v>43061</v>
      </c>
      <c r="B466">
        <v>15.88</v>
      </c>
      <c r="C466" s="93">
        <f t="shared" ref="C466" si="797">B466/B465-1</f>
        <v>8.8945362134689177E-3</v>
      </c>
      <c r="D466" s="26">
        <f t="shared" ref="D466" si="798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ref="G466" si="799">+B466/D466-1</f>
        <v>-5.144795081446385E-3</v>
      </c>
      <c r="H466" s="93">
        <f>(+B466/(D466*(1-VLOOKUP(A466,FX!A:K,9,0)))-1)</f>
        <v>-9.1650273307533059E-3</v>
      </c>
      <c r="I466" s="93">
        <f t="shared" si="374"/>
        <v>-5.635566687539173E-3</v>
      </c>
      <c r="J466">
        <v>13768.86</v>
      </c>
      <c r="K466">
        <v>13866.26</v>
      </c>
      <c r="L466" s="93">
        <f t="shared" ref="L466" si="800">+K466/J466-1</f>
        <v>7.0739334992149239E-3</v>
      </c>
      <c r="M466" s="92">
        <f t="shared" ref="M466" si="801">WEEKDAY(A466,2)</f>
        <v>3</v>
      </c>
    </row>
    <row r="467" spans="1:14" x14ac:dyDescent="0.25">
      <c r="A467" s="90">
        <v>43062</v>
      </c>
      <c r="B467">
        <v>15.4</v>
      </c>
      <c r="C467" s="93">
        <f t="shared" ref="C467" si="802">B467/B466-1</f>
        <v>-3.0226700251889227E-2</v>
      </c>
      <c r="D467" s="26">
        <f t="shared" ref="D467" si="803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ref="G467" si="804">+B467/D467-1</f>
        <v>-7.3622603482362825E-3</v>
      </c>
      <c r="H467" s="93">
        <f>(+B467/(D467*(1-VLOOKUP(A467,FX!A:K,9,0)))-1)</f>
        <v>-1.1297926971629013E-2</v>
      </c>
      <c r="I467" s="93">
        <f t="shared" si="374"/>
        <v>-1.1235955056179692E-2</v>
      </c>
      <c r="J467">
        <v>13866.26</v>
      </c>
      <c r="K467">
        <v>13470.52</v>
      </c>
      <c r="L467" s="93">
        <f t="shared" ref="L467" si="805">+K467/J467-1</f>
        <v>-2.8539779291604228E-2</v>
      </c>
      <c r="M467" s="92">
        <f t="shared" ref="M467" si="806">WEEKDAY(A467,2)</f>
        <v>4</v>
      </c>
      <c r="N467" s="50" t="s">
        <v>598</v>
      </c>
    </row>
    <row r="468" spans="1:14" x14ac:dyDescent="0.25">
      <c r="A468" s="90">
        <v>43063</v>
      </c>
      <c r="B468">
        <v>15.44</v>
      </c>
      <c r="C468" s="93">
        <f t="shared" ref="C468" si="807">B468/B467-1</f>
        <v>2.5974025974024872E-3</v>
      </c>
      <c r="D468" s="26">
        <f t="shared" ref="D468" si="808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ref="G468" si="809">+B468/D468-1</f>
        <v>-8.8001859626489765E-3</v>
      </c>
      <c r="H468" s="93">
        <f>(+B468/(D468*(1-VLOOKUP(A468,FX!A:K,9,0)))-1)</f>
        <v>-9.4330808587029802E-3</v>
      </c>
      <c r="I468" s="93">
        <f t="shared" si="374"/>
        <v>-1.1903238192755627E-2</v>
      </c>
      <c r="J468">
        <v>13470.52</v>
      </c>
      <c r="K468">
        <v>13472.32</v>
      </c>
      <c r="L468" s="93">
        <f t="shared" ref="L468" si="810">+K468/J468-1</f>
        <v>1.3362513102688212E-4</v>
      </c>
      <c r="M468" s="92">
        <f t="shared" ref="M468" si="811">WEEKDAY(A468,2)</f>
        <v>5</v>
      </c>
    </row>
    <row r="469" spans="1:14" x14ac:dyDescent="0.25">
      <c r="A469" s="90">
        <v>43066</v>
      </c>
      <c r="B469">
        <v>15.22</v>
      </c>
      <c r="C469" s="93">
        <f t="shared" ref="C469" si="812">B469/B468-1</f>
        <v>-1.4248704663212375E-2</v>
      </c>
      <c r="D469" s="26">
        <f t="shared" ref="D469" si="813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ref="G469" si="814">+B469/D469-1</f>
        <v>-1.4795944259212934E-2</v>
      </c>
      <c r="H469" s="93">
        <f>(+B469/(D469*(1-VLOOKUP(A469,FX!A:K,9,0)))-1)</f>
        <v>-1.360618264924307E-2</v>
      </c>
      <c r="I469" s="93">
        <f t="shared" si="374"/>
        <v>-1.2585960814843533E-2</v>
      </c>
      <c r="J469">
        <v>13472.32</v>
      </c>
      <c r="K469">
        <v>13319.35</v>
      </c>
      <c r="L469" s="93">
        <f t="shared" ref="L469" si="815">+K469/J469-1</f>
        <v>-1.1354391819671683E-2</v>
      </c>
      <c r="M469" s="92">
        <f t="shared" ref="M469" si="816">WEEKDAY(A469,2)</f>
        <v>1</v>
      </c>
    </row>
    <row r="470" spans="1:14" x14ac:dyDescent="0.25">
      <c r="A470" s="90">
        <v>43067</v>
      </c>
      <c r="B470">
        <v>15.18</v>
      </c>
      <c r="C470" s="93">
        <f t="shared" ref="C470" si="817">B470/B469-1</f>
        <v>-2.6281208935611255E-3</v>
      </c>
      <c r="D470" s="26">
        <f t="shared" ref="D470" si="818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ref="G470" si="819">+B470/D470-1</f>
        <v>-9.4673150866361189E-3</v>
      </c>
      <c r="H470" s="93">
        <f>(+B470/(D470*(1-VLOOKUP(A470,FX!A:K,9,0)))-1)</f>
        <v>-7.8965545113806046E-3</v>
      </c>
      <c r="I470" s="93">
        <f t="shared" si="374"/>
        <v>-9.1383812010443766E-3</v>
      </c>
      <c r="J470">
        <v>13319.35</v>
      </c>
      <c r="K470">
        <v>13242.52</v>
      </c>
      <c r="L470" s="93">
        <f t="shared" ref="L470" si="820">+K470/J470-1</f>
        <v>-5.7682995041049567E-3</v>
      </c>
      <c r="M470" s="92">
        <f t="shared" ref="M470" si="821">WEEKDAY(A470,2)</f>
        <v>2</v>
      </c>
    </row>
    <row r="471" spans="1:14" x14ac:dyDescent="0.25">
      <c r="A471" s="90">
        <v>43068</v>
      </c>
      <c r="B471">
        <v>15.2</v>
      </c>
      <c r="C471" s="93">
        <f t="shared" ref="C471" si="822">B471/B470-1</f>
        <v>1.3175230566535578E-3</v>
      </c>
      <c r="D471" s="26">
        <f t="shared" ref="D471" si="823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ref="G471" si="824">+B471/D471-1</f>
        <v>-9.8561756065346229E-3</v>
      </c>
      <c r="H471" s="93">
        <f>(+B471/(D471*(1-VLOOKUP(A471,FX!A:K,9,0)))-1)</f>
        <v>-9.6942742332182252E-3</v>
      </c>
      <c r="I471" s="93">
        <f t="shared" si="374"/>
        <v>-8.8680229525300858E-3</v>
      </c>
      <c r="J471">
        <v>13242.52</v>
      </c>
      <c r="K471">
        <v>13269.58</v>
      </c>
      <c r="L471" s="93">
        <f t="shared" ref="L471" si="825">+K471/J471-1</f>
        <v>2.0434177180777002E-3</v>
      </c>
      <c r="M471" s="92">
        <f t="shared" ref="M471" si="826">WEEKDAY(A471,2)</f>
        <v>3</v>
      </c>
    </row>
    <row r="472" spans="1:14" x14ac:dyDescent="0.25">
      <c r="A472" s="90">
        <v>43069</v>
      </c>
      <c r="B472">
        <v>15</v>
      </c>
      <c r="C472" s="93">
        <f t="shared" ref="C472" si="827">B472/B471-1</f>
        <v>-1.3157894736842035E-2</v>
      </c>
      <c r="D472" s="26">
        <f t="shared" ref="D472" si="82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ref="G472" si="829">+B472/D472-1</f>
        <v>-8.5091123141147751E-3</v>
      </c>
      <c r="H472" s="93">
        <f>(+B472/(D472*(1-VLOOKUP(A472,FX!A:K,9,0)))-1)</f>
        <v>-7.0455438083940614E-3</v>
      </c>
      <c r="I472" s="93">
        <f t="shared" si="374"/>
        <v>-8.3955840550010707E-3</v>
      </c>
      <c r="J472">
        <v>13269.58</v>
      </c>
      <c r="K472">
        <v>13090.24</v>
      </c>
      <c r="L472" s="93">
        <f t="shared" ref="L472" si="830">+K472/J472-1</f>
        <v>-1.3515122558513504E-2</v>
      </c>
      <c r="M472" s="92">
        <f t="shared" ref="M472" si="831">WEEKDAY(A472,2)</f>
        <v>4</v>
      </c>
      <c r="N472" s="50" t="s">
        <v>606</v>
      </c>
    </row>
    <row r="473" spans="1:14" x14ac:dyDescent="0.25">
      <c r="A473" s="90">
        <v>43070</v>
      </c>
      <c r="B473">
        <v>14.9</v>
      </c>
      <c r="C473" s="93">
        <f t="shared" ref="C473" si="832">B473/B472-1</f>
        <v>-6.6666666666665986E-3</v>
      </c>
      <c r="D473" s="26">
        <f t="shared" ref="D473" si="833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ref="G473" si="834">+B473/D473-1</f>
        <v>-7.2922710839010696E-3</v>
      </c>
      <c r="H473" s="93">
        <f>(+B473/(D473*(1-VLOOKUP(A473,FX!A:K,9,0)))-1)</f>
        <v>-7.3740388017061731E-3</v>
      </c>
      <c r="I473" s="93">
        <f t="shared" si="374"/>
        <v>-7.1961620469082055E-3</v>
      </c>
      <c r="J473">
        <v>13090.24</v>
      </c>
      <c r="K473">
        <v>12988.52</v>
      </c>
      <c r="L473" s="93">
        <f t="shared" ref="L473" si="835">+K473/J473-1</f>
        <v>-7.7706749456082358E-3</v>
      </c>
      <c r="M473" s="92">
        <f t="shared" ref="M473" si="836">WEEKDAY(A473,2)</f>
        <v>5</v>
      </c>
      <c r="N473" s="50" t="s">
        <v>608</v>
      </c>
    </row>
    <row r="474" spans="1:14" x14ac:dyDescent="0.25">
      <c r="A474" s="90">
        <v>43073</v>
      </c>
      <c r="B474">
        <v>15.02</v>
      </c>
      <c r="C474" s="93">
        <f t="shared" ref="C474" si="837">B474/B473-1</f>
        <v>8.0536912751676404E-3</v>
      </c>
      <c r="D474" s="26">
        <f t="shared" ref="D474" si="838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ref="G474" si="839">+B474/D474-1</f>
        <v>-8.0321609942565209E-3</v>
      </c>
      <c r="H474" s="93">
        <f>(+B474/(D474*(1-VLOOKUP(A474,FX!A:K,9,0)))-1)</f>
        <v>-8.2000786986046181E-3</v>
      </c>
      <c r="I474" s="93">
        <f t="shared" si="374"/>
        <v>-7.8604927670254954E-3</v>
      </c>
      <c r="J474">
        <v>12988.52</v>
      </c>
      <c r="K474">
        <v>13104.16</v>
      </c>
      <c r="L474" s="93">
        <f t="shared" ref="L474" si="840">+K474/J474-1</f>
        <v>8.9032468672334275E-3</v>
      </c>
      <c r="M474" s="92">
        <f t="shared" ref="M474" si="841">WEEKDAY(A474,2)</f>
        <v>1</v>
      </c>
    </row>
    <row r="475" spans="1:14" x14ac:dyDescent="0.25">
      <c r="A475" s="90">
        <v>43074</v>
      </c>
      <c r="B475">
        <v>15.2</v>
      </c>
      <c r="C475" s="93">
        <f t="shared" ref="C475" si="842">B475/B474-1</f>
        <v>1.1984021304926706E-2</v>
      </c>
      <c r="D475" s="26">
        <f t="shared" ref="D475" si="843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ref="G475" si="844">+B475/D475-1</f>
        <v>-1.0782334494874424E-2</v>
      </c>
      <c r="H475" s="93">
        <f>(+B475/(D475*(1-VLOOKUP(A475,FX!A:K,9,0)))-1)</f>
        <v>-1.084439531319048E-2</v>
      </c>
      <c r="I475" s="93">
        <f t="shared" si="374"/>
        <v>-1.0867443222489892E-2</v>
      </c>
      <c r="J475">
        <v>13104.16</v>
      </c>
      <c r="K475">
        <v>13300.37</v>
      </c>
      <c r="L475" s="93">
        <f t="shared" ref="L475" si="845">+K475/J475-1</f>
        <v>1.497310777646188E-2</v>
      </c>
      <c r="M475" s="92">
        <f t="shared" ref="M475" si="846">WEEKDAY(A475,2)</f>
        <v>2</v>
      </c>
    </row>
    <row r="476" spans="1:14" x14ac:dyDescent="0.25">
      <c r="A476" s="90">
        <v>43075</v>
      </c>
      <c r="B476">
        <v>14.96</v>
      </c>
      <c r="C476" s="93">
        <f t="shared" ref="C476" si="847">B476/B475-1</f>
        <v>-1.5789473684210464E-2</v>
      </c>
      <c r="D476" s="26">
        <f t="shared" ref="D476" si="848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ref="G476" si="849">+B476/D476-1</f>
        <v>-1.4286534504859505E-2</v>
      </c>
      <c r="H476" s="93">
        <f>(+B476/(D476*(1-VLOOKUP(A476,FX!A:K,9,0)))-1)</f>
        <v>-1.3865439284248438E-2</v>
      </c>
      <c r="I476" s="93">
        <f t="shared" si="374"/>
        <v>-1.319261213720313E-2</v>
      </c>
      <c r="J476">
        <v>13300.37</v>
      </c>
      <c r="K476">
        <v>13135.77</v>
      </c>
      <c r="L476" s="93">
        <f t="shared" ref="L476" si="850">+K476/J476-1</f>
        <v>-1.2375595566138431E-2</v>
      </c>
      <c r="M476" s="92">
        <f t="shared" ref="M476" si="851">WEEKDAY(A476,2)</f>
        <v>3</v>
      </c>
    </row>
    <row r="477" spans="1:14" x14ac:dyDescent="0.25">
      <c r="A477" s="90">
        <v>43076</v>
      </c>
      <c r="B477">
        <v>14.82</v>
      </c>
      <c r="C477" s="93">
        <f t="shared" ref="C477" si="852">B477/B476-1</f>
        <v>-9.3582887700535133E-3</v>
      </c>
      <c r="D477" s="26">
        <f t="shared" ref="D477" si="853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ref="G477" si="854">+B477/D477-1</f>
        <v>-9.3861917486419699E-3</v>
      </c>
      <c r="H477" s="93">
        <f>(+B477/(D477*(1-VLOOKUP(A477,FX!A:K,9,0)))-1)</f>
        <v>-9.2095236768768851E-3</v>
      </c>
      <c r="I477" s="93">
        <f t="shared" si="374"/>
        <v>-8.6956521739129933E-3</v>
      </c>
      <c r="J477">
        <v>13135.77</v>
      </c>
      <c r="K477">
        <v>12962.84</v>
      </c>
      <c r="L477" s="93">
        <f t="shared" ref="L477" si="855">+K477/J477-1</f>
        <v>-1.3164816375438981E-2</v>
      </c>
      <c r="M477" s="92">
        <f t="shared" ref="M477" si="856">WEEKDAY(A477,2)</f>
        <v>4</v>
      </c>
    </row>
    <row r="478" spans="1:14" x14ac:dyDescent="0.25">
      <c r="A478" s="90">
        <v>43077</v>
      </c>
      <c r="B478">
        <v>15</v>
      </c>
      <c r="C478" s="93">
        <f t="shared" ref="C478" si="857">B478/B477-1</f>
        <v>1.2145748987854255E-2</v>
      </c>
      <c r="D478" s="26">
        <f t="shared" ref="D478" si="858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ref="G478" si="859">+B478/D478-1</f>
        <v>-4.5307503309804931E-3</v>
      </c>
      <c r="H478" s="93">
        <f>(+B478/(D478*(1-VLOOKUP(A478,FX!A:K,9,0)))-1)</f>
        <v>-3.7746414167868503E-3</v>
      </c>
      <c r="I478" s="93">
        <f t="shared" si="374"/>
        <v>-3.6532713384257454E-3</v>
      </c>
      <c r="J478">
        <v>12962.84</v>
      </c>
      <c r="K478">
        <v>13065.39</v>
      </c>
      <c r="L478" s="93">
        <f t="shared" ref="L478" si="860">+K478/J478-1</f>
        <v>7.9110750421975684E-3</v>
      </c>
      <c r="M478" s="92">
        <f t="shared" ref="M478" si="861">WEEKDAY(A478,2)</f>
        <v>5</v>
      </c>
    </row>
    <row r="479" spans="1:14" x14ac:dyDescent="0.25">
      <c r="A479" s="90">
        <v>43080</v>
      </c>
      <c r="B479">
        <v>15.24</v>
      </c>
      <c r="C479" s="93">
        <f t="shared" ref="C479" si="862">B479/B478-1</f>
        <v>1.6000000000000014E-2</v>
      </c>
      <c r="D479" s="26">
        <f t="shared" ref="D479" si="863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ref="G479" si="864">+B479/D479-1</f>
        <v>-3.115851738212605E-3</v>
      </c>
      <c r="H479" s="93">
        <f>(+B479/(D479*(1-VLOOKUP(A479,FX!A:K,9,0)))-1)</f>
        <v>-3.7846523572341306E-3</v>
      </c>
      <c r="I479" s="93">
        <f t="shared" si="374"/>
        <v>-3.8564612066147586E-3</v>
      </c>
      <c r="J479">
        <v>13065.39</v>
      </c>
      <c r="K479">
        <v>13267.28</v>
      </c>
      <c r="L479" s="93">
        <f t="shared" ref="L479" si="865">+K479/J479-1</f>
        <v>1.5452275056466069E-2</v>
      </c>
      <c r="M479" s="92">
        <f t="shared" ref="M479" si="866">WEEKDAY(A479,2)</f>
        <v>1</v>
      </c>
    </row>
    <row r="480" spans="1:14" x14ac:dyDescent="0.25">
      <c r="A480" s="90">
        <v>43081</v>
      </c>
      <c r="B480">
        <v>14.94</v>
      </c>
      <c r="C480" s="93">
        <f t="shared" ref="C480" si="867">B480/B479-1</f>
        <v>-1.9685039370078816E-2</v>
      </c>
      <c r="D480" s="26">
        <f t="shared" ref="D480" si="868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ref="G480" si="869">+B480/D480-1</f>
        <v>-7.6155959949458785E-3</v>
      </c>
      <c r="H480" s="93">
        <f>(+B480/(D480*(1-VLOOKUP(A480,FX!A:K,9,0)))-1)</f>
        <v>-7.6155959949458785E-3</v>
      </c>
      <c r="I480" s="93">
        <f t="shared" si="374"/>
        <v>-7.5068092738990178E-3</v>
      </c>
      <c r="J480">
        <v>13267.28</v>
      </c>
      <c r="K480">
        <v>13055.38</v>
      </c>
      <c r="L480" s="93">
        <f t="shared" ref="L480" si="870">+K480/J480-1</f>
        <v>-1.5971623422434855E-2</v>
      </c>
      <c r="M480" s="92">
        <f t="shared" ref="M480" si="871">WEEKDAY(A480,2)</f>
        <v>2</v>
      </c>
    </row>
    <row r="481" spans="1:13" x14ac:dyDescent="0.25">
      <c r="A481" s="90">
        <v>43082</v>
      </c>
      <c r="B481">
        <v>15.16</v>
      </c>
      <c r="C481" s="93">
        <f t="shared" ref="C481" si="872">B481/B480-1</f>
        <v>1.4725568942436373E-2</v>
      </c>
      <c r="D481" s="26">
        <f t="shared" ref="D481" si="873">+F480*(1+L481)</f>
        <v>15.192156927642092</v>
      </c>
      <c r="E481" s="26">
        <f>D481*(1-VLOOKUP(A481,FX!A:K,9,0))</f>
        <v>15.18311618947652</v>
      </c>
      <c r="G481" s="93">
        <f t="shared" ref="G481" si="874">+B481/D481-1</f>
        <v>-2.1166795337390631E-3</v>
      </c>
      <c r="H481" s="93">
        <f>(+B481/(D481*(1-VLOOKUP(A481,FX!A:K,9,0)))-1)</f>
        <v>-1.5224930895636479E-3</v>
      </c>
      <c r="J481">
        <v>13055.38</v>
      </c>
      <c r="K481">
        <v>13176.07</v>
      </c>
      <c r="L481" s="93">
        <f t="shared" ref="L481" si="875">+K481/J481-1</f>
        <v>9.2444647340790276E-3</v>
      </c>
      <c r="M481" s="92">
        <f t="shared" ref="M481" si="876">WEEKDAY(A481,2)</f>
        <v>3</v>
      </c>
    </row>
    <row r="482" spans="1:13" x14ac:dyDescent="0.25">
      <c r="A482" s="90">
        <v>43083</v>
      </c>
    </row>
    <row r="483" spans="1:13" x14ac:dyDescent="0.25">
      <c r="A483" s="90">
        <v>43084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82"/>
  <sheetViews>
    <sheetView zoomScale="115" zoomScaleNormal="115" workbookViewId="0">
      <pane xSplit="1" ySplit="2" topLeftCell="D465" activePane="bottomRight" state="frozen"/>
      <selection pane="topRight" activeCell="B1" sqref="B1"/>
      <selection pane="bottomLeft" activeCell="A3" sqref="A3"/>
      <selection pane="bottomRight" activeCell="K480" sqref="K48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79.36328125" style="50" bestFit="1" customWidth="1" collapsed="1"/>
  </cols>
  <sheetData>
    <row r="1" spans="1:14" ht="13.5" x14ac:dyDescent="0.15">
      <c r="J1" t="s">
        <v>229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ht="13.5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ht="13.5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3.5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3.5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3.5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3.5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3.5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ht="13.5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ht="13.5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ht="13.5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ht="13.5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ht="13.5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ht="13.5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3.5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3.5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3.5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3.5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3.5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3.5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3.5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3.5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3.5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3.5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3.5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3.5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3.5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3.5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3.5" x14ac:dyDescent="0.15">
      <c r="A55" s="1">
        <v>42480</v>
      </c>
      <c r="B55">
        <v>11.24</v>
      </c>
      <c r="M55">
        <f t="shared" si="5"/>
        <v>3</v>
      </c>
    </row>
    <row r="56" spans="1:13" ht="13.5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3.5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3.5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3.5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3.5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3.5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ht="13.5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ht="13.5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ht="13.5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ht="13.5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ht="13.5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ht="13.5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ht="13.5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ht="13.5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ht="13.5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ht="13.5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ht="13.5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ht="13.5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ht="13.5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ht="13.5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ht="13.5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ht="13.5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ht="13.5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ht="13.5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ht="13.5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ht="13.5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ht="13.5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ht="13.5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ht="13.5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ht="13.5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ht="13.5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ht="13.5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ht="13.5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ht="13.5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ht="13.5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ht="13.5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ht="13.5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ht="13.5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ht="13.5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ht="13.5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ht="13.5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ht="13.5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ht="13.5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ht="13.5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ht="13.5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ht="13.5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ht="13.5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ht="13.5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ht="13.5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ht="13.5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ht="13.5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ht="13.5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ht="13.5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ht="13.5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ht="13.5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ht="13.5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ht="13.5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ht="13.5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ht="13.5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ht="13.5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ht="13.5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ht="13.5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ht="13.5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ht="13.5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ht="13.5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ht="13.5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ht="13.5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ht="13.5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ht="13.5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ht="13.5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ht="13.5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ht="13.5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ht="13.5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ht="13.5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ht="13.5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ht="13.5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ht="13.5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ht="13.5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ht="13.5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ht="13.5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ht="13.5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ht="13.5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ht="13.5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ht="13.5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ht="13.5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ht="13.5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ht="13.5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ht="13.5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ht="13.5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ht="13.5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ht="13.5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ht="13.5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ht="13.5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ht="13.5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ht="13.5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ht="13.5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ht="13.5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ht="13.5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ht="13.5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ht="13.5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ht="13.5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ht="13.5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3.5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3.5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3.5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ht="13.5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ht="13.5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ht="13.5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ht="13.5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ht="13.5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ht="13.5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ht="13.5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ht="13.5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ht="13.5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ht="13.5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ht="13.5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ht="13.5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ht="13.5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ht="13.5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ht="13.5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ht="13.5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ht="13.5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ht="13.5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ht="13.5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ht="13.5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ht="13.5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ht="13.5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ht="13.5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ht="13.5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ht="13.5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ht="13.5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ht="13.5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ht="13.5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ht="13.5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ht="13.5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ht="13.5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ht="13.5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ht="13.5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ht="13.5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ht="13.5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ht="13.5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ht="13.5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ht="13.5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ht="13.5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ht="13.5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ht="13.5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ht="13.5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ht="13.5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ht="13.5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ht="13.5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ht="13.5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ht="13.5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ht="13.5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ht="13.5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ht="13.5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ht="13.5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ht="13.5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ht="13.5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ht="13.5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ht="13.5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ht="13.5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ht="13.5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ht="13.5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ht="13.5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ht="13.5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ht="13.5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ht="13.5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ht="13.5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ht="13.5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ht="13.5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ht="13.5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ht="13.5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ht="13.5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ht="13.5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ht="13.5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ht="13.5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ht="13.5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ht="13.5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ht="13.5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ht="13.5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ht="13.5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ht="13.5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ht="13.5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ht="13.5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ht="13.5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ht="13.5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ht="13.5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ht="13.5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ht="13.5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ht="13.5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ht="13.5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ht="13.5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ht="13.5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ht="13.5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ht="13.5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ht="13.5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ht="13.5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ht="13.5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ht="13.5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ht="13.5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ht="13.5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ht="13.5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ht="13.5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ht="13.5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ht="13.5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ht="13.5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ht="13.5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ht="13.5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ht="13.5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ht="13.5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ht="13.5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ht="13.5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ht="13.5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ht="13.5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ht="13.5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ht="13.5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ht="13.5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ht="13.5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ht="13.5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ht="13.5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ht="13.5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ht="13.5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ht="13.5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ht="13.5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ht="13.5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ht="13.5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ht="13.5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ht="13.5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ht="13.5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ht="13.5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ht="13.5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ht="13.5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ht="13.5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ht="13.5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ht="13.5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ht="13.5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ht="13.5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ht="13.5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ht="13.5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ht="13.5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ht="13.5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ht="13.5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ht="13.5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ht="13.5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ht="13.5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ht="13.5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ht="13.5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ht="13.5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ht="13.5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ht="13.5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ht="13.5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ht="13.5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ht="13.5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ht="13.5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ht="13.5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ht="13.5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ht="13.5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ht="13.5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ht="13.5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ht="13.5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ht="13.5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ht="13.5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ht="13.5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ht="13.5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ht="13.5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ht="13.5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ht="13.5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ht="13.5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ht="13.5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ht="13.5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ht="13.5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ht="13.5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ht="13.5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ht="13.5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ht="13.5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ht="13.5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ht="13.5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ht="13.5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ht="13.5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ht="13.5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ht="13.5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ht="13.5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ht="13.5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ht="13.5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ht="13.5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 ht="13.5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ht="13.5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ht="13.5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ht="13.5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ht="13.5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ht="13.5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ht="13.5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ht="13.5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ht="13.5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ht="13.5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ht="13.5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ht="13.5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ht="13.5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ht="13.5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80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ht="13.5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ht="13.5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ht="13.5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ht="13.5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ht="13.5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ht="13.5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377</v>
      </c>
    </row>
    <row r="363" spans="1:14" ht="13.5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ht="13.5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ht="13.5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ht="13.5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ht="13.5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376</v>
      </c>
    </row>
    <row r="368" spans="1:14" ht="13.5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ht="13.5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ht="13.5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ht="13.5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ht="13.5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375</v>
      </c>
    </row>
    <row r="373" spans="1:14" ht="13.5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ht="13.5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ht="13.5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385</v>
      </c>
    </row>
    <row r="376" spans="1:14" ht="13.5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ht="13.5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ht="13.5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ht="13.5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ht="13.5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ht="13.5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ht="13.5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ht="13.5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393</v>
      </c>
    </row>
    <row r="384" spans="1:14" ht="13.5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ht="13.5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ht="13.5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399</v>
      </c>
    </row>
    <row r="388" spans="1:14" ht="13.5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ht="13.5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ht="13.5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ht="13.5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ht="13.5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ht="13.5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ht="13.5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ht="13.5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ht="13.5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ht="13.5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ht="13.5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ht="13.5" x14ac:dyDescent="0.15">
      <c r="A399" s="1">
        <v>42969</v>
      </c>
      <c r="B399">
        <v>13.86</v>
      </c>
      <c r="C399" s="93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505">+B399/D399-1</f>
        <v>-2.7307967923750898E-4</v>
      </c>
      <c r="H399" s="93">
        <f>(+B399/(D399*(1-VLOOKUP(A399,FX!A:K,9,0)))-1)</f>
        <v>-3.2025542439434451E-3</v>
      </c>
      <c r="I399" s="93">
        <f t="shared" si="292"/>
        <v>-3.3724266371369938E-3</v>
      </c>
      <c r="J399">
        <v>11672.31</v>
      </c>
      <c r="K399" s="92">
        <v>11786.99</v>
      </c>
      <c r="L399" s="93">
        <f t="shared" ref="L399" si="506">+K399/J399-1</f>
        <v>9.8249618113295245E-3</v>
      </c>
      <c r="M399" s="92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93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510">+B400/D400-1</f>
        <v>-1.1009483831691425E-2</v>
      </c>
      <c r="H400" s="93">
        <f>(+B400/(D400*(1-VLOOKUP(A400,FX!A:K,9,0)))-1)</f>
        <v>-1.0780125501795856E-2</v>
      </c>
      <c r="I400" s="93">
        <f t="shared" si="292"/>
        <v>-1.0706638115631772E-2</v>
      </c>
      <c r="J400">
        <v>11786.99</v>
      </c>
      <c r="K400" s="92">
        <v>11878.01</v>
      </c>
      <c r="L400" s="93">
        <f t="shared" ref="L400" si="511">+K400/J400-1</f>
        <v>7.7220732349820853E-3</v>
      </c>
      <c r="M400" s="92">
        <f t="shared" ref="M400" si="512">WEEKDAY(A400,2)</f>
        <v>3</v>
      </c>
      <c r="N400" s="50" t="s">
        <v>419</v>
      </c>
    </row>
    <row r="401" spans="1:13" ht="13.5" x14ac:dyDescent="0.15">
      <c r="A401" s="1">
        <v>42971</v>
      </c>
      <c r="B401">
        <v>13.94</v>
      </c>
      <c r="C401" s="93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515">+B401/D401-1</f>
        <v>-1.4395142505414515E-3</v>
      </c>
      <c r="H401" s="93">
        <f>(+B401/(D401*(1-VLOOKUP(A401,FX!A:K,9,0)))-1)</f>
        <v>-2.6314999998061639E-3</v>
      </c>
      <c r="I401" s="93">
        <f t="shared" si="292"/>
        <v>-1.7758936755271071E-3</v>
      </c>
      <c r="J401">
        <v>11878.01</v>
      </c>
      <c r="K401">
        <v>11835.7</v>
      </c>
      <c r="L401" s="93">
        <f t="shared" ref="L401" si="516">+K401/J401-1</f>
        <v>-3.5620444838823095E-3</v>
      </c>
      <c r="M401" s="92">
        <f t="shared" ref="M401" si="517">WEEKDAY(A401,2)</f>
        <v>4</v>
      </c>
    </row>
    <row r="402" spans="1:13" ht="13.5" x14ac:dyDescent="0.15">
      <c r="A402" s="1">
        <v>42972</v>
      </c>
      <c r="B402">
        <v>14.28</v>
      </c>
      <c r="C402" s="93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520">+B402/D402-1</f>
        <v>1.2263387875779408E-3</v>
      </c>
      <c r="H402" s="93">
        <f>(+B402/(D402*(1-VLOOKUP(A402,FX!A:K,9,0)))-1)</f>
        <v>1.7198250030681095E-3</v>
      </c>
      <c r="I402" s="93">
        <f t="shared" si="292"/>
        <v>1.2340139107023251E-3</v>
      </c>
      <c r="J402">
        <v>11835.7</v>
      </c>
      <c r="K402">
        <v>12088.02</v>
      </c>
      <c r="L402" s="93">
        <f t="shared" ref="L402" si="521">+K402/J402-1</f>
        <v>2.1318553190770251E-2</v>
      </c>
      <c r="M402" s="92">
        <f t="shared" ref="M402" si="522">WEEKDAY(A402,2)</f>
        <v>5</v>
      </c>
    </row>
    <row r="403" spans="1:13" ht="13.5" x14ac:dyDescent="0.15">
      <c r="A403" s="90">
        <v>42975</v>
      </c>
      <c r="B403">
        <v>14.42</v>
      </c>
      <c r="C403" s="93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525">+B403/D403-1</f>
        <v>1.6656485612895899E-3</v>
      </c>
      <c r="H403" s="93">
        <f>(+B403/(D403*(1-VLOOKUP(A403,FX!A:K,9,0)))-1)</f>
        <v>-2.3159976293084528E-3</v>
      </c>
      <c r="I403" s="93">
        <f t="shared" si="292"/>
        <v>-1.8619911538114708E-3</v>
      </c>
      <c r="J403">
        <v>12088.02</v>
      </c>
      <c r="K403">
        <v>12201.27</v>
      </c>
      <c r="L403" s="93">
        <f t="shared" ref="L403" si="526">+K403/J403-1</f>
        <v>9.3687799987094422E-3</v>
      </c>
      <c r="M403" s="92">
        <f t="shared" ref="M403" si="527">WEEKDAY(A403,2)</f>
        <v>1</v>
      </c>
    </row>
    <row r="404" spans="1:13" ht="13.5" x14ac:dyDescent="0.15">
      <c r="A404" s="90">
        <v>42976</v>
      </c>
      <c r="B404">
        <v>14.5</v>
      </c>
      <c r="C404" s="93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530">+B404/D404-1</f>
        <v>2.4603777157086171E-3</v>
      </c>
      <c r="H404" s="93">
        <f>(+B404/(D404*(1-VLOOKUP(A404,FX!A:K,9,0)))-1)</f>
        <v>-9.9903885592922403E-4</v>
      </c>
      <c r="I404" s="93">
        <f t="shared" si="292"/>
        <v>-2.4011173107486572E-3</v>
      </c>
      <c r="J404">
        <v>12201.27</v>
      </c>
      <c r="K404">
        <v>12216.06</v>
      </c>
      <c r="L404" s="93">
        <f t="shared" ref="L404" si="531">+K404/J404-1</f>
        <v>1.2121688971720168E-3</v>
      </c>
      <c r="M404" s="92">
        <f t="shared" ref="M404" si="532">WEEKDAY(A404,2)</f>
        <v>2</v>
      </c>
    </row>
    <row r="405" spans="1:13" ht="13.5" x14ac:dyDescent="0.15">
      <c r="A405" s="90">
        <v>42977</v>
      </c>
      <c r="B405">
        <v>14.52</v>
      </c>
      <c r="C405" s="93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535">+B405/D405-1</f>
        <v>2.6552051970518686E-3</v>
      </c>
      <c r="H405" s="93">
        <f>(+B405/(D405*(1-VLOOKUP(A405,FX!A:K,9,0)))-1)</f>
        <v>-6.1807235248934056E-4</v>
      </c>
      <c r="I405" s="93">
        <f t="shared" si="292"/>
        <v>1.0272249071014983E-3</v>
      </c>
      <c r="J405">
        <v>12216.06</v>
      </c>
      <c r="K405">
        <v>12171.22</v>
      </c>
      <c r="L405" s="93">
        <f t="shared" ref="L405" si="536">+K405/J405-1</f>
        <v>-3.6705779113723747E-3</v>
      </c>
      <c r="M405" s="92">
        <f t="shared" ref="M405" si="537">WEEKDAY(A405,2)</f>
        <v>3</v>
      </c>
    </row>
    <row r="406" spans="1:13" ht="13.5" x14ac:dyDescent="0.15">
      <c r="A406" s="90">
        <v>42978</v>
      </c>
      <c r="B406">
        <v>14.36</v>
      </c>
      <c r="C406" s="93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540">+B406/D406-1</f>
        <v>-2.63657579372234E-3</v>
      </c>
      <c r="H406" s="93">
        <f>(+B406/(D406*(1-VLOOKUP(A406,FX!A:K,9,0)))-1)</f>
        <v>-7.4252751682601925E-5</v>
      </c>
      <c r="I406" s="93">
        <f t="shared" si="292"/>
        <v>-1.1060177101955837E-3</v>
      </c>
      <c r="J406">
        <v>12171.22</v>
      </c>
      <c r="K406">
        <v>12081.32</v>
      </c>
      <c r="L406" s="93">
        <f t="shared" ref="L406" si="541">+K406/J406-1</f>
        <v>-7.386276807090808E-3</v>
      </c>
      <c r="M406" s="92">
        <f t="shared" ref="M406" si="542">WEEKDAY(A406,2)</f>
        <v>4</v>
      </c>
    </row>
    <row r="407" spans="1:13" ht="13.5" x14ac:dyDescent="0.15">
      <c r="A407" s="90">
        <v>42979</v>
      </c>
      <c r="B407">
        <v>14.4</v>
      </c>
      <c r="C407" s="93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545">+B407/D407-1</f>
        <v>2.5004019904062424E-3</v>
      </c>
      <c r="H407" s="93">
        <f>(+B407/(D407*(1-VLOOKUP(A407,FX!A:K,9,0)))-1)</f>
        <v>-7.9133985783286231E-4</v>
      </c>
      <c r="I407" s="93">
        <f t="shared" si="292"/>
        <v>-7.7023960696953608E-4</v>
      </c>
      <c r="J407">
        <v>12081.32</v>
      </c>
      <c r="K407">
        <v>12071.39</v>
      </c>
      <c r="L407" s="93">
        <f t="shared" ref="L407" si="546">+K407/J407-1</f>
        <v>-8.2193005400077457E-4</v>
      </c>
      <c r="M407" s="92">
        <f t="shared" ref="M407" si="547">WEEKDAY(A407,2)</f>
        <v>5</v>
      </c>
    </row>
    <row r="408" spans="1:13" ht="13.5" x14ac:dyDescent="0.15">
      <c r="A408" s="90">
        <v>42982</v>
      </c>
      <c r="B408">
        <v>14.52</v>
      </c>
      <c r="C408" s="93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550">+B408/D408-1</f>
        <v>4.444669681149982E-3</v>
      </c>
      <c r="H408" s="93">
        <f>(+B408/(D408*(1-VLOOKUP(A408,FX!A:K,9,0)))-1)</f>
        <v>-7.8227171449296584E-4</v>
      </c>
      <c r="I408" s="93">
        <f t="shared" si="292"/>
        <v>-1.8354678380663181E-3</v>
      </c>
      <c r="J408">
        <v>12071.39</v>
      </c>
      <c r="K408">
        <v>12108.79</v>
      </c>
      <c r="L408" s="93">
        <f t="shared" ref="L408" si="551">+K408/J408-1</f>
        <v>3.0982347517560793E-3</v>
      </c>
      <c r="M408" s="92">
        <f t="shared" ref="M408" si="552">WEEKDAY(A408,2)</f>
        <v>1</v>
      </c>
    </row>
    <row r="409" spans="1:13" ht="13.5" x14ac:dyDescent="0.15">
      <c r="A409" s="90">
        <v>42983</v>
      </c>
      <c r="B409">
        <v>14.58</v>
      </c>
      <c r="C409" s="93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555">+B409/D409-1</f>
        <v>-4.0825333079378412E-3</v>
      </c>
      <c r="H409" s="93">
        <f>(+B409/(D409*(1-VLOOKUP(A409,FX!A:K,9,0)))-1)</f>
        <v>-5.0962702898592616E-3</v>
      </c>
      <c r="I409" s="93">
        <f t="shared" si="292"/>
        <v>-3.7308843425853944E-3</v>
      </c>
      <c r="J409">
        <v>12108.79</v>
      </c>
      <c r="K409">
        <v>12186.26</v>
      </c>
      <c r="L409" s="93">
        <f t="shared" ref="L409" si="556">+K409/J409-1</f>
        <v>6.3978316578285899E-3</v>
      </c>
      <c r="M409" s="92">
        <f t="shared" ref="M409" si="557">WEEKDAY(A409,2)</f>
        <v>2</v>
      </c>
    </row>
    <row r="410" spans="1:13" ht="13.5" x14ac:dyDescent="0.15">
      <c r="A410" s="90">
        <v>42984</v>
      </c>
      <c r="B410">
        <v>14.54</v>
      </c>
      <c r="C410" s="93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560">+B410/D410-1</f>
        <v>-1.4073598397400522E-3</v>
      </c>
      <c r="H410" s="93">
        <f>(+B410/(D410*(1-VLOOKUP(A410,FX!A:K,9,0)))-1)</f>
        <v>-1.6194872091981338E-3</v>
      </c>
      <c r="I410" s="93">
        <f t="shared" si="292"/>
        <v>-7.0788918441555548E-4</v>
      </c>
      <c r="J410">
        <v>12186.26</v>
      </c>
      <c r="K410">
        <v>12124.55</v>
      </c>
      <c r="L410" s="93">
        <f t="shared" ref="L410" si="561">+K410/J410-1</f>
        <v>-5.0638998347319886E-3</v>
      </c>
      <c r="M410" s="92">
        <f t="shared" ref="M410" si="562">WEEKDAY(A410,2)</f>
        <v>3</v>
      </c>
    </row>
    <row r="411" spans="1:13" ht="13.5" x14ac:dyDescent="0.15">
      <c r="A411" s="90">
        <v>42985</v>
      </c>
      <c r="B411">
        <v>14.46</v>
      </c>
      <c r="C411" s="93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565">+B411/D411-1</f>
        <v>1.6163400272590778E-3</v>
      </c>
      <c r="H411" s="93">
        <f>(+B411/(D411*(1-VLOOKUP(A411,FX!A:K,9,0)))-1)</f>
        <v>4.8618294192426248E-4</v>
      </c>
      <c r="I411" s="93">
        <f t="shared" si="292"/>
        <v>-1.4846528329247599E-3</v>
      </c>
      <c r="J411">
        <v>12124.55</v>
      </c>
      <c r="K411">
        <v>12029.86</v>
      </c>
      <c r="L411" s="93">
        <f t="shared" ref="L411" si="566">+K411/J411-1</f>
        <v>-7.8097743833790423E-3</v>
      </c>
      <c r="M411" s="92">
        <f t="shared" ref="M411" si="567">WEEKDAY(A411,2)</f>
        <v>4</v>
      </c>
    </row>
    <row r="412" spans="1:13" ht="13.5" x14ac:dyDescent="0.15">
      <c r="A412" s="90">
        <v>42986</v>
      </c>
      <c r="B412">
        <v>14.54</v>
      </c>
      <c r="C412" s="93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570">+B412/D412-1</f>
        <v>5.9487037918357633E-3</v>
      </c>
      <c r="H412" s="93">
        <f>(+B412/(D412*(1-VLOOKUP(A412,FX!A:K,9,0)))-1)</f>
        <v>-6.5340785033377591E-3</v>
      </c>
      <c r="I412" s="93">
        <f t="shared" si="292"/>
        <v>-2.319230399758565E-3</v>
      </c>
      <c r="J412">
        <v>12029.86</v>
      </c>
      <c r="K412">
        <v>12007.03</v>
      </c>
      <c r="L412" s="93">
        <f t="shared" ref="L412" si="571">+K412/J412-1</f>
        <v>-1.8977776964985704E-3</v>
      </c>
      <c r="M412" s="92">
        <f t="shared" ref="M412" si="572">WEEKDAY(A412,2)</f>
        <v>5</v>
      </c>
    </row>
    <row r="413" spans="1:13" ht="13.5" x14ac:dyDescent="0.15">
      <c r="A413" s="90">
        <v>42989</v>
      </c>
      <c r="B413">
        <v>14.42</v>
      </c>
      <c r="C413" s="93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575">+B413/D413-1</f>
        <v>-6.6092502163830336E-3</v>
      </c>
      <c r="H413" s="93">
        <f>(+B413/(D413*(1-VLOOKUP(A413,FX!A:K,9,0)))-1)</f>
        <v>3.6897926396262104E-3</v>
      </c>
      <c r="I413" s="93">
        <f t="shared" si="292"/>
        <v>2.7188840754055477E-3</v>
      </c>
      <c r="J413">
        <v>12007.03</v>
      </c>
      <c r="K413">
        <v>11959.36</v>
      </c>
      <c r="L413" s="93">
        <f t="shared" ref="L413" si="576">+K413/J413-1</f>
        <v>-3.9701741396498402E-3</v>
      </c>
      <c r="M413" s="92">
        <f t="shared" ref="M413" si="577">WEEKDAY(A413,2)</f>
        <v>1</v>
      </c>
    </row>
    <row r="414" spans="1:13" ht="13.5" x14ac:dyDescent="0.15">
      <c r="A414" s="90">
        <v>42990</v>
      </c>
      <c r="B414">
        <v>14.48</v>
      </c>
      <c r="C414" s="93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580">+B414/D414-1</f>
        <v>1.1442427092429597E-3</v>
      </c>
      <c r="H414" s="93">
        <f>(+B414/(D414*(1-VLOOKUP(A414,FX!A:K,9,0)))-1)</f>
        <v>4.2250794000626701E-3</v>
      </c>
      <c r="I414" s="93">
        <f t="shared" si="292"/>
        <v>2.797861436604876E-3</v>
      </c>
      <c r="J414">
        <v>11959.36</v>
      </c>
      <c r="K414">
        <v>12028.01</v>
      </c>
      <c r="L414" s="93">
        <f t="shared" ref="L414" si="581">+K414/J414-1</f>
        <v>5.7402737270222381E-3</v>
      </c>
      <c r="M414" s="92">
        <f t="shared" ref="M414" si="582">WEEKDAY(A414,2)</f>
        <v>2</v>
      </c>
    </row>
    <row r="415" spans="1:13" ht="13.5" x14ac:dyDescent="0.15">
      <c r="A415" s="90">
        <v>42991</v>
      </c>
      <c r="B415">
        <v>14.44</v>
      </c>
      <c r="C415" s="93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585">+B415/D415-1</f>
        <v>7.6820955148559911E-4</v>
      </c>
      <c r="H415" s="93">
        <f>(+B415/(D415*(1-VLOOKUP(A415,FX!A:K,9,0)))-1)</f>
        <v>-8.978473841352308E-4</v>
      </c>
      <c r="I415" s="93">
        <f t="shared" si="292"/>
        <v>-4.5685490011493357E-4</v>
      </c>
      <c r="J415">
        <v>12028.01</v>
      </c>
      <c r="K415">
        <v>12019.11</v>
      </c>
      <c r="L415" s="93">
        <f t="shared" ref="L415" si="586">+K415/J415-1</f>
        <v>-7.399395244932494E-4</v>
      </c>
      <c r="M415" s="92">
        <f t="shared" ref="M415" si="587">WEEKDAY(A415,2)</f>
        <v>3</v>
      </c>
    </row>
    <row r="416" spans="1:13" ht="13.5" x14ac:dyDescent="0.15">
      <c r="A416" s="90">
        <v>42992</v>
      </c>
      <c r="B416">
        <v>14.24</v>
      </c>
      <c r="C416" s="93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590">+B416/D416-1</f>
        <v>-7.4217505477371937E-3</v>
      </c>
      <c r="H416" s="93">
        <f>(+B416/(D416*(1-VLOOKUP(A416,FX!A:K,9,0)))-1)</f>
        <v>-3.8551554120190845E-3</v>
      </c>
      <c r="I416" s="93">
        <f t="shared" si="292"/>
        <v>-3.3176085221943152E-3</v>
      </c>
      <c r="J416">
        <v>12019.11</v>
      </c>
      <c r="K416">
        <v>11935.81</v>
      </c>
      <c r="L416" s="93">
        <f t="shared" ref="L416" si="591">+K416/J416-1</f>
        <v>-6.9306296389667343E-3</v>
      </c>
      <c r="M416" s="92">
        <f t="shared" ref="M416" si="592">WEEKDAY(A416,2)</f>
        <v>4</v>
      </c>
    </row>
    <row r="417" spans="1:14" ht="13.5" x14ac:dyDescent="0.15">
      <c r="A417" s="90">
        <v>42993</v>
      </c>
      <c r="B417">
        <v>14.24</v>
      </c>
      <c r="C417" s="93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595">+B417/D417-1</f>
        <v>-1.8357257727784626E-3</v>
      </c>
      <c r="H417" s="93">
        <f>(+B417/(D417*(1-VLOOKUP(A417,FX!A:K,9,0)))-1)</f>
        <v>-2.8415357339161007E-3</v>
      </c>
      <c r="I417" s="93">
        <f t="shared" si="292"/>
        <v>-3.2617977685382993E-3</v>
      </c>
      <c r="J417">
        <v>11935.81</v>
      </c>
      <c r="K417">
        <v>11918.09</v>
      </c>
      <c r="L417" s="93">
        <f t="shared" ref="L417" si="596">+K417/J417-1</f>
        <v>-1.4846080827358721E-3</v>
      </c>
      <c r="M417" s="92">
        <f t="shared" ref="M417" si="597">WEEKDAY(A417,2)</f>
        <v>5</v>
      </c>
    </row>
    <row r="418" spans="1:14" ht="13.5" x14ac:dyDescent="0.15">
      <c r="A418" s="90">
        <v>42996</v>
      </c>
      <c r="B418">
        <v>14.3</v>
      </c>
      <c r="C418" s="93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600">+B418/D418-1</f>
        <v>-3.6213114791694423E-4</v>
      </c>
      <c r="H418" s="93">
        <f>(+B418/(D418*(1-VLOOKUP(A418,FX!A:K,9,0)))-1)</f>
        <v>3.4222871714195691E-4</v>
      </c>
      <c r="I418" s="93">
        <f t="shared" si="292"/>
        <v>5.3175114046632999E-4</v>
      </c>
      <c r="J418">
        <v>11918.09</v>
      </c>
      <c r="K418">
        <v>11933.59</v>
      </c>
      <c r="L418" s="93">
        <f t="shared" ref="L418" si="601">+K418/J418-1</f>
        <v>1.3005439630007221E-3</v>
      </c>
      <c r="M418" s="92">
        <f t="shared" ref="M418" si="602">WEEKDAY(A418,2)</f>
        <v>1</v>
      </c>
      <c r="N418" s="50" t="s">
        <v>441</v>
      </c>
    </row>
    <row r="419" spans="1:14" ht="13.5" x14ac:dyDescent="0.15">
      <c r="A419" s="90">
        <v>42997</v>
      </c>
      <c r="B419">
        <v>14.14</v>
      </c>
      <c r="C419" s="93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605">+B419/D419-1</f>
        <v>-1.1189167287484203E-2</v>
      </c>
      <c r="H419" s="93">
        <f>(+B419/(D419*(1-VLOOKUP(A419,FX!A:K,9,0)))-1)</f>
        <v>-4.7282615043203746E-3</v>
      </c>
      <c r="I419" s="93">
        <f t="shared" si="292"/>
        <v>-4.6599372105137205E-3</v>
      </c>
      <c r="J419">
        <v>11933.59</v>
      </c>
      <c r="K419">
        <v>11939.94</v>
      </c>
      <c r="L419" s="93">
        <f t="shared" ref="L419" si="606">+K419/J419-1</f>
        <v>5.3211146017262401E-4</v>
      </c>
      <c r="M419" s="92">
        <f t="shared" ref="M419" si="607">WEEKDAY(A419,2)</f>
        <v>2</v>
      </c>
      <c r="N419" s="50" t="s">
        <v>443</v>
      </c>
    </row>
    <row r="420" spans="1:14" ht="13.5" x14ac:dyDescent="0.15">
      <c r="A420" s="90">
        <v>42998</v>
      </c>
      <c r="B420">
        <v>14.24</v>
      </c>
      <c r="C420" s="93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610">+B420/D420-1</f>
        <v>3.2303965497333387E-3</v>
      </c>
      <c r="H420" s="93">
        <f>(+B420/(D420*(1-VLOOKUP(A420,FX!A:K,9,0)))-1)</f>
        <v>-9.0205127000109186E-4</v>
      </c>
      <c r="I420" s="93">
        <f t="shared" si="292"/>
        <v>-1.6851092512493171E-4</v>
      </c>
      <c r="J420">
        <v>11939.94</v>
      </c>
      <c r="K420">
        <v>11929.81</v>
      </c>
      <c r="L420" s="93">
        <f t="shared" ref="L420" si="611">+K420/J420-1</f>
        <v>-8.4841297359961043E-4</v>
      </c>
      <c r="M420" s="92">
        <f t="shared" ref="M420" si="612">WEEKDAY(A420,2)</f>
        <v>3</v>
      </c>
    </row>
    <row r="421" spans="1:14" ht="13.5" x14ac:dyDescent="0.15">
      <c r="A421" s="90">
        <v>42999</v>
      </c>
      <c r="B421">
        <v>14.24</v>
      </c>
      <c r="C421" s="93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615">+B421/D421-1</f>
        <v>-5.1370673003100498E-3</v>
      </c>
      <c r="H421" s="93">
        <f>(+B421/(D421*(1-VLOOKUP(A421,FX!A:K,9,0)))-1)</f>
        <v>-1.0636301818403027E-3</v>
      </c>
      <c r="I421" s="93">
        <f t="shared" si="292"/>
        <v>-1.9204620323254318E-3</v>
      </c>
      <c r="J421">
        <v>11929.81</v>
      </c>
      <c r="K421">
        <v>11989.39</v>
      </c>
      <c r="L421" s="93">
        <f t="shared" ref="L421" si="616">+K421/J421-1</f>
        <v>4.994211978229357E-3</v>
      </c>
      <c r="M421" s="92">
        <f t="shared" ref="M421" si="617">WEEKDAY(A421,2)</f>
        <v>4</v>
      </c>
    </row>
    <row r="422" spans="1:14" ht="13.5" x14ac:dyDescent="0.15">
      <c r="A422" s="90">
        <v>43000</v>
      </c>
      <c r="B422">
        <v>14.24</v>
      </c>
      <c r="C422" s="93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620">+B422/D422-1</f>
        <v>-3.0297414243045662E-3</v>
      </c>
      <c r="H422" s="93">
        <f>(+B422/(D422*(1-VLOOKUP(A422,FX!A:K,9,0)))-1)</f>
        <v>-5.24452845418244E-3</v>
      </c>
      <c r="I422" s="93">
        <f t="shared" si="292"/>
        <v>-4.2515104050123709E-3</v>
      </c>
      <c r="J422">
        <v>11989.39</v>
      </c>
      <c r="K422">
        <v>12002.73</v>
      </c>
      <c r="L422" s="93">
        <f t="shared" ref="L422" si="621">+K422/J422-1</f>
        <v>1.112650435093121E-3</v>
      </c>
      <c r="M422" s="92">
        <f t="shared" ref="M422" si="622">WEEKDAY(A422,2)</f>
        <v>5</v>
      </c>
    </row>
    <row r="423" spans="1:14" ht="13.5" x14ac:dyDescent="0.15">
      <c r="A423" s="90">
        <v>43003</v>
      </c>
      <c r="B423">
        <v>14.12</v>
      </c>
      <c r="C423" s="93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625">+B423/D423-1</f>
        <v>-1.0081818657034058E-2</v>
      </c>
      <c r="H423" s="93">
        <f>(+B423/(D423*(1-VLOOKUP(A423,FX!A:K,9,0)))-1)</f>
        <v>-6.8609444988326773E-3</v>
      </c>
      <c r="I423" s="93">
        <f t="shared" si="292"/>
        <v>-7.0882088208822358E-3</v>
      </c>
      <c r="J423">
        <v>12002.73</v>
      </c>
      <c r="K423">
        <v>11971.68</v>
      </c>
      <c r="L423" s="93">
        <f t="shared" ref="L423" si="626">+K423/J423-1</f>
        <v>-2.5869114776387869E-3</v>
      </c>
      <c r="M423" s="92">
        <f t="shared" ref="M423" si="627">WEEKDAY(A423,2)</f>
        <v>1</v>
      </c>
    </row>
    <row r="424" spans="1:14" ht="13.5" x14ac:dyDescent="0.15">
      <c r="A424" s="90">
        <v>43004</v>
      </c>
      <c r="B424">
        <v>14.16</v>
      </c>
      <c r="C424" s="93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630">+B424/D424-1</f>
        <v>-4.685303304110322E-3</v>
      </c>
      <c r="H424" s="93">
        <f>(+B424/(D424*(1-VLOOKUP(A424,FX!A:K,9,0)))-1)</f>
        <v>-2.302949875007565E-3</v>
      </c>
      <c r="I424" s="93">
        <f t="shared" si="292"/>
        <v>-3.8411211008400059E-3</v>
      </c>
      <c r="J424">
        <v>11971.68</v>
      </c>
      <c r="K424">
        <v>11976.61</v>
      </c>
      <c r="L424" s="93">
        <f t="shared" ref="L424" si="631">+K424/J424-1</f>
        <v>4.1180519359018675E-4</v>
      </c>
      <c r="M424" s="92">
        <f t="shared" ref="M424" si="632">WEEKDAY(A424,2)</f>
        <v>2</v>
      </c>
    </row>
    <row r="425" spans="1:14" ht="13.5" x14ac:dyDescent="0.15">
      <c r="A425" s="90">
        <v>43005</v>
      </c>
      <c r="B425">
        <v>14.06</v>
      </c>
      <c r="C425" s="93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635">+B425/D425-1</f>
        <v>-6.9667281030731942E-3</v>
      </c>
      <c r="H425" s="93">
        <f>(+B425/(D425*(1-VLOOKUP(A425,FX!A:K,9,0)))-1)</f>
        <v>-4.4051173317837256E-3</v>
      </c>
      <c r="I425" s="93">
        <f t="shared" si="292"/>
        <v>-3.5294617925130112E-3</v>
      </c>
      <c r="J425">
        <v>11976.61</v>
      </c>
      <c r="K425">
        <v>11929.46</v>
      </c>
      <c r="L425" s="93">
        <f t="shared" ref="L425" si="636">+K425/J425-1</f>
        <v>-3.9368402244042144E-3</v>
      </c>
      <c r="M425" s="92">
        <f t="shared" ref="M425" si="637">WEEKDAY(A425,2)</f>
        <v>3</v>
      </c>
    </row>
    <row r="426" spans="1:14" ht="13.5" x14ac:dyDescent="0.15">
      <c r="A426" s="90">
        <v>43006</v>
      </c>
      <c r="B426">
        <v>13.98</v>
      </c>
      <c r="C426" s="93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640">+B426/D426-1</f>
        <v>-9.8267777042071458E-3</v>
      </c>
      <c r="H426" s="93">
        <f>(+B426/(D426*(1-VLOOKUP(A426,FX!A:K,9,0)))-1)</f>
        <v>-3.865997542590871E-3</v>
      </c>
      <c r="I426" s="93">
        <f t="shared" si="292"/>
        <v>-4.4082353527655771E-3</v>
      </c>
      <c r="J426">
        <v>11929.46</v>
      </c>
      <c r="K426">
        <v>11937.02</v>
      </c>
      <c r="L426" s="93">
        <f t="shared" ref="L426" si="641">+K426/J426-1</f>
        <v>6.3372524825111576E-4</v>
      </c>
      <c r="M426" s="92">
        <f t="shared" ref="M426" si="642">WEEKDAY(A426,2)</f>
        <v>4</v>
      </c>
    </row>
    <row r="427" spans="1:14" ht="13.5" x14ac:dyDescent="0.15">
      <c r="A427" s="90">
        <v>43007</v>
      </c>
      <c r="B427">
        <v>14.08</v>
      </c>
      <c r="C427" s="93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645">+B427/D427-1</f>
        <v>5.691749450602579E-4</v>
      </c>
      <c r="H427" s="93">
        <f>(+B427/(D427*(1-VLOOKUP(A427,FX!A:K,9,0)))-1)</f>
        <v>7.7467683017840017E-4</v>
      </c>
      <c r="I427" s="93">
        <f t="shared" si="292"/>
        <v>-9.2953289198260958E-4</v>
      </c>
      <c r="J427">
        <v>11937.02</v>
      </c>
      <c r="K427">
        <v>11962.6</v>
      </c>
      <c r="L427" s="93">
        <f t="shared" ref="L427" si="646">+K427/J427-1</f>
        <v>2.1429133904442565E-3</v>
      </c>
      <c r="M427" s="92">
        <f t="shared" ref="M427" si="647">WEEKDAY(A427,2)</f>
        <v>5</v>
      </c>
    </row>
    <row r="428" spans="1:14" ht="13.5" x14ac:dyDescent="0.15">
      <c r="A428" s="90">
        <v>43010</v>
      </c>
      <c r="B428">
        <v>14.08</v>
      </c>
      <c r="C428" s="93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92">
        <v>14.0931</v>
      </c>
      <c r="G428" s="93">
        <f t="shared" ref="G428" si="650">+B428/D428-1</f>
        <v>-9.2953289198260958E-4</v>
      </c>
      <c r="H428" s="93">
        <f>(+B428/(D428*(1-VLOOKUP(A428,FX!A:K,9,0)))-1)</f>
        <v>-1.5911228932926624E-3</v>
      </c>
      <c r="I428" s="93">
        <f t="shared" si="292"/>
        <v>-9.2953289198260958E-4</v>
      </c>
      <c r="J428">
        <v>11962.6</v>
      </c>
      <c r="K428">
        <v>11962.6</v>
      </c>
      <c r="L428" s="93">
        <f t="shared" ref="L428" si="651">+K428/J428-1</f>
        <v>0</v>
      </c>
      <c r="M428" s="92">
        <f t="shared" ref="M428" si="652">WEEKDAY(A428,2)</f>
        <v>1</v>
      </c>
    </row>
    <row r="429" spans="1:14" ht="13.5" x14ac:dyDescent="0.15">
      <c r="A429" s="90">
        <v>43011</v>
      </c>
      <c r="B429">
        <v>14.38</v>
      </c>
      <c r="C429" s="93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92">
        <v>14.0931</v>
      </c>
      <c r="G429" s="93">
        <f t="shared" ref="G429" si="655">+B429/D429-1</f>
        <v>2.0357479901512265E-2</v>
      </c>
      <c r="H429" s="93">
        <f>(+B429/(D429*(1-VLOOKUP(A429,FX!A:K,9,0)))-1)</f>
        <v>2.2223761298028721E-2</v>
      </c>
      <c r="I429" s="93">
        <f t="shared" si="292"/>
        <v>2.0357479901512265E-2</v>
      </c>
      <c r="J429">
        <v>11962.6</v>
      </c>
      <c r="K429">
        <v>11962.6</v>
      </c>
      <c r="L429" s="93">
        <f t="shared" ref="L429" si="656">+K429/J429-1</f>
        <v>0</v>
      </c>
      <c r="M429" s="92">
        <f t="shared" ref="M429" si="657">WEEKDAY(A429,2)</f>
        <v>2</v>
      </c>
    </row>
    <row r="430" spans="1:14" ht="13.5" x14ac:dyDescent="0.15">
      <c r="A430" s="90">
        <v>43012</v>
      </c>
      <c r="B430">
        <v>14.54</v>
      </c>
      <c r="C430" s="93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92">
        <v>14.0931</v>
      </c>
      <c r="G430" s="93">
        <f t="shared" ref="G430" si="660">+B430/D430-1</f>
        <v>3.1710553391375962E-2</v>
      </c>
      <c r="H430" s="93">
        <f>(+B430/(D430*(1-VLOOKUP(A430,FX!A:K,9,0)))-1)</f>
        <v>2.5938222614838802E-2</v>
      </c>
      <c r="I430" s="93">
        <f t="shared" si="292"/>
        <v>3.1710553391375962E-2</v>
      </c>
      <c r="J430">
        <v>11962.6</v>
      </c>
      <c r="K430">
        <v>11962.6</v>
      </c>
      <c r="L430" s="93">
        <f t="shared" ref="L430" si="661">+K430/J430-1</f>
        <v>0</v>
      </c>
      <c r="M430" s="92">
        <f t="shared" ref="M430" si="662">WEEKDAY(A430,2)</f>
        <v>3</v>
      </c>
    </row>
    <row r="431" spans="1:14" ht="13.5" x14ac:dyDescent="0.15">
      <c r="A431" s="90">
        <v>43013</v>
      </c>
      <c r="B431">
        <v>14.54</v>
      </c>
      <c r="C431" s="93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92">
        <v>14.0931</v>
      </c>
      <c r="G431" s="93">
        <f t="shared" ref="G431" si="665">+B431/D431-1</f>
        <v>3.1710553391375962E-2</v>
      </c>
      <c r="H431" s="93">
        <f>(+B431/(D431*(1-VLOOKUP(A431,FX!A:K,9,0)))-1)</f>
        <v>3.3023792173202393E-2</v>
      </c>
      <c r="I431" s="93">
        <f t="shared" si="292"/>
        <v>3.1710553391375962E-2</v>
      </c>
      <c r="J431">
        <v>11962.6</v>
      </c>
      <c r="K431">
        <v>11962.6</v>
      </c>
      <c r="L431" s="93">
        <f t="shared" ref="L431" si="666">+K431/J431-1</f>
        <v>0</v>
      </c>
      <c r="M431" s="92">
        <f t="shared" ref="M431" si="667">WEEKDAY(A431,2)</f>
        <v>4</v>
      </c>
    </row>
    <row r="432" spans="1:14" ht="13.5" x14ac:dyDescent="0.15">
      <c r="A432" s="90">
        <v>43014</v>
      </c>
      <c r="B432">
        <v>14.54</v>
      </c>
      <c r="C432" s="93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92">
        <v>14.0931</v>
      </c>
      <c r="G432" s="93">
        <f t="shared" ref="G432" si="670">+B432/D432-1</f>
        <v>3.1710553391375962E-2</v>
      </c>
      <c r="H432" s="93">
        <f>(+B432/(D432*(1-VLOOKUP(A432,FX!A:K,9,0)))-1)</f>
        <v>3.2484876157407916E-2</v>
      </c>
      <c r="I432" s="93">
        <f t="shared" si="292"/>
        <v>3.1710553391375962E-2</v>
      </c>
      <c r="J432">
        <v>11962.6</v>
      </c>
      <c r="K432">
        <v>11962.6</v>
      </c>
      <c r="L432" s="93">
        <f t="shared" ref="L432" si="671">+K432/J432-1</f>
        <v>0</v>
      </c>
      <c r="M432" s="92">
        <f t="shared" ref="M432" si="672">WEEKDAY(A432,2)</f>
        <v>5</v>
      </c>
    </row>
    <row r="433" spans="1:14" ht="13.5" x14ac:dyDescent="0.15">
      <c r="A433" s="90">
        <v>43017</v>
      </c>
      <c r="B433">
        <v>14.4</v>
      </c>
      <c r="C433" s="93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675">+B433/D433-1</f>
        <v>9.364800423301789E-3</v>
      </c>
      <c r="H433" s="93">
        <f>(+B433/(D433*(1-VLOOKUP(A433,FX!A:K,9,0)))-1)</f>
        <v>4.8249692729798177E-3</v>
      </c>
      <c r="I433" s="93">
        <f t="shared" si="292"/>
        <v>5.4812694201027412E-3</v>
      </c>
      <c r="J433">
        <v>11962.6</v>
      </c>
      <c r="K433">
        <v>12109.7</v>
      </c>
      <c r="L433" s="93">
        <f t="shared" ref="L433" si="676">+K433/J433-1</f>
        <v>1.2296657917175269E-2</v>
      </c>
      <c r="M433" s="92">
        <f t="shared" ref="M433" si="677">WEEKDAY(A433,2)</f>
        <v>1</v>
      </c>
    </row>
    <row r="434" spans="1:14" ht="13.5" x14ac:dyDescent="0.15">
      <c r="A434" s="90">
        <v>43018</v>
      </c>
      <c r="B434">
        <v>14.46</v>
      </c>
      <c r="C434" s="93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680">+B434/D434-1</f>
        <v>6.7783974870789798E-3</v>
      </c>
      <c r="H434" s="93">
        <f>(+B434/(D434*(1-VLOOKUP(A434,FX!A:K,9,0)))-1)</f>
        <v>3.4913354233467864E-4</v>
      </c>
      <c r="I434" s="93">
        <f t="shared" si="292"/>
        <v>1.0374520178446645E-4</v>
      </c>
      <c r="J434">
        <v>12109.7</v>
      </c>
      <c r="K434">
        <v>12144.49</v>
      </c>
      <c r="L434" s="93">
        <f t="shared" ref="L434" si="681">+K434/J434-1</f>
        <v>2.8729035401371394E-3</v>
      </c>
      <c r="M434" s="92">
        <f t="shared" ref="M434" si="682">WEEKDAY(A434,2)</f>
        <v>2</v>
      </c>
    </row>
    <row r="435" spans="1:14" ht="13.5" x14ac:dyDescent="0.15">
      <c r="A435" s="90">
        <v>43019</v>
      </c>
      <c r="B435">
        <v>14.52</v>
      </c>
      <c r="C435" s="93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685">+B435/D435-1</f>
        <v>-1.3897157163468288E-3</v>
      </c>
      <c r="H435" s="93">
        <f>(+B435/(D435*(1-VLOOKUP(A435,FX!A:K,9,0)))-1)</f>
        <v>-2.6849691035968348E-3</v>
      </c>
      <c r="I435" s="93">
        <f t="shared" si="292"/>
        <v>-2.0344201902458003E-3</v>
      </c>
      <c r="J435">
        <v>12144.49</v>
      </c>
      <c r="K435">
        <v>12213.12</v>
      </c>
      <c r="L435" s="93">
        <f t="shared" ref="L435" si="686">+K435/J435-1</f>
        <v>5.6511224431821105E-3</v>
      </c>
      <c r="M435" s="92">
        <f t="shared" ref="M435" si="687">WEEKDAY(A435,2)</f>
        <v>3</v>
      </c>
      <c r="N435" s="50" t="s">
        <v>482</v>
      </c>
    </row>
    <row r="436" spans="1:14" ht="13.5" x14ac:dyDescent="0.15">
      <c r="A436" s="90">
        <v>43020</v>
      </c>
      <c r="B436">
        <v>14.6</v>
      </c>
      <c r="C436" s="93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690">+B436/D436-1</f>
        <v>-8.9623513013503686E-4</v>
      </c>
      <c r="H436" s="93">
        <f>(+B436/(D436*(1-VLOOKUP(A436,FX!A:K,9,0)))-1)</f>
        <v>-6.2192630959689854E-4</v>
      </c>
      <c r="I436" s="93">
        <f t="shared" si="292"/>
        <v>-8.6910700965603382E-4</v>
      </c>
      <c r="J436">
        <v>12213.12</v>
      </c>
      <c r="K436">
        <v>12266.42</v>
      </c>
      <c r="L436" s="93">
        <f t="shared" ref="L436" si="691">+K436/J436-1</f>
        <v>4.364159199287343E-3</v>
      </c>
      <c r="M436" s="92">
        <f t="shared" ref="M436" si="692">WEEKDAY(A436,2)</f>
        <v>4</v>
      </c>
      <c r="N436" s="50" t="s">
        <v>490</v>
      </c>
    </row>
    <row r="437" spans="1:14" ht="13.5" x14ac:dyDescent="0.15">
      <c r="A437" s="90">
        <v>43021</v>
      </c>
      <c r="B437">
        <v>14.62</v>
      </c>
      <c r="C437" s="93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695">+B437/D437-1</f>
        <v>-4.1393334184225417E-4</v>
      </c>
      <c r="H437" s="93">
        <f>(+B437/(D437*(1-VLOOKUP(A437,FX!A:K,9,0)))-1)</f>
        <v>-1.4165143233000332E-3</v>
      </c>
      <c r="I437" s="93">
        <f t="shared" si="292"/>
        <v>-1.5434417384890819E-3</v>
      </c>
      <c r="J437">
        <v>12266.42</v>
      </c>
      <c r="K437">
        <v>12277.63</v>
      </c>
      <c r="L437" s="93">
        <f t="shared" ref="L437" si="696">+K437/J437-1</f>
        <v>9.1387707252810202E-4</v>
      </c>
      <c r="M437" s="92">
        <f t="shared" ref="M437" si="697">WEEKDAY(A437,2)</f>
        <v>5</v>
      </c>
    </row>
    <row r="438" spans="1:14" ht="13.5" x14ac:dyDescent="0.15">
      <c r="A438" s="90">
        <v>43024</v>
      </c>
      <c r="B438">
        <v>14.64</v>
      </c>
      <c r="C438" s="93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700">+B438/D438-1</f>
        <v>-4.7317143887464219E-3</v>
      </c>
      <c r="H438" s="93">
        <f>(+B438/(D438*(1-VLOOKUP(A438,FX!A:K,9,0)))-1)</f>
        <v>-4.2658107375935783E-3</v>
      </c>
      <c r="I438" s="93">
        <f t="shared" si="292"/>
        <v>-4.3186996293399504E-3</v>
      </c>
      <c r="J438">
        <v>12277.63</v>
      </c>
      <c r="K438">
        <v>12333.81</v>
      </c>
      <c r="L438" s="93">
        <f t="shared" ref="L438" si="701">+K438/J438-1</f>
        <v>4.5758016815948821E-3</v>
      </c>
      <c r="M438" s="92">
        <f t="shared" ref="M438" si="702">WEEKDAY(A438,2)</f>
        <v>1</v>
      </c>
    </row>
    <row r="439" spans="1:14" ht="13.5" x14ac:dyDescent="0.15">
      <c r="A439" s="90">
        <v>43025</v>
      </c>
      <c r="B439">
        <v>14.58</v>
      </c>
      <c r="C439" s="93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705">+B439/D439-1</f>
        <v>-8.555306240096705E-3</v>
      </c>
      <c r="H439" s="93">
        <f>(+B439/(D439*(1-VLOOKUP(A439,FX!A:K,9,0)))-1)</f>
        <v>-3.8929055166366799E-3</v>
      </c>
      <c r="I439" s="93">
        <f t="shared" si="292"/>
        <v>-3.3495112447876618E-3</v>
      </c>
      <c r="J439">
        <v>12333.81</v>
      </c>
      <c r="K439">
        <v>12335.75</v>
      </c>
      <c r="L439" s="93">
        <f t="shared" ref="L439" si="706">+K439/J439-1</f>
        <v>1.5729121820440284E-4</v>
      </c>
      <c r="M439" s="92">
        <f t="shared" ref="M439" si="707">WEEKDAY(A439,2)</f>
        <v>2</v>
      </c>
    </row>
    <row r="440" spans="1:14" ht="27" x14ac:dyDescent="0.15">
      <c r="A440" s="90">
        <v>43026</v>
      </c>
      <c r="B440">
        <v>14.72</v>
      </c>
      <c r="C440" s="93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710">+B440/D440-1</f>
        <v>-3.9421238118787505E-3</v>
      </c>
      <c r="H440" s="93">
        <f>(+B440/(D440*(1-VLOOKUP(A440,FX!A:K,9,0)))-1)</f>
        <v>-2.8284528191684366E-3</v>
      </c>
      <c r="I440" s="93">
        <f t="shared" si="292"/>
        <v>-3.0004808897137192E-3</v>
      </c>
      <c r="J440">
        <v>12335.75</v>
      </c>
      <c r="K440">
        <v>12461.61</v>
      </c>
      <c r="L440" s="93">
        <f t="shared" ref="L440" si="711">+K440/J440-1</f>
        <v>1.0202865654702853E-2</v>
      </c>
      <c r="M440" s="92">
        <f t="shared" ref="M440" si="712">WEEKDAY(A440,2)</f>
        <v>3</v>
      </c>
      <c r="N440" s="50" t="s">
        <v>505</v>
      </c>
    </row>
    <row r="441" spans="1:14" ht="13.5" x14ac:dyDescent="0.15">
      <c r="A441" s="90">
        <v>43027</v>
      </c>
      <c r="B441">
        <v>14.56</v>
      </c>
      <c r="C441" s="93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715">+B441/D441-1</f>
        <v>-1.4710320844674163E-2</v>
      </c>
      <c r="H441" s="93">
        <f>(+B441/(D441*(1-VLOOKUP(A441,FX!A:K,9,0)))-1)</f>
        <v>-1.2139310142905813E-2</v>
      </c>
      <c r="I441" s="93">
        <f t="shared" si="292"/>
        <v>-1.2801041440659522E-2</v>
      </c>
      <c r="J441">
        <v>12461.61</v>
      </c>
      <c r="K441">
        <v>12472.65</v>
      </c>
      <c r="L441" s="93">
        <f t="shared" ref="L441" si="716">+K441/J441-1</f>
        <v>8.8592084008398686E-4</v>
      </c>
      <c r="M441" s="92">
        <f t="shared" ref="M441" si="717">WEEKDAY(A441,2)</f>
        <v>4</v>
      </c>
    </row>
    <row r="442" spans="1:14" ht="13.5" x14ac:dyDescent="0.15">
      <c r="A442" s="90">
        <v>43028</v>
      </c>
      <c r="B442">
        <v>14.62</v>
      </c>
      <c r="C442" s="93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720">+B442/D442-1</f>
        <v>-2.751493655995696E-3</v>
      </c>
      <c r="H442" s="93">
        <f>(+B442/(D442*(1-VLOOKUP(A442,FX!A:K,9,0)))-1)</f>
        <v>-3.6589817356643684E-3</v>
      </c>
      <c r="I442" s="93">
        <f t="shared" si="292"/>
        <v>-3.5441657579062813E-3</v>
      </c>
      <c r="J442">
        <v>12472.65</v>
      </c>
      <c r="K442">
        <v>12397.84</v>
      </c>
      <c r="L442" s="93">
        <f t="shared" ref="L442" si="721">+K442/J442-1</f>
        <v>-5.9979234565228357E-3</v>
      </c>
      <c r="M442" s="92">
        <f t="shared" ref="M442" si="722">WEEKDAY(A442,2)</f>
        <v>5</v>
      </c>
    </row>
    <row r="443" spans="1:14" ht="13.5" x14ac:dyDescent="0.15">
      <c r="A443" s="90">
        <v>43031</v>
      </c>
      <c r="B443">
        <v>14.56</v>
      </c>
      <c r="C443" s="93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725">+B443/D443-1</f>
        <v>-5.6589957989916506E-3</v>
      </c>
      <c r="H443" s="93">
        <f>(+B443/(D443*(1-VLOOKUP(A443,FX!A:K,9,0)))-1)</f>
        <v>-4.5210543640209488E-3</v>
      </c>
      <c r="I443" s="93">
        <f t="shared" si="292"/>
        <v>-3.0879624240847114E-3</v>
      </c>
      <c r="J443">
        <v>12397.84</v>
      </c>
      <c r="K443">
        <v>12373.22</v>
      </c>
      <c r="L443" s="93">
        <f t="shared" ref="L443" si="726">+K443/J443-1</f>
        <v>-1.9858297897054067E-3</v>
      </c>
      <c r="M443" s="92">
        <f t="shared" ref="M443" si="727">WEEKDAY(A443,2)</f>
        <v>1</v>
      </c>
    </row>
    <row r="444" spans="1:14" ht="13.5" x14ac:dyDescent="0.15">
      <c r="A444" s="90">
        <v>43032</v>
      </c>
      <c r="B444">
        <v>14.64</v>
      </c>
      <c r="C444" s="93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730">+B444/D444-1</f>
        <v>-5.3285766183852612E-3</v>
      </c>
      <c r="H444" s="93">
        <f>(+B444/(D444*(1-VLOOKUP(A444,FX!A:K,9,0)))-1)</f>
        <v>-5.0405048140326203E-3</v>
      </c>
      <c r="I444" s="93">
        <f t="shared" si="292"/>
        <v>-5.7859995110421947E-3</v>
      </c>
      <c r="J444">
        <v>12373.22</v>
      </c>
      <c r="K444">
        <v>12469.23</v>
      </c>
      <c r="L444" s="93">
        <f t="shared" ref="L444" si="731">+K444/J444-1</f>
        <v>7.7594999523162844E-3</v>
      </c>
      <c r="M444" s="92">
        <f t="shared" ref="M444" si="732">WEEKDAY(A444,2)</f>
        <v>2</v>
      </c>
    </row>
    <row r="445" spans="1:14" ht="13.5" x14ac:dyDescent="0.15">
      <c r="A445" s="90">
        <v>43033</v>
      </c>
      <c r="B445">
        <v>14.74</v>
      </c>
      <c r="C445" s="93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735">+B445/D445-1</f>
        <v>-3.2189110676054122E-3</v>
      </c>
      <c r="H445" s="93">
        <f>(+B445/(D445*(1-VLOOKUP(A445,FX!A:K,9,0)))-1)</f>
        <v>-2.2438014658167083E-3</v>
      </c>
      <c r="I445" s="93">
        <f t="shared" si="292"/>
        <v>-1.9770874522654358E-3</v>
      </c>
      <c r="J445">
        <v>12469.23</v>
      </c>
      <c r="K445">
        <v>12522.07</v>
      </c>
      <c r="L445" s="93">
        <f t="shared" ref="L445" si="736">+K445/J445-1</f>
        <v>4.2376313533394327E-3</v>
      </c>
      <c r="M445" s="92">
        <f t="shared" ref="M445" si="737">WEEKDAY(A445,2)</f>
        <v>3</v>
      </c>
    </row>
    <row r="446" spans="1:14" ht="13.5" x14ac:dyDescent="0.15">
      <c r="A446" s="90">
        <v>43034</v>
      </c>
      <c r="B446">
        <v>14.84</v>
      </c>
      <c r="C446" s="93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740">+B446/D446-1</f>
        <v>-4.9031375078445461E-4</v>
      </c>
      <c r="H446" s="93">
        <f>(+B446/(D446*(1-VLOOKUP(A446,FX!A:K,9,0)))-1)</f>
        <v>-1.5113045843084816E-3</v>
      </c>
      <c r="I446" s="93">
        <f t="shared" si="292"/>
        <v>-9.8958578766317196E-4</v>
      </c>
      <c r="J446">
        <v>12522.07</v>
      </c>
      <c r="K446">
        <v>12588.27</v>
      </c>
      <c r="L446" s="93">
        <f t="shared" ref="L446" si="741">+K446/J446-1</f>
        <v>5.2866658627528373E-3</v>
      </c>
      <c r="M446" s="92">
        <f t="shared" ref="M446" si="742">WEEKDAY(A446,2)</f>
        <v>4</v>
      </c>
    </row>
    <row r="447" spans="1:14" ht="13.5" x14ac:dyDescent="0.15">
      <c r="A447" s="90">
        <v>43035</v>
      </c>
      <c r="B447">
        <v>15.04</v>
      </c>
      <c r="C447" s="93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745">+B447/D447-1</f>
        <v>-4.6429508589869162E-3</v>
      </c>
      <c r="H447" s="93">
        <f>(+B447/(D447*(1-VLOOKUP(A447,FX!A:K,9,0)))-1)</f>
        <v>-1.4628828865810295E-3</v>
      </c>
      <c r="I447" s="93">
        <f t="shared" si="292"/>
        <v>-1.8781149831103017E-3</v>
      </c>
      <c r="J447">
        <v>12588.27</v>
      </c>
      <c r="K447">
        <v>12804.75</v>
      </c>
      <c r="L447" s="93">
        <f t="shared" ref="L447" si="746">+K447/J447-1</f>
        <v>1.7196961933609645E-2</v>
      </c>
      <c r="M447" s="92">
        <f t="shared" ref="M447" si="747">WEEKDAY(A447,2)</f>
        <v>5</v>
      </c>
    </row>
    <row r="448" spans="1:14" ht="13.5" x14ac:dyDescent="0.15">
      <c r="A448" s="90">
        <v>43038</v>
      </c>
      <c r="B448">
        <v>15</v>
      </c>
      <c r="C448" s="93">
        <f t="shared" ref="C448" si="748">B448/B447-1</f>
        <v>-2.6595744680850686E-3</v>
      </c>
      <c r="D448" s="26">
        <f t="shared" ref="D448" si="749">+F447*(1+L448)</f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750">+B448/D448-1</f>
        <v>-6.1339328304340635E-3</v>
      </c>
      <c r="H448" s="93">
        <f>(+B448/(D448*(1-VLOOKUP(A448,FX!A:K,9,0)))-1)</f>
        <v>-7.1730818476020142E-3</v>
      </c>
      <c r="I448" s="93">
        <f t="shared" si="292"/>
        <v>-6.9907848744836798E-3</v>
      </c>
      <c r="J448">
        <v>12804.75</v>
      </c>
      <c r="K448">
        <v>12825.38</v>
      </c>
      <c r="L448" s="93">
        <f t="shared" ref="L448" si="751">+K448/J448-1</f>
        <v>1.6111208731133253E-3</v>
      </c>
      <c r="M448" s="92">
        <f t="shared" ref="M448" si="752">WEEKDAY(A448,2)</f>
        <v>1</v>
      </c>
    </row>
    <row r="449" spans="1:14" ht="13.5" x14ac:dyDescent="0.15">
      <c r="A449" s="90">
        <v>43039</v>
      </c>
      <c r="B449">
        <v>15.08</v>
      </c>
      <c r="C449" s="93">
        <f t="shared" ref="C449" si="753">B449/B448-1</f>
        <v>5.3333333333334121E-3</v>
      </c>
      <c r="D449" s="26">
        <f t="shared" ref="D449" si="754">+F448*(1+L449)</f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755">+B449/D449-1</f>
        <v>1.1552522075644056E-3</v>
      </c>
      <c r="H449" s="93">
        <f>(+B449/(D449*(1-VLOOKUP(A449,FX!A:K,9,0)))-1)</f>
        <v>-1.8626711038658428E-3</v>
      </c>
      <c r="I449" s="93">
        <f t="shared" si="292"/>
        <v>-1.6815178677823672E-3</v>
      </c>
      <c r="J449">
        <v>12825.38</v>
      </c>
      <c r="K449">
        <v>12788.87</v>
      </c>
      <c r="L449" s="93">
        <f t="shared" ref="L449" si="756">+K449/J449-1</f>
        <v>-2.8466992790855405E-3</v>
      </c>
      <c r="M449" s="92">
        <f t="shared" ref="M449" si="757">WEEKDAY(A449,2)</f>
        <v>2</v>
      </c>
    </row>
    <row r="450" spans="1:14" ht="13.5" x14ac:dyDescent="0.15">
      <c r="A450" s="90">
        <v>43040</v>
      </c>
      <c r="B450">
        <v>15.1</v>
      </c>
      <c r="C450" s="93">
        <f t="shared" ref="C450" si="758">B450/B449-1</f>
        <v>1.3262599469496816E-3</v>
      </c>
      <c r="D450" s="26">
        <f t="shared" ref="D450" si="759">+F449*(1+L450)</f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760">+B450/D450-1</f>
        <v>1.9231439244493664E-4</v>
      </c>
      <c r="H450" s="93">
        <f>(+B450/(D450*(1-VLOOKUP(A450,FX!A:K,9,0)))-1)</f>
        <v>6.3543635861296188E-4</v>
      </c>
      <c r="I450" s="93">
        <f t="shared" si="292"/>
        <v>-1.243484932666683E-3</v>
      </c>
      <c r="J450">
        <v>12788.87</v>
      </c>
      <c r="K450">
        <v>12781.84</v>
      </c>
      <c r="L450" s="93">
        <f t="shared" ref="L450" si="761">+K450/J450-1</f>
        <v>-5.4969672848348416E-4</v>
      </c>
      <c r="M450" s="92">
        <f t="shared" ref="M450" si="762">WEEKDAY(A450,2)</f>
        <v>3</v>
      </c>
    </row>
    <row r="451" spans="1:14" ht="13.5" x14ac:dyDescent="0.15">
      <c r="A451" s="90">
        <v>43041</v>
      </c>
      <c r="B451">
        <v>15.12</v>
      </c>
      <c r="C451" s="93">
        <f t="shared" ref="C451" si="763">B451/B450-1</f>
        <v>1.3245033112583293E-3</v>
      </c>
      <c r="D451" s="26">
        <f t="shared" ref="D451" si="764">+F450*(1+L451)</f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765">+B451/D451-1</f>
        <v>-6.0321688064901569E-4</v>
      </c>
      <c r="H451" s="93">
        <f>(+B451/(D451*(1-VLOOKUP(A451,FX!A:K,9,0)))-1)</f>
        <v>-4.9063791124214218E-3</v>
      </c>
      <c r="I451" s="93">
        <f t="shared" si="292"/>
        <v>-3.6046841123712481E-3</v>
      </c>
      <c r="J451">
        <v>12781.84</v>
      </c>
      <c r="K451">
        <v>12790.57</v>
      </c>
      <c r="L451" s="93">
        <f t="shared" ref="L451" si="766">+K451/J451-1</f>
        <v>6.830002566140525E-4</v>
      </c>
      <c r="M451" s="92">
        <f t="shared" ref="M451" si="767">WEEKDAY(A451,2)</f>
        <v>4</v>
      </c>
    </row>
    <row r="452" spans="1:14" ht="13.5" x14ac:dyDescent="0.15">
      <c r="A452" s="90">
        <v>43042</v>
      </c>
      <c r="B452">
        <v>15.06</v>
      </c>
      <c r="C452" s="93">
        <f t="shared" ref="C452" si="768">B452/B451-1</f>
        <v>-3.9682539682538431E-3</v>
      </c>
      <c r="D452" s="26">
        <f t="shared" ref="D452" si="769">+F451*(1+L452)</f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770">+B452/D452-1</f>
        <v>-8.3571846639678427E-3</v>
      </c>
      <c r="H452" s="93">
        <f>(+B452/(D452*(1-VLOOKUP(A452,FX!A:K,9,0)))-1)</f>
        <v>-5.5799270208483076E-3</v>
      </c>
      <c r="I452" s="93">
        <f t="shared" si="292"/>
        <v>-4.9751243781094301E-3</v>
      </c>
      <c r="J452">
        <v>12790.57</v>
      </c>
      <c r="K452">
        <v>12800.87</v>
      </c>
      <c r="L452" s="93">
        <f t="shared" ref="L452" si="771">+K452/J452-1</f>
        <v>8.0528076543906479E-4</v>
      </c>
      <c r="M452" s="92">
        <f t="shared" ref="M452" si="772">WEEKDAY(A452,2)</f>
        <v>5</v>
      </c>
    </row>
    <row r="453" spans="1:14" ht="13.5" x14ac:dyDescent="0.15">
      <c r="A453" s="90">
        <v>43045</v>
      </c>
      <c r="B453">
        <v>15.06</v>
      </c>
      <c r="C453" s="93">
        <f t="shared" ref="C453" si="773">B453/B452-1</f>
        <v>0</v>
      </c>
      <c r="D453" s="26">
        <f t="shared" ref="D453" si="774">+F452*(1+L453)</f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775">+B453/D453-1</f>
        <v>-5.6617925306667871E-3</v>
      </c>
      <c r="H453" s="93">
        <f>(+B453/(D453*(1-VLOOKUP(A453,FX!A:K,9,0)))-1)</f>
        <v>-2.990962728656954E-3</v>
      </c>
      <c r="I453" s="93">
        <f t="shared" si="292"/>
        <v>-2.8405140734560907E-3</v>
      </c>
      <c r="J453">
        <v>12800.87</v>
      </c>
      <c r="K453">
        <v>12809.71</v>
      </c>
      <c r="L453" s="93">
        <f t="shared" ref="L453" si="776">+K453/J453-1</f>
        <v>6.9057806227212915E-4</v>
      </c>
      <c r="M453" s="92">
        <f t="shared" ref="M453" si="777">WEEKDAY(A453,2)</f>
        <v>1</v>
      </c>
    </row>
    <row r="454" spans="1:14" ht="13.5" x14ac:dyDescent="0.15">
      <c r="A454" s="90">
        <v>43046</v>
      </c>
      <c r="B454">
        <v>15.3</v>
      </c>
      <c r="C454" s="93">
        <f t="shared" ref="C454" si="778">B454/B453-1</f>
        <v>1.5936254980079667E-2</v>
      </c>
      <c r="D454" s="26">
        <f t="shared" ref="D454" si="779">+F453*(1+L454)</f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780">+B454/D454-1</f>
        <v>2.7813221579864322E-3</v>
      </c>
      <c r="H454" s="93">
        <f>(+B454/(D454*(1-VLOOKUP(A454,FX!A:K,9,0)))-1)</f>
        <v>1.0173254057661563E-3</v>
      </c>
      <c r="I454" s="93">
        <f t="shared" si="292"/>
        <v>1.0337472684209814E-3</v>
      </c>
      <c r="J454">
        <v>12809.71</v>
      </c>
      <c r="K454">
        <v>12940.89</v>
      </c>
      <c r="L454" s="93">
        <f t="shared" ref="L454" si="781">+K454/J454-1</f>
        <v>1.024066899250653E-2</v>
      </c>
      <c r="M454" s="92">
        <f t="shared" ref="M454" si="782">WEEKDAY(A454,2)</f>
        <v>2</v>
      </c>
      <c r="N454" s="50" t="s">
        <v>563</v>
      </c>
    </row>
    <row r="455" spans="1:14" ht="13.5" x14ac:dyDescent="0.15">
      <c r="A455" s="90">
        <v>43047</v>
      </c>
      <c r="B455">
        <v>15.18</v>
      </c>
      <c r="C455" s="93">
        <f t="shared" ref="C455" si="783">B455/B454-1</f>
        <v>-7.8431372549020439E-3</v>
      </c>
      <c r="D455" s="26">
        <f t="shared" ref="D455" si="784">+F454*(1+L455)</f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785">+B455/D455-1</f>
        <v>-4.5544379695789949E-3</v>
      </c>
      <c r="H455" s="93">
        <f>(+B455/(D455*(1-VLOOKUP(A455,FX!A:K,9,0)))-1)</f>
        <v>-1.7075544164690815E-3</v>
      </c>
      <c r="I455" s="93">
        <f t="shared" si="292"/>
        <v>-2.4380466711791948E-3</v>
      </c>
      <c r="J455">
        <v>12940.89</v>
      </c>
      <c r="K455">
        <v>12911.47</v>
      </c>
      <c r="L455" s="93">
        <f t="shared" ref="L455" si="786">+K455/J455-1</f>
        <v>-2.2734139614818405E-3</v>
      </c>
      <c r="M455" s="92">
        <f t="shared" ref="M455" si="787">WEEKDAY(A455,2)</f>
        <v>3</v>
      </c>
    </row>
    <row r="456" spans="1:14" ht="13.5" x14ac:dyDescent="0.15">
      <c r="A456" s="90">
        <v>43048</v>
      </c>
      <c r="B456">
        <v>15.3</v>
      </c>
      <c r="C456" s="93">
        <f t="shared" ref="C456" si="788">B456/B455-1</f>
        <v>7.905138339921125E-3</v>
      </c>
      <c r="D456" s="26">
        <f t="shared" ref="D456" si="789">+F455*(1+L456)</f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790">+B456/D456-1</f>
        <v>-8.9819308879346416E-4</v>
      </c>
      <c r="H456" s="93">
        <f>(+B456/(D456*(1-VLOOKUP(A456,FX!A:K,9,0)))-1)</f>
        <v>-2.4391203582062593E-3</v>
      </c>
      <c r="I456" s="93">
        <f t="shared" si="292"/>
        <v>-1.1620467691182412E-3</v>
      </c>
      <c r="J456">
        <v>12911.47</v>
      </c>
      <c r="K456">
        <v>12993.48</v>
      </c>
      <c r="L456" s="93">
        <f t="shared" ref="L456" si="791">+K456/J456-1</f>
        <v>6.3517167293887233E-3</v>
      </c>
      <c r="M456" s="92">
        <f t="shared" ref="M456" si="792">WEEKDAY(A456,2)</f>
        <v>4</v>
      </c>
    </row>
    <row r="457" spans="1:14" ht="13.5" x14ac:dyDescent="0.15">
      <c r="A457" s="90">
        <v>43049</v>
      </c>
      <c r="B457">
        <v>15.44</v>
      </c>
      <c r="C457" s="93">
        <f t="shared" ref="C457" si="793">B457/B456-1</f>
        <v>9.1503267973855884E-3</v>
      </c>
      <c r="D457" s="26">
        <f t="shared" ref="D457" si="794">+F456*(1+L457)</f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795">+B457/D457-1</f>
        <v>-1.7745319349863342E-3</v>
      </c>
      <c r="H457" s="93">
        <f>(+B457/(D457*(1-VLOOKUP(A457,FX!A:K,9,0)))-1)</f>
        <v>-1.5408091874247187E-4</v>
      </c>
      <c r="I457" s="93">
        <f t="shared" si="292"/>
        <v>-1.287201081507594E-3</v>
      </c>
      <c r="J457">
        <v>12993.48</v>
      </c>
      <c r="K457">
        <v>13120.42</v>
      </c>
      <c r="L457" s="93">
        <f t="shared" ref="L457" si="796">+K457/J457-1</f>
        <v>9.7695151722247964E-3</v>
      </c>
      <c r="M457" s="92">
        <f t="shared" ref="M457" si="797">WEEKDAY(A457,2)</f>
        <v>5</v>
      </c>
    </row>
    <row r="458" spans="1:14" ht="13.5" x14ac:dyDescent="0.15">
      <c r="A458" s="90">
        <v>43052</v>
      </c>
      <c r="B458">
        <v>15.44</v>
      </c>
      <c r="C458" s="93">
        <f t="shared" ref="C458" si="798">B458/B457-1</f>
        <v>0</v>
      </c>
      <c r="D458" s="26">
        <f t="shared" ref="D458" si="799">+F457*(1+L458)</f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800">+B458/D458-1</f>
        <v>-5.4834414974928025E-3</v>
      </c>
      <c r="H458" s="93">
        <f>(+B458/(D458*(1-VLOOKUP(A458,FX!A:K,9,0)))-1)</f>
        <v>-4.5070781787176495E-3</v>
      </c>
      <c r="I458" s="93">
        <f t="shared" si="292"/>
        <v>-3.575254591685284E-3</v>
      </c>
      <c r="J458">
        <v>13120.42</v>
      </c>
      <c r="K458">
        <v>13175.78</v>
      </c>
      <c r="L458" s="93">
        <f t="shared" ref="L458" si="801">+K458/J458-1</f>
        <v>4.2193771235983224E-3</v>
      </c>
      <c r="M458" s="92">
        <f t="shared" ref="M458" si="802">WEEKDAY(A458,2)</f>
        <v>1</v>
      </c>
    </row>
    <row r="459" spans="1:14" ht="13.5" x14ac:dyDescent="0.15">
      <c r="A459" s="90">
        <v>43053</v>
      </c>
      <c r="B459">
        <v>15.38</v>
      </c>
      <c r="C459" s="93">
        <f t="shared" ref="C459" si="803">B459/B458-1</f>
        <v>-3.8860103626942033E-3</v>
      </c>
      <c r="D459" s="26">
        <f t="shared" ref="D459" si="804">+F458*(1+L459)</f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805">+B459/D459-1</f>
        <v>-2.3987099169455739E-3</v>
      </c>
      <c r="H459" s="93">
        <f>(+B459/(D459*(1-VLOOKUP(A459,FX!A:K,9,0)))-1)</f>
        <v>-3.0112414520198083E-3</v>
      </c>
      <c r="I459" s="93">
        <f t="shared" si="292"/>
        <v>-3.1306106311128623E-3</v>
      </c>
      <c r="J459">
        <v>13175.78</v>
      </c>
      <c r="K459">
        <v>13109.1</v>
      </c>
      <c r="L459" s="93">
        <f t="shared" ref="L459" si="806">+K459/J459-1</f>
        <v>-5.0608009544785837E-3</v>
      </c>
      <c r="M459" s="92">
        <f t="shared" ref="M459" si="807">WEEKDAY(A459,2)</f>
        <v>2</v>
      </c>
    </row>
    <row r="460" spans="1:14" ht="13.5" x14ac:dyDescent="0.15">
      <c r="A460" s="90">
        <v>43054</v>
      </c>
      <c r="B460">
        <v>15.3</v>
      </c>
      <c r="C460" s="93">
        <f t="shared" ref="C460" si="808">B460/B459-1</f>
        <v>-5.2015604681404648E-3</v>
      </c>
      <c r="D460" s="26">
        <f t="shared" ref="D460" si="809">+F459*(1+L460)</f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810">+B460/D460-1</f>
        <v>-4.7948509023941766E-3</v>
      </c>
      <c r="H460" s="93">
        <f>(+B460/(D460*(1-VLOOKUP(A460,FX!A:K,9,0)))-1)</f>
        <v>-5.8064725416842045E-3</v>
      </c>
      <c r="I460" s="93">
        <f t="shared" si="292"/>
        <v>-6.7257004856007274E-3</v>
      </c>
      <c r="J460">
        <v>13109.1</v>
      </c>
      <c r="K460">
        <v>13062.72</v>
      </c>
      <c r="L460" s="93">
        <f t="shared" ref="L460" si="811">+K460/J460-1</f>
        <v>-3.5380003203882016E-3</v>
      </c>
      <c r="M460" s="92">
        <f t="shared" ref="M460" si="812">WEEKDAY(A460,2)</f>
        <v>3</v>
      </c>
    </row>
    <row r="461" spans="1:14" ht="13.5" x14ac:dyDescent="0.15">
      <c r="A461" s="90">
        <v>43055</v>
      </c>
      <c r="B461">
        <v>15.52</v>
      </c>
      <c r="C461" s="93">
        <f t="shared" ref="C461" si="813">B461/B460-1</f>
        <v>1.437908496732021E-2</v>
      </c>
      <c r="D461" s="26">
        <f t="shared" ref="D461" si="814">+F460*(1+L461)</f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815">+B461/D461-1</f>
        <v>-3.6563404037336378E-3</v>
      </c>
      <c r="H461" s="93">
        <f>(+B461/(D461*(1-VLOOKUP(A461,FX!A:K,9,0)))-1)</f>
        <v>-3.8663856582038525E-3</v>
      </c>
      <c r="I461" s="93">
        <f t="shared" si="292"/>
        <v>-4.528369658640452E-3</v>
      </c>
      <c r="J461">
        <v>13062.72</v>
      </c>
      <c r="K461">
        <v>13209.73</v>
      </c>
      <c r="L461" s="93">
        <f t="shared" ref="L461" si="816">+K461/J461-1</f>
        <v>1.125416452316208E-2</v>
      </c>
      <c r="M461" s="92">
        <f t="shared" ref="M461" si="817">WEEKDAY(A461,2)</f>
        <v>4</v>
      </c>
    </row>
    <row r="462" spans="1:14" ht="13.5" x14ac:dyDescent="0.15">
      <c r="A462" s="90">
        <v>43056</v>
      </c>
      <c r="B462">
        <v>15.74</v>
      </c>
      <c r="C462" s="93">
        <f t="shared" ref="C462" si="818">B462/B461-1</f>
        <v>1.4175257731958713E-2</v>
      </c>
      <c r="D462" s="26">
        <f t="shared" ref="D462" si="819">+F461*(1+L462)</f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820">+B462/D462-1</f>
        <v>-6.1284681608981817E-3</v>
      </c>
      <c r="H462" s="93">
        <f>(+B462/(D462*(1-VLOOKUP(A462,FX!A:K,9,0)))-1)</f>
        <v>-6.6695131358006643E-3</v>
      </c>
      <c r="I462" s="93">
        <f t="shared" si="292"/>
        <v>-6.3382237822277032E-3</v>
      </c>
      <c r="J462">
        <v>13209.73</v>
      </c>
      <c r="K462">
        <v>13418.55</v>
      </c>
      <c r="L462" s="93">
        <f t="shared" ref="L462" si="821">+K462/J462-1</f>
        <v>1.5808044524755704E-2</v>
      </c>
      <c r="M462" s="92">
        <f t="shared" ref="M462" si="822">WEEKDAY(A462,2)</f>
        <v>5</v>
      </c>
    </row>
    <row r="463" spans="1:14" ht="13.5" x14ac:dyDescent="0.15">
      <c r="A463" s="90">
        <v>43059</v>
      </c>
      <c r="B463">
        <v>15.86</v>
      </c>
      <c r="C463" s="93">
        <f t="shared" ref="C463" si="823">B463/B462-1</f>
        <v>7.6238881829733263E-3</v>
      </c>
      <c r="D463" s="26">
        <f t="shared" ref="D463" si="824">+F462*(1+L463)</f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825">+B463/D463-1</f>
        <v>-4.5121837806381127E-3</v>
      </c>
      <c r="H463" s="93">
        <f>(+B463/(D463*(1-VLOOKUP(A463,FX!A:K,9,0)))-1)</f>
        <v>-3.4313627984844386E-3</v>
      </c>
      <c r="I463" s="93">
        <f t="shared" si="292"/>
        <v>-3.2429171170718085E-3</v>
      </c>
      <c r="J463">
        <v>13418.55</v>
      </c>
      <c r="K463">
        <v>13496.05</v>
      </c>
      <c r="L463" s="93">
        <f t="shared" ref="L463" si="826">+K463/J463-1</f>
        <v>5.7755867809861083E-3</v>
      </c>
      <c r="M463" s="92">
        <f t="shared" ref="M463" si="827">WEEKDAY(A463,2)</f>
        <v>1</v>
      </c>
    </row>
    <row r="464" spans="1:14" x14ac:dyDescent="0.25">
      <c r="A464" s="90">
        <v>43060</v>
      </c>
      <c r="B464">
        <v>16.22</v>
      </c>
      <c r="C464" s="93">
        <f t="shared" ref="C464" si="828">B464/B463-1</f>
        <v>2.2698612862547263E-2</v>
      </c>
      <c r="D464" s="26">
        <f t="shared" ref="D464" si="829">+F463*(1+L464)</f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830">+B464/D464-1</f>
        <v>-8.1549219749421642E-4</v>
      </c>
      <c r="H464" s="93">
        <f>(+B464/(D464*(1-VLOOKUP(A464,FX!A:K,9,0)))-1)</f>
        <v>-4.8750866929636594E-4</v>
      </c>
      <c r="I464" s="93">
        <f t="shared" si="292"/>
        <v>-6.0998527409295011E-4</v>
      </c>
      <c r="J464">
        <v>13496.05</v>
      </c>
      <c r="K464">
        <v>13768.86</v>
      </c>
      <c r="L464" s="93">
        <f t="shared" ref="L464" si="831">+K464/J464-1</f>
        <v>2.021406263314085E-2</v>
      </c>
      <c r="M464" s="92">
        <f t="shared" ref="M464" si="832">WEEKDAY(A464,2)</f>
        <v>2</v>
      </c>
    </row>
    <row r="465" spans="1:14" x14ac:dyDescent="0.25">
      <c r="A465" s="90">
        <v>43061</v>
      </c>
      <c r="B465">
        <v>16.36</v>
      </c>
      <c r="C465" s="93">
        <f t="shared" ref="C465" si="833">B465/B464-1</f>
        <v>8.6313193588163362E-3</v>
      </c>
      <c r="D465" s="26">
        <f t="shared" ref="D465" si="834">+F464*(1+L465)</f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835">+B465/D465-1</f>
        <v>9.3551781697898129E-4</v>
      </c>
      <c r="H465" s="93">
        <f>(+B465/(D465*(1-VLOOKUP(A465,FX!A:K,9,0)))-1)</f>
        <v>-3.1092851134475463E-3</v>
      </c>
      <c r="I465" s="93">
        <f t="shared" si="292"/>
        <v>-3.2838021433054809E-3</v>
      </c>
      <c r="J465">
        <v>13768.86</v>
      </c>
      <c r="K465">
        <v>13866.26</v>
      </c>
      <c r="L465" s="93">
        <f t="shared" ref="L465" si="836">+K465/J465-1</f>
        <v>7.0739334992149239E-3</v>
      </c>
      <c r="M465" s="92">
        <f t="shared" ref="M465" si="837">WEEKDAY(A465,2)</f>
        <v>3</v>
      </c>
    </row>
    <row r="466" spans="1:14" x14ac:dyDescent="0.25">
      <c r="A466" s="90">
        <v>43062</v>
      </c>
      <c r="B466">
        <v>15.88</v>
      </c>
      <c r="C466" s="93">
        <f t="shared" ref="C466" si="838">B466/B465-1</f>
        <v>-2.9339853300733409E-2</v>
      </c>
      <c r="D466" s="26">
        <f t="shared" ref="D466" si="839">+F465*(1+L466)</f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840">+B466/D466-1</f>
        <v>-4.1046764389114365E-3</v>
      </c>
      <c r="H466" s="93">
        <f>(+B466/(D466*(1-VLOOKUP(A466,FX!A:K,9,0)))-1)</f>
        <v>-8.0532589164498125E-3</v>
      </c>
      <c r="I466" s="93">
        <f t="shared" si="292"/>
        <v>-7.1959537608392576E-3</v>
      </c>
      <c r="J466">
        <v>13866.26</v>
      </c>
      <c r="K466">
        <v>13470.52</v>
      </c>
      <c r="L466" s="93">
        <f t="shared" ref="L466" si="841">+K466/J466-1</f>
        <v>-2.8539779291604228E-2</v>
      </c>
      <c r="M466" s="92">
        <f t="shared" ref="M466" si="842">WEEKDAY(A466,2)</f>
        <v>4</v>
      </c>
      <c r="N466" s="50" t="s">
        <v>597</v>
      </c>
    </row>
    <row r="467" spans="1:14" x14ac:dyDescent="0.25">
      <c r="A467" s="90">
        <v>43063</v>
      </c>
      <c r="B467">
        <v>15.96</v>
      </c>
      <c r="C467" s="93">
        <f t="shared" ref="C467" si="843">B467/B466-1</f>
        <v>5.0377833753147971E-3</v>
      </c>
      <c r="D467" s="26">
        <f t="shared" ref="D467" si="844">+F466*(1+L467)</f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845">+B467/D467-1</f>
        <v>-2.3277361287320497E-3</v>
      </c>
      <c r="H467" s="93">
        <f>(+B467/(D467*(1-VLOOKUP(A467,FX!A:K,9,0)))-1)</f>
        <v>-2.9647637742143962E-3</v>
      </c>
      <c r="I467" s="93">
        <f t="shared" si="292"/>
        <v>-1.2328141329310816E-3</v>
      </c>
      <c r="J467">
        <v>13470.52</v>
      </c>
      <c r="K467">
        <v>13472.32</v>
      </c>
      <c r="L467" s="93">
        <f t="shared" ref="L467" si="846">+K467/J467-1</f>
        <v>1.3362513102688212E-4</v>
      </c>
      <c r="M467" s="92">
        <f t="shared" ref="M467" si="847">WEEKDAY(A467,2)</f>
        <v>5</v>
      </c>
      <c r="N467" s="50" t="s">
        <v>600</v>
      </c>
    </row>
    <row r="468" spans="1:14" x14ac:dyDescent="0.25">
      <c r="A468" s="90">
        <v>43066</v>
      </c>
      <c r="B468">
        <v>15.7</v>
      </c>
      <c r="C468" s="93">
        <f t="shared" ref="C468" si="848">B468/B467-1</f>
        <v>-1.6290726817042689E-2</v>
      </c>
      <c r="D468" s="26">
        <f t="shared" ref="D468" si="849">+F467*(1+L468)</f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850">+B468/D468-1</f>
        <v>-6.2196864489835191E-3</v>
      </c>
      <c r="H468" s="93">
        <f>(+B468/(D468*(1-VLOOKUP(A468,FX!A:K,9,0)))-1)</f>
        <v>-5.0195678959618073E-3</v>
      </c>
      <c r="I468" s="93">
        <f t="shared" si="292"/>
        <v>-4.874214833078705E-3</v>
      </c>
      <c r="J468">
        <v>13472.32</v>
      </c>
      <c r="K468">
        <v>13319.35</v>
      </c>
      <c r="L468" s="93">
        <f t="shared" ref="L468" si="851">+K468/J468-1</f>
        <v>-1.1354391819671683E-2</v>
      </c>
      <c r="M468" s="92">
        <f t="shared" ref="M468" si="852">WEEKDAY(A468,2)</f>
        <v>1</v>
      </c>
      <c r="N468" s="50" t="s">
        <v>603</v>
      </c>
    </row>
    <row r="469" spans="1:14" x14ac:dyDescent="0.25">
      <c r="A469" s="90">
        <v>43067</v>
      </c>
      <c r="B469">
        <v>15.64</v>
      </c>
      <c r="C469" s="93">
        <f t="shared" ref="C469" si="853">B469/B468-1</f>
        <v>-3.8216560509553021E-3</v>
      </c>
      <c r="D469" s="26">
        <f t="shared" ref="D469" si="854">+F468*(1+L469)</f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855">+B469/D469-1</f>
        <v>-2.9258208180927836E-3</v>
      </c>
      <c r="H469" s="93">
        <f>(+B469/(D469*(1-VLOOKUP(A469,FX!A:K,9,0)))-1)</f>
        <v>-1.3446869139640549E-3</v>
      </c>
      <c r="I469" s="93">
        <f t="shared" si="292"/>
        <v>-2.9770442476747538E-3</v>
      </c>
      <c r="J469">
        <v>13319.35</v>
      </c>
      <c r="K469">
        <v>13242.52</v>
      </c>
      <c r="L469" s="93">
        <f t="shared" ref="L469" si="856">+K469/J469-1</f>
        <v>-5.7682995041049567E-3</v>
      </c>
      <c r="M469" s="92">
        <f t="shared" ref="M469" si="857">WEEKDAY(A469,2)</f>
        <v>2</v>
      </c>
    </row>
    <row r="470" spans="1:14" x14ac:dyDescent="0.25">
      <c r="A470" s="90">
        <v>43068</v>
      </c>
      <c r="B470">
        <v>15.64</v>
      </c>
      <c r="C470" s="93">
        <f t="shared" ref="C470" si="858">B470/B469-1</f>
        <v>0</v>
      </c>
      <c r="D470" s="26">
        <f t="shared" ref="D470" si="859">+F469*(1+L470)</f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860">+B470/D470-1</f>
        <v>-5.010223985289386E-3</v>
      </c>
      <c r="H470" s="93">
        <f>(+B470/(D470*(1-VLOOKUP(A470,FX!A:K,9,0)))-1)</f>
        <v>-4.8475302359531902E-3</v>
      </c>
      <c r="I470" s="93">
        <f t="shared" si="292"/>
        <v>-5.7215511760966287E-3</v>
      </c>
      <c r="J470">
        <v>13242.52</v>
      </c>
      <c r="K470">
        <v>13269.58</v>
      </c>
      <c r="L470" s="93">
        <f t="shared" ref="L470" si="861">+K470/J470-1</f>
        <v>2.0434177180777002E-3</v>
      </c>
      <c r="M470" s="92">
        <f t="shared" ref="M470" si="862">WEEKDAY(A470,2)</f>
        <v>3</v>
      </c>
      <c r="N470" s="50" t="s">
        <v>605</v>
      </c>
    </row>
    <row r="471" spans="1:14" x14ac:dyDescent="0.25">
      <c r="A471" s="90">
        <v>43069</v>
      </c>
      <c r="B471">
        <v>15.38</v>
      </c>
      <c r="C471" s="93">
        <f t="shared" ref="C471" si="863">B471/B470-1</f>
        <v>-1.6624040920716121E-2</v>
      </c>
      <c r="D471" s="26">
        <f t="shared" ref="D471" si="864">+F470*(1+L471)</f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865">+B471/D471-1</f>
        <v>-8.8550310675553634E-3</v>
      </c>
      <c r="H471" s="93">
        <f>(+B471/(D471*(1-VLOOKUP(A471,FX!A:K,9,0)))-1)</f>
        <v>-7.3919731825567991E-3</v>
      </c>
      <c r="I471" s="93">
        <f t="shared" si="292"/>
        <v>-6.9218451366288569E-3</v>
      </c>
      <c r="J471">
        <v>13269.58</v>
      </c>
      <c r="K471">
        <v>13090.24</v>
      </c>
      <c r="L471" s="93">
        <f t="shared" ref="L471" si="866">+K471/J471-1</f>
        <v>-1.3515122558513504E-2</v>
      </c>
      <c r="M471" s="92">
        <f t="shared" ref="M471" si="867">WEEKDAY(A471,2)</f>
        <v>4</v>
      </c>
    </row>
    <row r="472" spans="1:14" x14ac:dyDescent="0.25">
      <c r="A472" s="90">
        <v>43070</v>
      </c>
      <c r="B472">
        <v>15.28</v>
      </c>
      <c r="C472" s="93">
        <f t="shared" ref="C472" si="868">B472/B471-1</f>
        <v>-6.5019505851756643E-3</v>
      </c>
      <c r="D472" s="26">
        <f t="shared" ref="D472" si="869">+F471*(1+L472)</f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870">+B472/D472-1</f>
        <v>-5.6520354111205817E-3</v>
      </c>
      <c r="H472" s="93">
        <f>(+B472/(D472*(1-VLOOKUP(A472,FX!A:K,9,0)))-1)</f>
        <v>-5.7339382324649302E-3</v>
      </c>
      <c r="I472" s="93">
        <f t="shared" si="292"/>
        <v>-5.8749666564739123E-3</v>
      </c>
      <c r="J472">
        <v>13090.24</v>
      </c>
      <c r="K472">
        <v>12988.52</v>
      </c>
      <c r="L472" s="93">
        <f t="shared" ref="L472" si="871">+K472/J472-1</f>
        <v>-7.7706749456082358E-3</v>
      </c>
      <c r="M472" s="92">
        <f t="shared" ref="M472" si="872">WEEKDAY(A472,2)</f>
        <v>5</v>
      </c>
    </row>
    <row r="473" spans="1:14" x14ac:dyDescent="0.25">
      <c r="A473" s="90">
        <v>43073</v>
      </c>
      <c r="B473">
        <v>15.44</v>
      </c>
      <c r="C473" s="93">
        <f t="shared" ref="C473" si="873">B473/B472-1</f>
        <v>1.0471204188481575E-2</v>
      </c>
      <c r="D473" s="26">
        <f t="shared" ref="D473" si="874">+F472*(1+L473)</f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875">+B473/D473-1</f>
        <v>-4.3299764613216052E-3</v>
      </c>
      <c r="H473" s="93">
        <f>(+B473/(D473*(1-VLOOKUP(A473,FX!A:K,9,0)))-1)</f>
        <v>-4.4985208617212002E-3</v>
      </c>
      <c r="I473" s="93">
        <f t="shared" si="292"/>
        <v>-4.3206293931772333E-3</v>
      </c>
      <c r="J473">
        <v>12988.52</v>
      </c>
      <c r="K473">
        <v>13104.16</v>
      </c>
      <c r="L473" s="93">
        <f t="shared" ref="L473" si="876">+K473/J473-1</f>
        <v>8.9032468672334275E-3</v>
      </c>
      <c r="M473" s="92">
        <f t="shared" ref="M473" si="877">WEEKDAY(A473,2)</f>
        <v>1</v>
      </c>
    </row>
    <row r="474" spans="1:14" x14ac:dyDescent="0.25">
      <c r="A474" s="90">
        <v>43074</v>
      </c>
      <c r="B474">
        <v>15.66</v>
      </c>
      <c r="C474" s="93">
        <f t="shared" ref="C474" si="878">B474/B473-1</f>
        <v>1.4248704663212486E-2</v>
      </c>
      <c r="D474" s="26">
        <f t="shared" ref="D474" si="879">+F473*(1+L474)</f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880">+B474/D474-1</f>
        <v>-5.0312622467372226E-3</v>
      </c>
      <c r="H474" s="93">
        <f>(+B474/(D474*(1-VLOOKUP(A474,FX!A:K,9,0)))-1)</f>
        <v>-5.093683871640553E-3</v>
      </c>
      <c r="I474" s="93">
        <f t="shared" si="292"/>
        <v>-5.4364393862411653E-3</v>
      </c>
      <c r="J474">
        <v>13104.16</v>
      </c>
      <c r="K474">
        <v>13300.37</v>
      </c>
      <c r="L474" s="93">
        <f t="shared" ref="L474" si="881">+K474/J474-1</f>
        <v>1.497310777646188E-2</v>
      </c>
      <c r="M474" s="92">
        <f t="shared" ref="M474" si="882">WEEKDAY(A474,2)</f>
        <v>2</v>
      </c>
    </row>
    <row r="475" spans="1:14" x14ac:dyDescent="0.25">
      <c r="A475" s="90">
        <v>43075</v>
      </c>
      <c r="B475">
        <v>15.4</v>
      </c>
      <c r="C475" s="93">
        <f t="shared" ref="C475" si="883">B475/B474-1</f>
        <v>-1.6602809706257937E-2</v>
      </c>
      <c r="D475" s="26">
        <f t="shared" ref="D475" si="884">+F474*(1+L475)</f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885">+B475/D475-1</f>
        <v>-9.693354391378306E-3</v>
      </c>
      <c r="H475" s="93">
        <f>(+B475/(D475*(1-VLOOKUP(A475,FX!A:K,9,0)))-1)</f>
        <v>-9.2702969715472427E-3</v>
      </c>
      <c r="I475" s="93">
        <f t="shared" si="292"/>
        <v>-9.1046552778044632E-3</v>
      </c>
      <c r="J475">
        <v>13300.37</v>
      </c>
      <c r="K475">
        <v>13135.77</v>
      </c>
      <c r="L475" s="93">
        <f t="shared" ref="L475" si="886">+K475/J475-1</f>
        <v>-1.2375595566138431E-2</v>
      </c>
      <c r="M475" s="92">
        <f t="shared" ref="M475" si="887">WEEKDAY(A475,2)</f>
        <v>3</v>
      </c>
    </row>
    <row r="476" spans="1:14" x14ac:dyDescent="0.25">
      <c r="A476" s="90">
        <v>43076</v>
      </c>
      <c r="B476">
        <v>15.22</v>
      </c>
      <c r="C476" s="93">
        <f t="shared" ref="C476" si="888">B476/B475-1</f>
        <v>-1.1688311688311637E-2</v>
      </c>
      <c r="D476" s="26">
        <f t="shared" ref="D476" si="889">+F475*(1+L476)</f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890">+B476/D476-1</f>
        <v>-7.6220757698858277E-3</v>
      </c>
      <c r="H476" s="93">
        <f>(+B476/(D476*(1-VLOOKUP(A476,FX!A:K,9,0)))-1)</f>
        <v>-7.44509308210628E-3</v>
      </c>
      <c r="I476" s="93">
        <f t="shared" si="292"/>
        <v>-7.3308810101483379E-3</v>
      </c>
      <c r="J476">
        <v>13135.77</v>
      </c>
      <c r="K476">
        <v>12962.84</v>
      </c>
      <c r="L476" s="93">
        <f t="shared" ref="L476" si="891">+K476/J476-1</f>
        <v>-1.3164816375438981E-2</v>
      </c>
      <c r="M476" s="92">
        <f t="shared" ref="M476" si="892">WEEKDAY(A476,2)</f>
        <v>4</v>
      </c>
    </row>
    <row r="477" spans="1:14" x14ac:dyDescent="0.25">
      <c r="A477" s="90">
        <v>43077</v>
      </c>
      <c r="B477">
        <v>15.42</v>
      </c>
      <c r="C477" s="93">
        <f t="shared" ref="C477" si="893">B477/B476-1</f>
        <v>1.3140604467805517E-2</v>
      </c>
      <c r="D477" s="26">
        <f t="shared" ref="D477" si="894">+F476*(1+L477)</f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895">+B477/D477-1</f>
        <v>-2.1804342136070298E-3</v>
      </c>
      <c r="H477" s="93">
        <f>(+B477/(D477*(1-VLOOKUP(A477,FX!A:K,9,0)))-1)</f>
        <v>-1.4225401162265561E-3</v>
      </c>
      <c r="I477" s="93">
        <f t="shared" si="292"/>
        <v>-5.8979460888841651E-4</v>
      </c>
      <c r="J477">
        <v>12962.84</v>
      </c>
      <c r="K477">
        <v>13065.39</v>
      </c>
      <c r="L477" s="93">
        <f t="shared" ref="L477" si="896">+K477/J477-1</f>
        <v>7.9110750421975684E-3</v>
      </c>
      <c r="M477" s="92">
        <f t="shared" ref="M477" si="897">WEEKDAY(A477,2)</f>
        <v>5</v>
      </c>
    </row>
    <row r="478" spans="1:14" x14ac:dyDescent="0.25">
      <c r="A478" s="90">
        <v>43080</v>
      </c>
      <c r="B478">
        <v>15.66</v>
      </c>
      <c r="C478" s="93">
        <f t="shared" ref="C478" si="898">B478/B477-1</f>
        <v>1.5564202334630295E-2</v>
      </c>
      <c r="D478" s="26">
        <f t="shared" ref="D478" si="899">+F477*(1+L478)</f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900">+B478/D478-1</f>
        <v>-4.7963555286301141E-4</v>
      </c>
      <c r="H478" s="93">
        <f>(+B478/(D478*(1-VLOOKUP(A478,FX!A:K,9,0)))-1)</f>
        <v>-1.1502047856393194E-3</v>
      </c>
      <c r="I478" s="93">
        <f t="shared" si="292"/>
        <v>-1.1162494020092728E-3</v>
      </c>
      <c r="J478">
        <v>13065.39</v>
      </c>
      <c r="K478">
        <v>13267.28</v>
      </c>
      <c r="L478" s="93">
        <f t="shared" ref="L478" si="901">+K478/J478-1</f>
        <v>1.5452275056466069E-2</v>
      </c>
      <c r="M478" s="92">
        <f t="shared" ref="M478" si="902">WEEKDAY(A478,2)</f>
        <v>1</v>
      </c>
    </row>
    <row r="479" spans="1:14" x14ac:dyDescent="0.25">
      <c r="A479" s="90">
        <v>43081</v>
      </c>
      <c r="B479">
        <v>15.36</v>
      </c>
      <c r="C479" s="93">
        <f t="shared" ref="C479" si="903">B479/B478-1</f>
        <v>-1.9157088122605415E-2</v>
      </c>
      <c r="D479" s="26">
        <f t="shared" ref="D479" si="904">+F478*(1+L479)</f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905">+B479/D479-1</f>
        <v>-4.3498034364675142E-3</v>
      </c>
      <c r="H479" s="93">
        <f>(+B479/(D479*(1-VLOOKUP(A479,FX!A:K,9,0)))-1)</f>
        <v>-4.3498034364675142E-3</v>
      </c>
      <c r="I479" s="93">
        <f t="shared" si="292"/>
        <v>-3.7166040746433593E-3</v>
      </c>
      <c r="J479">
        <v>13267.28</v>
      </c>
      <c r="K479">
        <v>13055.38</v>
      </c>
      <c r="L479" s="93">
        <f t="shared" ref="L479" si="906">+K479/J479-1</f>
        <v>-1.5971623422434855E-2</v>
      </c>
      <c r="M479" s="92">
        <f t="shared" ref="M479" si="907">WEEKDAY(A479,2)</f>
        <v>2</v>
      </c>
    </row>
    <row r="480" spans="1:14" x14ac:dyDescent="0.25">
      <c r="A480" s="90">
        <v>43082</v>
      </c>
      <c r="B480">
        <v>15.58</v>
      </c>
      <c r="C480" s="93">
        <f t="shared" ref="C480" si="908">B480/B479-1</f>
        <v>1.4322916666666741E-2</v>
      </c>
      <c r="D480" s="26">
        <f t="shared" ref="D480" si="909">+F479*(1+L480)</f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910">+B480/D480-1</f>
        <v>1.2966286100415392E-3</v>
      </c>
      <c r="H480" s="93">
        <f>(+B480/(D480*(1-VLOOKUP(A480,FX!A:K,9,0)))-1)</f>
        <v>1.8928474976771525E-3</v>
      </c>
      <c r="I480" s="93">
        <f t="shared" si="292"/>
        <v>1.3561370019732344E-3</v>
      </c>
      <c r="J480">
        <v>13055.38</v>
      </c>
      <c r="K480">
        <v>13176.07</v>
      </c>
      <c r="L480" s="93">
        <f t="shared" ref="L480" si="911">+K480/J480-1</f>
        <v>9.2444647340790276E-3</v>
      </c>
      <c r="M480" s="92">
        <f t="shared" ref="M480" si="912">WEEKDAY(A480,2)</f>
        <v>3</v>
      </c>
    </row>
    <row r="481" spans="1:1" x14ac:dyDescent="0.25">
      <c r="A481" s="90">
        <v>43083</v>
      </c>
    </row>
    <row r="482" spans="1:1" x14ac:dyDescent="0.25">
      <c r="A482" s="90">
        <v>43084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83"/>
  <sheetViews>
    <sheetView zoomScale="115" zoomScaleNormal="115" workbookViewId="0">
      <pane xSplit="1" ySplit="2" topLeftCell="B467" activePane="bottomRight" state="frozen"/>
      <selection pane="topRight" activeCell="B1" sqref="B1"/>
      <selection pane="bottomLeft" activeCell="A3" sqref="A3"/>
      <selection pane="bottomRight" activeCell="B480" sqref="B48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ht="13.5" x14ac:dyDescent="0.1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81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8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8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2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x14ac:dyDescent="0.2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x14ac:dyDescent="0.2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x14ac:dyDescent="0.2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x14ac:dyDescent="0.25">
      <c r="A482" s="90">
        <v>43083</v>
      </c>
    </row>
    <row r="483" spans="1:13" x14ac:dyDescent="0.25">
      <c r="A483" s="90">
        <v>43084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83"/>
  <sheetViews>
    <sheetView zoomScale="115" zoomScaleNormal="115" workbookViewId="0">
      <pane xSplit="1" ySplit="2" topLeftCell="E465" activePane="bottomRight" state="frozen"/>
      <selection pane="topRight" activeCell="B1" sqref="B1"/>
      <selection pane="bottomLeft" activeCell="A3" sqref="A3"/>
      <selection pane="bottomRight" activeCell="I480" sqref="I480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ht="13.5" x14ac:dyDescent="0.15">
      <c r="H1" t="s">
        <v>140</v>
      </c>
      <c r="J1" t="s">
        <v>218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3.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3.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3.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3.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3.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3.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3.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3.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3.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3.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3.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3.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3.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3.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3.5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3.5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3.5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3.5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3.5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3.5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3.5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3.5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3.5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3.5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3.5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3.5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3.5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3.5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3.5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3.5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3.5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3.5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3.5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3.5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3.5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3.5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3.5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3.5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3.5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3.5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3.5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3.5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3.5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3.5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3.5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3.5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3.5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3.5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3.5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3.5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3.5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3.5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3.5" x14ac:dyDescent="0.15">
      <c r="A56" s="1">
        <v>42480</v>
      </c>
      <c r="M56">
        <f t="shared" si="5"/>
        <v>3</v>
      </c>
      <c r="N56" s="50"/>
    </row>
    <row r="57" spans="1:14" ht="13.5" x14ac:dyDescent="0.15">
      <c r="A57" s="1">
        <v>42481</v>
      </c>
      <c r="B57">
        <v>39</v>
      </c>
      <c r="M57">
        <f t="shared" si="5"/>
        <v>4</v>
      </c>
      <c r="N57" s="50"/>
    </row>
    <row r="58" spans="1:14" ht="13.5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3.5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3.5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3.5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3.5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3.5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3.5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3.5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3.5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3.5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3.5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3.5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3.5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3.5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3.5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3.5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3.5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3.5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3.5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3.5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3.5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3.5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3.5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3.5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3.5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3.5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3.5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3.5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3.5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3.5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3.5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3.5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3.5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3.5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3.5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3.5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3.5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3.5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3.5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3.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3.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3.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3.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3.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3.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3.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3.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3.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3.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3.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3.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3.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3.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3.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3.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3.5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3.5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3.5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3.5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3.5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3.5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3.5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3.5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3.5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3.5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3.5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3.5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3.5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3.5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3.5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3.5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3.5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3.5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3.5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3.5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3.5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3.5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3.5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3.5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3.5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3.5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3.5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3.5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3.5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3.5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3.5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3.5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3.5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3.5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3.5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3.5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3.5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3.5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3.5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3.5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3.5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3.5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3.5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3.5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3.5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3.5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3.5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3.5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3.5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3.5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3.5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3.5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3.5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3.5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3.5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3.5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3.5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3.5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3.5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3.5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3.5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3.5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3.5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3.5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3.5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3.5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3.5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3.5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3.5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3.5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3.5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3.5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3.5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3.5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3.5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3.5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3.5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3.5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3.5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3.5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3.5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3.5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3.5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3.5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3.5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3.5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3.5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3.5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3.5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3.5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3.5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3.5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3.5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3.5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3.5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3.5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3.5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3.5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3.5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3.5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3.5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3.5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3.5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3.5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3.5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3.5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3.5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3.5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3.5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3.5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3.5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3.5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3.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3.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3.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3.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3.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3.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3.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3.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3.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3.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3.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3.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3.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3.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3.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3.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3.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3.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3.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3.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3.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3.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3.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3.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3.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3.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3.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3.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3.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3.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3.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3.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3.5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3.5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3.5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3.5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3.5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3.5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3.5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3.5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3.5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3.5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3.5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3.5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3.5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3.5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3.5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3.5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3.5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3.5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3.5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3.5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3.5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3.5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3.5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3.5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3.5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3.5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3.5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3.5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3.5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3.5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3.5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3.5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3.5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3.5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3.5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3.5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3.5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3.5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3.5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3.5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3.5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3.5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3.5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3.5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3.5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3.5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3.5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3.5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3.5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3.5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3.5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3.5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3.5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3.5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3.5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3.5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3.5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3.5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3.5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3.5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3.5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3.5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3.5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3.5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3.5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3.5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3.5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3.5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3.5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3.5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3.5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3.5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3.5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3.5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3.5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3.5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3.5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3.5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3.5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3.5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3.5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3.5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3.5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3.5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3.5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3.5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3.5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3.5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3.5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ht="13.5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3.5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3.5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3.5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3.5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3.5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3.5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3.5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3.5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3.5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3.5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3.5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3.5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3.5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3.5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3.5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3.5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3.5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ht="13.5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3.5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3.5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3.5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3.5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ht="13.5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3.5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3.5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3.5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3.5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ht="13.5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3.5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3.5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3.5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3.5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ht="13.5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3.5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3.5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3.5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3.5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3.5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ht="13.5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3.5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3.5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3.5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3.5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3.5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3.5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3.5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3.5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3.5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3.5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3.5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3.5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3.5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3.5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3.5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ht="13.5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ht="13.5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ht="13.5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ht="13.5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ht="13.5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ht="13.5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ht="13.5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ht="13.5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ht="13.5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ht="13.5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ht="13.5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ht="13.5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ht="13.5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ht="13.5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ht="13.5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ht="13.5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ht="13.5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ht="13.5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ht="13.5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ht="13.5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ht="13.5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ht="13.5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ht="13.5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ht="13.5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ht="13.5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ht="13.5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ht="13.5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ht="13.5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ht="13.5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ht="13.5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ht="13.5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ht="13.5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ht="13.5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81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ht="13.5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ht="13.5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ht="13.5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ht="13.5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ht="13.5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ht="13.5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ht="13.5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ht="13.5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ht="13.5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ht="13.5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ht="13.5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ht="13.5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ht="13.5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ht="13.5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ht="13.5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ht="13.5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ht="13.5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ht="13.5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ht="13.5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ht="13.5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ht="13.5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ht="13.5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ht="13.5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2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2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2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2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2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2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2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2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2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2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2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x14ac:dyDescent="0.2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2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x14ac:dyDescent="0.2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x14ac:dyDescent="0.2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x14ac:dyDescent="0.2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x14ac:dyDescent="0.2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x14ac:dyDescent="0.2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x14ac:dyDescent="0.2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x14ac:dyDescent="0.2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x14ac:dyDescent="0.2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x14ac:dyDescent="0.2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x14ac:dyDescent="0.2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x14ac:dyDescent="0.2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3" x14ac:dyDescent="0.2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3" x14ac:dyDescent="0.25">
      <c r="A482" s="90">
        <v>43083</v>
      </c>
    </row>
    <row r="483" spans="1:13" x14ac:dyDescent="0.25">
      <c r="A483" s="90">
        <v>43084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89"/>
  <sheetViews>
    <sheetView zoomScale="115" zoomScaleNormal="115" workbookViewId="0">
      <pane xSplit="1" ySplit="2" topLeftCell="B471" activePane="bottomRight" state="frozen"/>
      <selection pane="topRight" activeCell="B1" sqref="B1"/>
      <selection pane="bottomLeft" activeCell="A3" sqref="A3"/>
      <selection pane="bottomRight" activeCell="C486" sqref="C486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4" width="28.90625" style="50" customWidth="1"/>
    <col min="15" max="15" width="18.36328125" bestFit="1" customWidth="1" collapsed="1"/>
    <col min="16" max="16" width="19.36328125" bestFit="1" customWidth="1" collapsed="1"/>
  </cols>
  <sheetData>
    <row r="1" spans="1:17" ht="13.5" x14ac:dyDescent="0.15">
      <c r="J1" t="s">
        <v>219</v>
      </c>
      <c r="O1" t="s">
        <v>34</v>
      </c>
    </row>
    <row r="2" spans="1:17" ht="13.5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37" t="s">
        <v>35</v>
      </c>
      <c r="P2" s="37" t="s">
        <v>47</v>
      </c>
    </row>
    <row r="3" spans="1:17" ht="13.5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ht="13.5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ht="13.5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ht="13.5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ht="13.5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ht="13.5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ht="13.5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ht="13.5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ht="13.5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ht="13.5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ht="13.5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ht="13.5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ht="13.5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ht="13.5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ht="13.5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ht="13.5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ht="13.5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ht="13.5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ht="13.5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ht="13.5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ht="13.5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ht="13.5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ht="13.5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ht="13.5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ht="13.5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ht="13.5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ht="13.5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ht="13.5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ht="13.5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ht="13.5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ht="13.5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ht="13.5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ht="13.5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ht="13.5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ht="13.5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ht="13.5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ht="13.5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ht="13.5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ht="13.5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ht="13.5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ht="13.5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ht="13.5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ht="13.5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ht="13.5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ht="13.5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ht="13.5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ht="13.5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ht="13.5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ht="13.5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ht="13.5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ht="13.5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ht="13.5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ht="13.5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ht="13.5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ht="13.5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ht="13.5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ht="13.5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ht="13.5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ht="13.5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ht="13.5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ht="13.5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ht="13.5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ht="13.5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ht="13.5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ht="13.5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ht="13.5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ht="13.5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ht="13.5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ht="13.5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ht="13.5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ht="13.5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ht="13.5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ht="13.5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ht="13.5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ht="13.5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ht="13.5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ht="13.5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ht="13.5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ht="13.5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ht="13.5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ht="13.5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ht="13.5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ht="13.5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ht="13.5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ht="13.5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ht="13.5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ht="13.5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ht="13.5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ht="13.5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ht="13.5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ht="13.5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ht="13.5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ht="13.5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ht="13.5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ht="13.5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ht="13.5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ht="13.5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ht="13.5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ht="13.5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ht="13.5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ht="13.5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ht="13.5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ht="13.5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ht="13.5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ht="13.5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ht="13.5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ht="13.5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ht="13.5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ht="13.5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ht="13.5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ht="13.5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ht="13.5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ht="13.5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ht="13.5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ht="13.5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ht="13.5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ht="13.5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ht="13.5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ht="13.5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ht="13.5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ht="13.5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ht="13.5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ht="13.5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ht="13.5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ht="13.5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ht="13.5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ht="13.5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ht="13.5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ht="13.5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ht="13.5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ht="13.5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ht="13.5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ht="13.5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ht="13.5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ht="13.5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ht="13.5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ht="13.5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ht="13.5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ht="13.5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ht="13.5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ht="13.5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ht="13.5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ht="13.5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ht="13.5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ht="13.5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ht="13.5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ht="13.5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ht="13.5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ht="13.5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ht="13.5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ht="13.5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ht="13.5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ht="13.5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ht="13.5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ht="13.5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ht="13.5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ht="13.5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ht="13.5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ht="13.5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ht="13.5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ht="13.5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ht="13.5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ht="13.5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ht="13.5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ht="13.5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ht="13.5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ht="13.5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ht="13.5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ht="13.5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ht="13.5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ht="13.5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ht="13.5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ht="13.5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ht="13.5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ht="13.5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ht="13.5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ht="13.5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ht="13.5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ht="13.5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ht="13.5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ht="13.5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ht="13.5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ht="13.5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ht="13.5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ht="13.5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ht="13.5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ht="13.5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ht="13.5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ht="13.5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ht="13.5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ht="13.5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ht="13.5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ht="13.5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ht="13.5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ht="13.5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ht="13.5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ht="13.5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ht="13.5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ht="13.5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ht="13.5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ht="13.5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ht="13.5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ht="13.5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ht="13.5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ht="13.5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ht="13.5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ht="13.5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ht="13.5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ht="13.5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ht="13.5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ht="13.5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ht="13.5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ht="13.5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ht="13.5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ht="13.5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ht="13.5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ht="13.5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ht="13.5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ht="13.5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ht="13.5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ht="13.5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ht="13.5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ht="13.5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ht="13.5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ht="13.5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ht="13.5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ht="13.5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ht="13.5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ht="13.5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ht="13.5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ht="13.5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ht="13.5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ht="13.5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ht="13.5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ht="13.5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ht="13.5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ht="13.5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ht="13.5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ht="13.5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ht="13.5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ht="13.5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ht="13.5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ht="13.5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ht="13.5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ht="13.5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ht="13.5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ht="13.5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ht="13.5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ht="13.5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ht="13.5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ht="13.5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ht="13.5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ht="13.5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ht="13.5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ht="13.5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ht="13.5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ht="13.5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ht="13.5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ht="13.5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ht="13.5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ht="13.5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ht="13.5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ht="13.5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ht="13.5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ht="13.5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ht="13.5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ht="13.5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ht="13.5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ht="13.5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ht="13.5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ht="13.5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ht="13.5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ht="13.5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ht="13.5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ht="13.5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ht="13.5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ht="13.5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ht="13.5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ht="13.5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ht="13.5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ht="13.5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ht="13.5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ht="13.5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ht="13.5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ht="13.5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ht="13.5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ht="13.5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ht="13.5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ht="13.5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ht="13.5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ht="13.5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ht="13.5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ht="13.5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ht="13.5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ht="13.5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ht="13.5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ht="13.5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ht="13.5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ht="13.5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ht="13.5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ht="13.5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ht="13.5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ht="13.5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ht="13.5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ht="13.5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ht="13.5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ht="13.5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ht="13.5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ht="13.5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ht="13.5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ht="13.5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ht="13.5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ht="13.5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ht="13.5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ht="13.5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ht="13.5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ht="13.5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ht="13.5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ht="13.5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ht="13.5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ht="13.5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ht="13.5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ht="13.5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ht="13.5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ht="13.5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ht="13.5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ht="13.5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ht="13.5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ht="13.5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ht="13.5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ht="13.5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ht="13.5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ht="13.5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ht="13.5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ht="13.5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ht="13.5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ht="13.5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ht="13.5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ht="13.5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ht="13.5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ht="13.5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ht="13.5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ht="13.5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ht="13.5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ht="13.5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ht="13.5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ht="13.5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ht="13.5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ht="13.5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ht="13.5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ht="13.5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ht="13.5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ht="13.5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ht="13.5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ht="13.5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ht="13.5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ht="13.5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ht="13.5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ht="13.5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ht="13.5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ht="13.5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ht="13.5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ht="13.5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ht="13.5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ht="13.5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ht="13.5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374</v>
      </c>
    </row>
    <row r="380" spans="1:14" ht="13.5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ht="13.5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ht="13.5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ht="13.5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ht="13.5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ht="13.5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ht="13.5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ht="13.5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86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ht="13.5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ht="13.5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ht="13.5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390</v>
      </c>
    </row>
    <row r="391" spans="1:14" ht="13.5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ht="13.5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ht="13.5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ht="13.5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ht="13.5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ht="13.5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ht="13.5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ht="13.5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403</v>
      </c>
    </row>
    <row r="399" spans="1:14" ht="13.5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406</v>
      </c>
    </row>
    <row r="401" spans="1:13" ht="13.5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ht="13.5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ht="13.5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ht="13.5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ht="13.5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93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ht="13.5" x14ac:dyDescent="0.15">
      <c r="A406" s="1">
        <v>42969</v>
      </c>
      <c r="B406">
        <v>43.13</v>
      </c>
      <c r="C406" s="93">
        <f t="shared" ref="C406" si="482">B406/B405-1</f>
        <v>1.5301318267420205E-2</v>
      </c>
      <c r="D406" s="38">
        <f t="shared" ref="D406" si="483">+F405*(1+L406)</f>
        <v>42.91876558818705</v>
      </c>
      <c r="E406" s="92"/>
      <c r="F406">
        <v>42.92</v>
      </c>
      <c r="G406" s="42">
        <f t="shared" ref="G406" si="484">+B406/D406-1</f>
        <v>4.9217261707799054E-3</v>
      </c>
      <c r="H406" s="92"/>
      <c r="I406" s="93">
        <f t="shared" si="389"/>
        <v>4.892823858341222E-3</v>
      </c>
      <c r="J406">
        <v>18713.689999999999</v>
      </c>
      <c r="K406">
        <v>18960.54</v>
      </c>
      <c r="L406" s="93">
        <f t="shared" ref="L406" si="485">+K406/J406-1</f>
        <v>1.3190877908098475E-2</v>
      </c>
      <c r="M406" s="92">
        <f t="shared" ref="M406" si="486">WEEKDAY(A406,2)</f>
        <v>2</v>
      </c>
    </row>
    <row r="407" spans="1:13" ht="13.5" x14ac:dyDescent="0.15">
      <c r="A407" s="1">
        <v>42970</v>
      </c>
      <c r="B407">
        <v>43.35</v>
      </c>
      <c r="C407" s="93">
        <f t="shared" ref="C407" si="487">B407/B406-1</f>
        <v>5.1008578715510122E-3</v>
      </c>
      <c r="D407" s="38">
        <f t="shared" ref="D407:D412" si="488">+F406*(1+L407)</f>
        <v>42.92</v>
      </c>
      <c r="E407" s="92"/>
      <c r="F407">
        <v>43.32</v>
      </c>
      <c r="G407" s="42">
        <f t="shared" ref="G407" si="489">+B407/D407-1</f>
        <v>1.0018639328984058E-2</v>
      </c>
      <c r="H407" s="92"/>
      <c r="I407" s="93">
        <f t="shared" si="389"/>
        <v>6.9252077562320657E-4</v>
      </c>
      <c r="J407">
        <v>18960.54</v>
      </c>
      <c r="K407">
        <v>18960.539999999997</v>
      </c>
      <c r="L407" s="93">
        <f t="shared" ref="L407" si="490">+K407/J407-1</f>
        <v>0</v>
      </c>
      <c r="M407" s="92">
        <f t="shared" ref="M407" si="491">WEEKDAY(A407,2)</f>
        <v>3</v>
      </c>
    </row>
    <row r="408" spans="1:13" ht="13.5" x14ac:dyDescent="0.15">
      <c r="A408" s="1">
        <v>42971</v>
      </c>
      <c r="B408">
        <v>43.51</v>
      </c>
      <c r="C408" s="93">
        <f t="shared" ref="C408" si="492">B408/B407-1</f>
        <v>3.6908881199537724E-3</v>
      </c>
      <c r="D408" s="38">
        <f t="shared" si="488"/>
        <v>43.7224578413906</v>
      </c>
      <c r="E408" s="92"/>
      <c r="F408">
        <v>43.32</v>
      </c>
      <c r="G408" s="42">
        <f t="shared" ref="G408" si="493">+B408/D408-1</f>
        <v>-4.8592382926258004E-3</v>
      </c>
      <c r="H408" s="92"/>
      <c r="I408" s="93">
        <f t="shared" si="389"/>
        <v>4.3859649122806044E-3</v>
      </c>
      <c r="J408">
        <v>18960.539999999997</v>
      </c>
      <c r="K408">
        <v>19136.689999999999</v>
      </c>
      <c r="L408" s="93">
        <f t="shared" ref="L408" si="494">+K408/J408-1</f>
        <v>9.290347215849426E-3</v>
      </c>
      <c r="M408" s="92">
        <f t="shared" ref="M408" si="495">WEEKDAY(A408,2)</f>
        <v>4</v>
      </c>
    </row>
    <row r="409" spans="1:13" ht="13.5" x14ac:dyDescent="0.15">
      <c r="A409" s="1">
        <v>42972</v>
      </c>
      <c r="B409">
        <v>44.21</v>
      </c>
      <c r="C409" s="93">
        <f t="shared" ref="C409" si="496">B409/B408-1</f>
        <v>1.6088255573431409E-2</v>
      </c>
      <c r="D409" s="38">
        <f t="shared" si="488"/>
        <v>44.041060935825371</v>
      </c>
      <c r="E409" s="92"/>
      <c r="F409">
        <v>44.04</v>
      </c>
      <c r="G409" s="42">
        <f t="shared" ref="G409" si="497">+B409/D409-1</f>
        <v>3.8359444705657886E-3</v>
      </c>
      <c r="H409" s="92"/>
      <c r="I409" s="93">
        <f t="shared" si="389"/>
        <v>3.8601271571299112E-3</v>
      </c>
      <c r="J409">
        <v>19136.689999999999</v>
      </c>
      <c r="K409">
        <v>19455.22</v>
      </c>
      <c r="L409" s="93">
        <f t="shared" ref="L409" si="498">+K409/J409-1</f>
        <v>1.6644989284980927E-2</v>
      </c>
      <c r="M409" s="92">
        <f t="shared" ref="M409" si="499">WEEKDAY(A409,2)</f>
        <v>5</v>
      </c>
    </row>
    <row r="410" spans="1:13" ht="13.5" x14ac:dyDescent="0.15">
      <c r="A410" s="90">
        <v>42975</v>
      </c>
      <c r="B410">
        <v>44.23</v>
      </c>
      <c r="C410" s="93">
        <f t="shared" ref="C410" si="500">B410/B409-1</f>
        <v>4.523863379324311E-4</v>
      </c>
      <c r="D410" s="38">
        <f t="shared" si="488"/>
        <v>44.161694352466846</v>
      </c>
      <c r="E410" s="92"/>
      <c r="F410">
        <v>44.15</v>
      </c>
      <c r="G410" s="42">
        <f t="shared" ref="G410" si="501">+B410/D410-1</f>
        <v>1.546717093506178E-3</v>
      </c>
      <c r="H410" s="92"/>
      <c r="I410" s="93">
        <f t="shared" si="389"/>
        <v>1.8120045300111798E-3</v>
      </c>
      <c r="J410">
        <v>19455.22</v>
      </c>
      <c r="K410">
        <v>19508.98</v>
      </c>
      <c r="L410" s="93">
        <f t="shared" ref="L410" si="502">+K410/J410-1</f>
        <v>2.7632686754506253E-3</v>
      </c>
      <c r="M410" s="92">
        <f t="shared" ref="M410" si="503">WEEKDAY(A410,2)</f>
        <v>1</v>
      </c>
    </row>
    <row r="411" spans="1:13" ht="13.5" x14ac:dyDescent="0.15">
      <c r="A411" s="90">
        <v>42976</v>
      </c>
      <c r="B411">
        <v>44.27</v>
      </c>
      <c r="C411" s="93">
        <f t="shared" ref="C411" si="504">B411/B410-1</f>
        <v>9.0436355414880154E-4</v>
      </c>
      <c r="D411" s="38">
        <f t="shared" si="488"/>
        <v>44.034086046528309</v>
      </c>
      <c r="E411" s="92"/>
      <c r="F411">
        <v>44.04</v>
      </c>
      <c r="G411" s="42">
        <f t="shared" ref="G411" si="505">+B411/D411-1</f>
        <v>5.3575303736841384E-3</v>
      </c>
      <c r="H411" s="92"/>
      <c r="I411" s="93">
        <f t="shared" si="389"/>
        <v>5.2225249772934745E-3</v>
      </c>
      <c r="J411">
        <v>19508.98</v>
      </c>
      <c r="K411">
        <v>19457.759999999998</v>
      </c>
      <c r="L411" s="93">
        <f t="shared" ref="L411" si="506">+K411/J411-1</f>
        <v>-2.625457609777726E-3</v>
      </c>
      <c r="M411" s="92">
        <f t="shared" ref="M411" si="507">WEEKDAY(A411,2)</f>
        <v>2</v>
      </c>
    </row>
    <row r="412" spans="1:13" ht="13.5" x14ac:dyDescent="0.15">
      <c r="A412" s="90">
        <v>42977</v>
      </c>
      <c r="B412">
        <v>44.27</v>
      </c>
      <c r="C412" s="93">
        <f t="shared" ref="C412" si="508">B412/B411-1</f>
        <v>0</v>
      </c>
      <c r="D412" s="38">
        <f t="shared" si="488"/>
        <v>44.357527382391396</v>
      </c>
      <c r="E412" s="92"/>
      <c r="F412">
        <v>44.35</v>
      </c>
      <c r="G412" s="42">
        <f t="shared" ref="G412" si="509">+B412/D412-1</f>
        <v>-1.9732250095197967E-3</v>
      </c>
      <c r="H412" s="92"/>
      <c r="I412" s="93">
        <f t="shared" si="389"/>
        <v>-1.8038331454339751E-3</v>
      </c>
      <c r="J412">
        <v>19457.759999999998</v>
      </c>
      <c r="K412">
        <v>19598.05</v>
      </c>
      <c r="L412" s="93">
        <f t="shared" ref="L412" si="510">+K412/J412-1</f>
        <v>7.2099768935376396E-3</v>
      </c>
      <c r="M412" s="92">
        <f t="shared" ref="M412" si="511">WEEKDAY(A412,2)</f>
        <v>3</v>
      </c>
    </row>
    <row r="413" spans="1:13" ht="13.5" x14ac:dyDescent="0.15">
      <c r="A413" s="90">
        <v>42978</v>
      </c>
      <c r="B413">
        <v>44.24</v>
      </c>
      <c r="C413" s="93">
        <f t="shared" ref="C413" si="512">B413/B412-1</f>
        <v>-6.7765981477296844E-4</v>
      </c>
      <c r="D413" s="38">
        <f t="shared" ref="D413" si="513">+F412*(1+L413)</f>
        <v>44.081746321700372</v>
      </c>
      <c r="E413" s="92"/>
      <c r="F413">
        <v>44.08</v>
      </c>
      <c r="G413" s="42">
        <f t="shared" ref="G413" si="514">+B413/D413-1</f>
        <v>3.5900047412986691E-3</v>
      </c>
      <c r="H413" s="92"/>
      <c r="I413" s="93">
        <f t="shared" si="389"/>
        <v>3.6297640653357721E-3</v>
      </c>
      <c r="J413">
        <v>19598.05</v>
      </c>
      <c r="K413">
        <v>19479.509999999998</v>
      </c>
      <c r="L413" s="93">
        <f t="shared" ref="L413" si="515">+K413/J413-1</f>
        <v>-6.0485609537683782E-3</v>
      </c>
      <c r="M413" s="92">
        <f t="shared" ref="M413" si="516">WEEKDAY(A413,2)</f>
        <v>4</v>
      </c>
    </row>
    <row r="414" spans="1:13" ht="13.5" x14ac:dyDescent="0.15">
      <c r="A414" s="90">
        <v>42979</v>
      </c>
      <c r="B414">
        <v>44.26</v>
      </c>
      <c r="C414" s="93">
        <f t="shared" ref="C414" si="517">B414/B413-1</f>
        <v>4.5207956600346044E-4</v>
      </c>
      <c r="D414" s="38">
        <f t="shared" ref="D414" si="518">+F413*(1+L414)</f>
        <v>44.009262039958912</v>
      </c>
      <c r="E414" s="92"/>
      <c r="F414">
        <v>44.06</v>
      </c>
      <c r="G414" s="42">
        <f t="shared" ref="G414" si="519">+B414/D414-1</f>
        <v>5.6973906950184006E-3</v>
      </c>
      <c r="H414" s="92"/>
      <c r="I414" s="93">
        <f t="shared" si="389"/>
        <v>4.5392646391284597E-3</v>
      </c>
      <c r="J414">
        <v>19479.509999999998</v>
      </c>
      <c r="K414">
        <v>19448.25</v>
      </c>
      <c r="L414" s="93">
        <f t="shared" ref="L414" si="520">+K414/J414-1</f>
        <v>-1.6047631588268496E-3</v>
      </c>
      <c r="M414" s="92">
        <f t="shared" ref="M414" si="521">WEEKDAY(A414,2)</f>
        <v>5</v>
      </c>
    </row>
    <row r="415" spans="1:13" ht="13.5" x14ac:dyDescent="0.15">
      <c r="A415" s="90">
        <v>42982</v>
      </c>
      <c r="B415">
        <v>44.26</v>
      </c>
      <c r="C415" s="93">
        <f t="shared" ref="C415" si="522">B415/B414-1</f>
        <v>0</v>
      </c>
      <c r="D415" s="38">
        <f t="shared" ref="D415" si="523">+F414*(1+L415)</f>
        <v>43.642740308253963</v>
      </c>
      <c r="E415" s="92"/>
      <c r="F415">
        <v>43.64</v>
      </c>
      <c r="G415" s="42">
        <f t="shared" ref="G415" si="524">+B415/D415-1</f>
        <v>1.4143467788371167E-2</v>
      </c>
      <c r="H415" s="92"/>
      <c r="I415" s="93">
        <f t="shared" si="389"/>
        <v>1.4207149404216191E-2</v>
      </c>
      <c r="J415">
        <v>19448.25</v>
      </c>
      <c r="K415">
        <v>19264.07</v>
      </c>
      <c r="L415" s="93">
        <f t="shared" ref="L415" si="525">+K415/J415-1</f>
        <v>-9.4702608203822702E-3</v>
      </c>
      <c r="M415" s="92">
        <f t="shared" ref="M415" si="526">WEEKDAY(A415,2)</f>
        <v>1</v>
      </c>
    </row>
    <row r="416" spans="1:13" ht="13.5" x14ac:dyDescent="0.15">
      <c r="A416" s="90">
        <v>42983</v>
      </c>
      <c r="B416">
        <v>43.65</v>
      </c>
      <c r="C416" s="93">
        <f t="shared" ref="C416" si="527">B416/B415-1</f>
        <v>-1.3782196113872547E-2</v>
      </c>
      <c r="D416" s="38">
        <f t="shared" ref="D416" si="528">+F415*(1+L416)</f>
        <v>43.70521963427251</v>
      </c>
      <c r="E416" s="92"/>
      <c r="F416">
        <v>43.72</v>
      </c>
      <c r="G416" s="42">
        <f t="shared" ref="G416" si="529">+B416/D416-1</f>
        <v>-1.2634562812998684E-3</v>
      </c>
      <c r="H416" s="92"/>
      <c r="I416" s="93">
        <f t="shared" si="389"/>
        <v>-1.6010978956999544E-3</v>
      </c>
      <c r="J416">
        <v>19264.07</v>
      </c>
      <c r="K416">
        <v>19292.86</v>
      </c>
      <c r="L416" s="93">
        <f t="shared" ref="L416" si="530">+K416/J416-1</f>
        <v>1.4944920777384407E-3</v>
      </c>
      <c r="M416" s="92">
        <f t="shared" ref="M416" si="531">WEEKDAY(A416,2)</f>
        <v>2</v>
      </c>
    </row>
    <row r="417" spans="1:13" ht="13.5" x14ac:dyDescent="0.15">
      <c r="A417" s="90">
        <v>42984</v>
      </c>
      <c r="B417">
        <v>43.83</v>
      </c>
      <c r="C417" s="93">
        <f t="shared" ref="C417" si="532">B417/B416-1</f>
        <v>4.1237113402061709E-3</v>
      </c>
      <c r="D417" s="38">
        <f t="shared" ref="D417" si="533">+F416*(1+L417)</f>
        <v>43.578253986189708</v>
      </c>
      <c r="E417" s="92"/>
      <c r="F417">
        <v>43.58</v>
      </c>
      <c r="G417" s="42">
        <f t="shared" ref="G417" si="534">+B417/D417-1</f>
        <v>5.7768724256384019E-3</v>
      </c>
      <c r="H417" s="92"/>
      <c r="I417" s="93">
        <f t="shared" si="389"/>
        <v>5.7365764111978468E-3</v>
      </c>
      <c r="J417">
        <v>19292.86</v>
      </c>
      <c r="K417">
        <v>19230.310000000001</v>
      </c>
      <c r="L417" s="93">
        <f t="shared" ref="L417" si="535">+K417/J417-1</f>
        <v>-3.2421320633643225E-3</v>
      </c>
      <c r="M417" s="92">
        <f t="shared" ref="M417" si="536">WEEKDAY(A417,2)</f>
        <v>3</v>
      </c>
    </row>
    <row r="418" spans="1:13" ht="13.5" x14ac:dyDescent="0.15">
      <c r="A418" s="90">
        <v>42985</v>
      </c>
      <c r="B418">
        <v>43.97</v>
      </c>
      <c r="C418" s="93">
        <f t="shared" ref="C418" si="537">B418/B417-1</f>
        <v>3.1941592516542272E-3</v>
      </c>
      <c r="D418" s="38">
        <f t="shared" ref="D418" si="538">+F417*(1+L418)</f>
        <v>43.642819455328592</v>
      </c>
      <c r="E418" s="92"/>
      <c r="F418">
        <v>43.64</v>
      </c>
      <c r="G418" s="42">
        <f t="shared" ref="G418" si="539">+B418/D418-1</f>
        <v>7.4967783647961195E-3</v>
      </c>
      <c r="H418" s="92"/>
      <c r="I418" s="93">
        <f t="shared" si="389"/>
        <v>7.5618698441795029E-3</v>
      </c>
      <c r="J418">
        <v>19230.310000000001</v>
      </c>
      <c r="K418">
        <v>19258.03</v>
      </c>
      <c r="L418" s="93">
        <f t="shared" ref="L418" si="540">+K418/J418-1</f>
        <v>1.4414744224091613E-3</v>
      </c>
      <c r="M418" s="92">
        <f t="shared" ref="M418" si="541">WEEKDAY(A418,2)</f>
        <v>4</v>
      </c>
    </row>
    <row r="419" spans="1:13" ht="13.5" x14ac:dyDescent="0.15">
      <c r="A419" s="90">
        <v>42986</v>
      </c>
      <c r="B419">
        <v>43.79</v>
      </c>
      <c r="C419" s="93">
        <f t="shared" ref="C419" si="542">B419/B418-1</f>
        <v>-4.0937002501705289E-3</v>
      </c>
      <c r="D419" s="38">
        <f t="shared" ref="D419" si="543">+F418*(1+L419)</f>
        <v>43.782399695088237</v>
      </c>
      <c r="E419" s="92"/>
      <c r="F419">
        <v>43.82</v>
      </c>
      <c r="G419" s="42">
        <f t="shared" ref="G419" si="544">+B419/D419-1</f>
        <v>1.7359269854311243E-4</v>
      </c>
      <c r="H419" s="92"/>
      <c r="I419" s="93">
        <f t="shared" si="389"/>
        <v>-6.8461889548154797E-4</v>
      </c>
      <c r="J419">
        <v>19258.03</v>
      </c>
      <c r="K419">
        <v>19320.87</v>
      </c>
      <c r="L419" s="93">
        <f t="shared" ref="L419" si="545">+K419/J419-1</f>
        <v>3.2630544245699777E-3</v>
      </c>
      <c r="M419" s="92">
        <f t="shared" ref="M419" si="546">WEEKDAY(A419,2)</f>
        <v>5</v>
      </c>
    </row>
    <row r="420" spans="1:13" ht="13.5" x14ac:dyDescent="0.15">
      <c r="A420" s="90">
        <v>42989</v>
      </c>
      <c r="B420">
        <v>44.53</v>
      </c>
      <c r="C420" s="93">
        <f t="shared" ref="C420" si="547">B420/B419-1</f>
        <v>1.6898835350536601E-2</v>
      </c>
      <c r="D420" s="38">
        <f t="shared" ref="D420" si="548">+F419*(1+L420)</f>
        <v>44.288050010170352</v>
      </c>
      <c r="E420" s="92"/>
      <c r="F420">
        <v>44.31</v>
      </c>
      <c r="G420" s="42">
        <f t="shared" ref="G420" si="549">+B420/D420-1</f>
        <v>5.4630987314656654E-3</v>
      </c>
      <c r="H420" s="92"/>
      <c r="I420" s="93">
        <f t="shared" si="389"/>
        <v>4.9650191830286072E-3</v>
      </c>
      <c r="J420">
        <v>19320.87</v>
      </c>
      <c r="K420">
        <v>19527.240000000002</v>
      </c>
      <c r="L420" s="93">
        <f t="shared" ref="L420" si="550">+K420/J420-1</f>
        <v>1.0681196033097917E-2</v>
      </c>
      <c r="M420" s="92">
        <f t="shared" ref="M420" si="551">WEEKDAY(A420,2)</f>
        <v>1</v>
      </c>
    </row>
    <row r="421" spans="1:13" ht="13.5" x14ac:dyDescent="0.15">
      <c r="A421" s="90">
        <v>42990</v>
      </c>
      <c r="B421">
        <v>44.39</v>
      </c>
      <c r="C421" s="93">
        <f t="shared" ref="C421" si="552">B421/B420-1</f>
        <v>-3.1439479002919324E-3</v>
      </c>
      <c r="D421" s="38">
        <f t="shared" ref="D421" si="553">+F420*(1+L421)</f>
        <v>44.395296892955685</v>
      </c>
      <c r="E421" s="92"/>
      <c r="F421">
        <v>44.39</v>
      </c>
      <c r="G421" s="42">
        <f t="shared" ref="G421" si="554">+B421/D421-1</f>
        <v>-1.1931202911996674E-4</v>
      </c>
      <c r="H421" s="92"/>
      <c r="I421" s="93">
        <f t="shared" si="389"/>
        <v>0</v>
      </c>
      <c r="J421">
        <v>19527.240000000002</v>
      </c>
      <c r="K421">
        <v>19564.830000000002</v>
      </c>
      <c r="L421" s="93">
        <f t="shared" ref="L421" si="555">+K421/J421-1</f>
        <v>1.9250032262623229E-3</v>
      </c>
      <c r="M421" s="92">
        <f t="shared" ref="M421" si="556">WEEKDAY(A421,2)</f>
        <v>2</v>
      </c>
    </row>
    <row r="422" spans="1:13" ht="13.5" x14ac:dyDescent="0.15">
      <c r="A422" s="90">
        <v>42991</v>
      </c>
      <c r="B422">
        <v>44.08</v>
      </c>
      <c r="C422" s="93">
        <f t="shared" ref="C422" si="557">B422/B421-1</f>
        <v>-6.9835548546970383E-3</v>
      </c>
      <c r="D422" s="38">
        <f t="shared" ref="D422" si="558">+F421*(1+L422)</f>
        <v>44.192812756359238</v>
      </c>
      <c r="E422" s="92"/>
      <c r="F422">
        <v>44.21</v>
      </c>
      <c r="G422" s="42">
        <f t="shared" ref="G422" si="559">+B422/D422-1</f>
        <v>-2.5527398987068572E-3</v>
      </c>
      <c r="H422" s="92"/>
      <c r="I422" s="93">
        <f t="shared" si="389"/>
        <v>-2.9405111965619124E-3</v>
      </c>
      <c r="J422">
        <v>19564.830000000002</v>
      </c>
      <c r="K422">
        <v>19477.919999999998</v>
      </c>
      <c r="L422" s="93">
        <f t="shared" ref="L422" si="560">+K422/J422-1</f>
        <v>-4.4421546213283536E-3</v>
      </c>
      <c r="M422" s="92">
        <f t="shared" ref="M422" si="561">WEEKDAY(A422,2)</f>
        <v>3</v>
      </c>
    </row>
    <row r="423" spans="1:13" ht="13.5" x14ac:dyDescent="0.15">
      <c r="A423" s="90">
        <v>42992</v>
      </c>
      <c r="B423">
        <v>44.01</v>
      </c>
      <c r="C423" s="93">
        <f t="shared" ref="C423" si="562">B423/B422-1</f>
        <v>-1.5880217785844142E-3</v>
      </c>
      <c r="D423" s="38">
        <f t="shared" ref="D423" si="563">+F422*(1+L423)</f>
        <v>44.025514757222545</v>
      </c>
      <c r="E423" s="92"/>
      <c r="F423">
        <v>44.03</v>
      </c>
      <c r="G423" s="42">
        <f t="shared" ref="G423" si="564">+B423/D423-1</f>
        <v>-3.5240376650003125E-4</v>
      </c>
      <c r="H423" s="92"/>
      <c r="I423" s="93">
        <f t="shared" si="389"/>
        <v>-4.5423574835345981E-4</v>
      </c>
      <c r="J423">
        <v>19477.919999999998</v>
      </c>
      <c r="K423">
        <v>19396.64</v>
      </c>
      <c r="L423" s="93">
        <f t="shared" ref="L423" si="565">+K423/J423-1</f>
        <v>-4.1729301691350029E-3</v>
      </c>
      <c r="M423" s="92">
        <f t="shared" ref="M423" si="566">WEEKDAY(A423,2)</f>
        <v>4</v>
      </c>
    </row>
    <row r="424" spans="1:13" ht="13.5" x14ac:dyDescent="0.15">
      <c r="A424" s="90">
        <v>42993</v>
      </c>
      <c r="B424">
        <v>44.34</v>
      </c>
      <c r="C424" s="93">
        <f t="shared" ref="C424" si="567">B424/B423-1</f>
        <v>7.4982958418543522E-3</v>
      </c>
      <c r="D424" s="38">
        <f t="shared" ref="D424" si="568">+F423*(1+L424)</f>
        <v>44.117507759075799</v>
      </c>
      <c r="E424" s="92"/>
      <c r="F424">
        <v>44.11</v>
      </c>
      <c r="G424" s="42">
        <f t="shared" ref="G424" si="569">+B424/D424-1</f>
        <v>5.0431733845717197E-3</v>
      </c>
      <c r="H424" s="92"/>
      <c r="I424" s="93">
        <f t="shared" si="389"/>
        <v>5.2142371344368055E-3</v>
      </c>
      <c r="J424">
        <v>19396.64</v>
      </c>
      <c r="K424">
        <v>19435.189999999999</v>
      </c>
      <c r="L424" s="93">
        <f t="shared" ref="L424" si="570">+K424/J424-1</f>
        <v>1.9874576215261897E-3</v>
      </c>
      <c r="M424" s="92">
        <f t="shared" ref="M424" si="571">WEEKDAY(A424,2)</f>
        <v>5</v>
      </c>
    </row>
    <row r="425" spans="1:13" ht="13.5" x14ac:dyDescent="0.15">
      <c r="A425" s="90">
        <v>42996</v>
      </c>
      <c r="B425">
        <v>44.82</v>
      </c>
      <c r="C425" s="93">
        <f t="shared" ref="C425" si="572">B425/B424-1</f>
        <v>1.0825439783491042E-2</v>
      </c>
      <c r="D425" s="38">
        <f t="shared" ref="D425" si="573">+F424*(1+L425)</f>
        <v>44.872424874673214</v>
      </c>
      <c r="E425" s="92"/>
      <c r="F425">
        <v>44.87</v>
      </c>
      <c r="G425" s="42">
        <f t="shared" ref="G425" si="574">+B425/D425-1</f>
        <v>-1.1683093752931084E-3</v>
      </c>
      <c r="H425" s="92"/>
      <c r="I425" s="93">
        <f t="shared" si="389"/>
        <v>-1.1143302874971894E-3</v>
      </c>
      <c r="J425">
        <v>19435.189999999999</v>
      </c>
      <c r="K425">
        <v>19771.12</v>
      </c>
      <c r="L425" s="93">
        <f t="shared" ref="L425" si="575">+K425/J425-1</f>
        <v>1.7284626494518562E-2</v>
      </c>
      <c r="M425" s="92">
        <f t="shared" ref="M425" si="576">WEEKDAY(A425,2)</f>
        <v>1</v>
      </c>
    </row>
    <row r="426" spans="1:13" ht="13.5" x14ac:dyDescent="0.15">
      <c r="A426" s="90">
        <v>42997</v>
      </c>
      <c r="B426">
        <v>44.88</v>
      </c>
      <c r="C426" s="93">
        <f t="shared" ref="C426" si="577">B426/B425-1</f>
        <v>1.3386880856760541E-3</v>
      </c>
      <c r="D426" s="38">
        <f t="shared" ref="D426" si="578">+F425*(1+L426)</f>
        <v>44.74772085749315</v>
      </c>
      <c r="E426" s="92"/>
      <c r="F426">
        <v>44.75</v>
      </c>
      <c r="G426" s="42">
        <f t="shared" ref="G426" si="579">+B426/D426-1</f>
        <v>2.9561090480589858E-3</v>
      </c>
      <c r="H426" s="92"/>
      <c r="I426" s="93">
        <f t="shared" si="389"/>
        <v>2.9050279329609907E-3</v>
      </c>
      <c r="J426">
        <v>19771.12</v>
      </c>
      <c r="K426">
        <v>19717.240000000002</v>
      </c>
      <c r="L426" s="93">
        <f t="shared" ref="L426" si="580">+K426/J426-1</f>
        <v>-2.7251870404912948E-3</v>
      </c>
      <c r="M426" s="92">
        <f t="shared" ref="M426" si="581">WEEKDAY(A426,2)</f>
        <v>2</v>
      </c>
    </row>
    <row r="427" spans="1:13" ht="13.5" x14ac:dyDescent="0.15">
      <c r="A427" s="90">
        <v>42998</v>
      </c>
      <c r="B427">
        <v>44.96</v>
      </c>
      <c r="C427" s="93">
        <f t="shared" ref="C427" si="582">B427/B426-1</f>
        <v>1.7825311942958333E-3</v>
      </c>
      <c r="D427" s="38">
        <f t="shared" ref="D427" si="583">+F426*(1+L427)</f>
        <v>45.034515479854178</v>
      </c>
      <c r="E427" s="92"/>
      <c r="F427">
        <v>45.03</v>
      </c>
      <c r="G427" s="42">
        <f t="shared" ref="G427" si="584">+B427/D427-1</f>
        <v>-1.6546304331288564E-3</v>
      </c>
      <c r="H427" s="92"/>
      <c r="I427" s="93">
        <f t="shared" si="389"/>
        <v>-1.554519209415961E-3</v>
      </c>
      <c r="J427">
        <v>19717.240000000002</v>
      </c>
      <c r="K427">
        <v>19842.599999999999</v>
      </c>
      <c r="L427" s="93">
        <f t="shared" ref="L427" si="585">+K427/J427-1</f>
        <v>6.3578878179704201E-3</v>
      </c>
      <c r="M427" s="92">
        <f t="shared" ref="M427" si="586">WEEKDAY(A427,2)</f>
        <v>3</v>
      </c>
    </row>
    <row r="428" spans="1:13" ht="13.5" x14ac:dyDescent="0.15">
      <c r="A428" s="90">
        <v>42999</v>
      </c>
      <c r="B428">
        <v>45.07</v>
      </c>
      <c r="C428" s="93">
        <f t="shared" ref="C428" si="587">B428/B427-1</f>
        <v>2.4466192170817802E-3</v>
      </c>
      <c r="D428" s="38">
        <f t="shared" ref="D428" si="588">+F427*(1+L428)</f>
        <v>45.11112961507061</v>
      </c>
      <c r="E428" s="92"/>
      <c r="F428">
        <v>45.11</v>
      </c>
      <c r="G428" s="42">
        <f t="shared" ref="G428" si="589">+B428/D428-1</f>
        <v>-9.1173986157222497E-4</v>
      </c>
      <c r="H428" s="92"/>
      <c r="I428" s="93">
        <f t="shared" si="389"/>
        <v>-8.8672134781642153E-4</v>
      </c>
      <c r="J428">
        <v>19842.599999999999</v>
      </c>
      <c r="K428">
        <v>19878.349999999999</v>
      </c>
      <c r="L428" s="93">
        <f t="shared" ref="L428" si="590">+K428/J428-1</f>
        <v>1.8016792154254002E-3</v>
      </c>
      <c r="M428" s="92">
        <f t="shared" ref="M428" si="591">WEEKDAY(A428,2)</f>
        <v>4</v>
      </c>
    </row>
    <row r="429" spans="1:13" ht="13.5" x14ac:dyDescent="0.15">
      <c r="A429" s="90">
        <v>43000</v>
      </c>
      <c r="B429">
        <v>44.58</v>
      </c>
      <c r="C429" s="93">
        <f t="shared" ref="C429" si="592">B429/B428-1</f>
        <v>-1.0871976924783699E-2</v>
      </c>
      <c r="D429" s="38">
        <f t="shared" ref="D429" si="593">+F428*(1+L429)</f>
        <v>44.626956155817773</v>
      </c>
      <c r="E429" s="92"/>
      <c r="F429">
        <v>44.63</v>
      </c>
      <c r="G429" s="42">
        <f t="shared" ref="G429" si="594">+B429/D429-1</f>
        <v>-1.0521926625204348E-3</v>
      </c>
      <c r="H429" s="92"/>
      <c r="I429" s="93">
        <f t="shared" si="389"/>
        <v>-1.1203226529241661E-3</v>
      </c>
      <c r="J429">
        <v>19878.349999999999</v>
      </c>
      <c r="K429">
        <v>19665.490000000002</v>
      </c>
      <c r="L429" s="93">
        <f t="shared" ref="L429" si="595">+K429/J429-1</f>
        <v>-1.0708132214192645E-2</v>
      </c>
      <c r="M429" s="92">
        <f t="shared" ref="M429" si="596">WEEKDAY(A429,2)</f>
        <v>5</v>
      </c>
    </row>
    <row r="430" spans="1:13" ht="13.5" x14ac:dyDescent="0.15">
      <c r="A430" s="90">
        <v>43003</v>
      </c>
      <c r="B430">
        <v>43.39</v>
      </c>
      <c r="C430" s="93">
        <f t="shared" ref="C430" si="597">B430/B429-1</f>
        <v>-2.6693584567070383E-2</v>
      </c>
      <c r="D430" s="38">
        <f t="shared" ref="D430" si="598">+F429*(1+L430)</f>
        <v>43.578242469422321</v>
      </c>
      <c r="E430" s="92"/>
      <c r="F430">
        <v>43.59</v>
      </c>
      <c r="G430" s="42">
        <f t="shared" ref="G430" si="599">+B430/D430-1</f>
        <v>-4.3196434448774523E-3</v>
      </c>
      <c r="H430" s="92"/>
      <c r="I430" s="93">
        <f t="shared" si="389"/>
        <v>-4.5882083046571154E-3</v>
      </c>
      <c r="J430">
        <v>19665.490000000002</v>
      </c>
      <c r="K430">
        <v>19202.05</v>
      </c>
      <c r="L430" s="93">
        <f t="shared" ref="L430" si="600">+K430/J430-1</f>
        <v>-2.3566155737792527E-2</v>
      </c>
      <c r="M430" s="92">
        <f t="shared" ref="M430" si="601">WEEKDAY(A430,2)</f>
        <v>1</v>
      </c>
    </row>
    <row r="431" spans="1:13" ht="13.5" x14ac:dyDescent="0.15">
      <c r="A431" s="90">
        <v>43004</v>
      </c>
      <c r="B431">
        <v>43.74</v>
      </c>
      <c r="C431" s="93">
        <f t="shared" ref="C431" si="602">B431/B430-1</f>
        <v>8.0663747407236919E-3</v>
      </c>
      <c r="D431" s="38">
        <f t="shared" ref="D431" si="603">+F430*(1+L431)</f>
        <v>43.788449530128304</v>
      </c>
      <c r="E431" s="92"/>
      <c r="F431">
        <v>43.78</v>
      </c>
      <c r="G431" s="42">
        <f t="shared" ref="G431" si="604">+B431/D431-1</f>
        <v>-1.1064454359126508E-3</v>
      </c>
      <c r="H431" s="92"/>
      <c r="I431" s="93">
        <f t="shared" si="389"/>
        <v>-9.1365920511643495E-4</v>
      </c>
      <c r="J431">
        <v>19202.05</v>
      </c>
      <c r="K431">
        <v>19289.47</v>
      </c>
      <c r="L431" s="93">
        <f t="shared" ref="L431" si="605">+K431/J431-1</f>
        <v>4.5526389109498133E-3</v>
      </c>
      <c r="M431" s="92">
        <f t="shared" ref="M431" si="606">WEEKDAY(A431,2)</f>
        <v>2</v>
      </c>
    </row>
    <row r="432" spans="1:13" ht="13.5" x14ac:dyDescent="0.15">
      <c r="A432" s="90">
        <v>43005</v>
      </c>
      <c r="B432">
        <v>43.9</v>
      </c>
      <c r="C432" s="93">
        <f t="shared" ref="C432" si="607">B432/B431-1</f>
        <v>3.6579789666209006E-3</v>
      </c>
      <c r="D432" s="38">
        <f t="shared" ref="D432" si="608">+F431*(1+L432)</f>
        <v>44.148406679913968</v>
      </c>
      <c r="E432" s="92"/>
      <c r="F432">
        <v>44.15</v>
      </c>
      <c r="G432" s="42">
        <f t="shared" ref="G432" si="609">+B432/D432-1</f>
        <v>-5.6266284243273734E-3</v>
      </c>
      <c r="H432" s="92"/>
      <c r="I432" s="93">
        <f t="shared" si="389"/>
        <v>-5.6625141562853809E-3</v>
      </c>
      <c r="J432">
        <v>19289.47</v>
      </c>
      <c r="K432">
        <v>19451.79</v>
      </c>
      <c r="L432" s="93">
        <f t="shared" ref="L432" si="610">+K432/J432-1</f>
        <v>8.4149538582449779E-3</v>
      </c>
      <c r="M432" s="92">
        <f t="shared" ref="M432" si="611">WEEKDAY(A432,2)</f>
        <v>3</v>
      </c>
    </row>
    <row r="433" spans="1:14" ht="13.5" x14ac:dyDescent="0.15">
      <c r="A433" s="90">
        <v>43006</v>
      </c>
      <c r="B433">
        <v>43.53</v>
      </c>
      <c r="C433" s="93">
        <f t="shared" ref="C433" si="612">B433/B432-1</f>
        <v>-8.4282460136673176E-3</v>
      </c>
      <c r="D433" s="38">
        <f t="shared" ref="D433" si="613">+F432*(1+L433)</f>
        <v>43.487470484721456</v>
      </c>
      <c r="E433" s="92"/>
      <c r="F433">
        <v>43.49</v>
      </c>
      <c r="G433" s="42">
        <f t="shared" ref="G433" si="614">+B433/D433-1</f>
        <v>9.7797169631852476E-4</v>
      </c>
      <c r="H433" s="92"/>
      <c r="I433" s="93">
        <f t="shared" si="389"/>
        <v>9.1975166704982847E-4</v>
      </c>
      <c r="J433">
        <v>19451.79</v>
      </c>
      <c r="K433">
        <v>19159.89</v>
      </c>
      <c r="L433" s="93">
        <f t="shared" ref="L433" si="615">+K433/J433-1</f>
        <v>-1.5006331036886644E-2</v>
      </c>
      <c r="M433" s="92">
        <f t="shared" ref="M433" si="616">WEEKDAY(A433,2)</f>
        <v>4</v>
      </c>
    </row>
    <row r="434" spans="1:14" ht="13.5" x14ac:dyDescent="0.15">
      <c r="A434" s="90">
        <v>43007</v>
      </c>
      <c r="B434">
        <v>44.04</v>
      </c>
      <c r="C434" s="93">
        <f t="shared" ref="C434" si="617">B434/B433-1</f>
        <v>1.1716057891109521E-2</v>
      </c>
      <c r="D434" s="38">
        <f t="shared" ref="D434" si="618">+F433*(1+L434)</f>
        <v>43.686977237343221</v>
      </c>
      <c r="E434" s="92"/>
      <c r="F434">
        <v>43.69</v>
      </c>
      <c r="G434" s="42">
        <f t="shared" ref="G434" si="619">+B434/D434-1</f>
        <v>8.0807321765219431E-3</v>
      </c>
      <c r="H434" s="92"/>
      <c r="I434" s="93">
        <f t="shared" si="389"/>
        <v>8.010986495765593E-3</v>
      </c>
      <c r="J434">
        <v>19159.89</v>
      </c>
      <c r="K434">
        <v>19246.669999999998</v>
      </c>
      <c r="L434" s="93">
        <f t="shared" ref="L434" si="620">+K434/J434-1</f>
        <v>4.5292535604326556E-3</v>
      </c>
      <c r="M434" s="92">
        <f t="shared" ref="M434" si="621">WEEKDAY(A434,2)</f>
        <v>5</v>
      </c>
    </row>
    <row r="435" spans="1:14" ht="13.5" x14ac:dyDescent="0.15">
      <c r="A435" s="90">
        <v>43010</v>
      </c>
      <c r="B435">
        <v>44.18</v>
      </c>
      <c r="C435" s="93">
        <f t="shared" ref="C435" si="622">B435/B434-1</f>
        <v>3.1789282470482405E-3</v>
      </c>
      <c r="D435" s="38">
        <f t="shared" ref="D435" si="623">+F434*(1+L435)</f>
        <v>43.69</v>
      </c>
      <c r="E435" s="92"/>
      <c r="F435">
        <v>43.7</v>
      </c>
      <c r="G435" s="42">
        <f t="shared" ref="G435" si="624">+B435/D435-1</f>
        <v>1.121538109407183E-2</v>
      </c>
      <c r="H435" s="92"/>
      <c r="I435" s="93">
        <f t="shared" si="389"/>
        <v>1.0983981693363676E-2</v>
      </c>
      <c r="J435">
        <v>19246.669999999998</v>
      </c>
      <c r="K435">
        <v>19246.669999999998</v>
      </c>
      <c r="L435" s="93">
        <f t="shared" ref="L435" si="625">+K435/J435-1</f>
        <v>0</v>
      </c>
      <c r="M435" s="92">
        <f t="shared" ref="M435" si="626">WEEKDAY(A435,2)</f>
        <v>1</v>
      </c>
    </row>
    <row r="436" spans="1:14" ht="13.5" x14ac:dyDescent="0.15">
      <c r="A436" s="90">
        <v>43011</v>
      </c>
      <c r="B436">
        <v>45.53</v>
      </c>
      <c r="C436" s="93">
        <f t="shared" ref="C436" si="627">B436/B435-1</f>
        <v>3.0556813037573516E-2</v>
      </c>
      <c r="D436" s="38">
        <f t="shared" ref="D436" si="628">+F435*(1+L436)</f>
        <v>45.221409106094725</v>
      </c>
      <c r="E436" s="92"/>
      <c r="F436">
        <v>45.21</v>
      </c>
      <c r="G436" s="42">
        <f t="shared" ref="G436" si="629">+B436/D436-1</f>
        <v>6.8239999594281731E-3</v>
      </c>
      <c r="H436" s="92"/>
      <c r="I436" s="93">
        <f t="shared" si="389"/>
        <v>7.0780800707808122E-3</v>
      </c>
      <c r="J436">
        <v>19246.669999999998</v>
      </c>
      <c r="K436">
        <v>19916.740000000002</v>
      </c>
      <c r="L436" s="93">
        <f t="shared" ref="L436" si="630">+K436/J436-1</f>
        <v>3.4814853686378155E-2</v>
      </c>
      <c r="M436" s="92">
        <f t="shared" ref="M436" si="631">WEEKDAY(A436,2)</f>
        <v>2</v>
      </c>
      <c r="N436" s="50" t="s">
        <v>462</v>
      </c>
    </row>
    <row r="437" spans="1:14" ht="13.5" x14ac:dyDescent="0.15">
      <c r="A437" s="90">
        <v>43012</v>
      </c>
      <c r="B437">
        <v>45.64</v>
      </c>
      <c r="C437" s="93">
        <f t="shared" ref="C437" si="632">B437/B436-1</f>
        <v>2.4159894575004337E-3</v>
      </c>
      <c r="D437" s="38">
        <f t="shared" ref="D437" si="633">+F436*(1+L437)</f>
        <v>45.691047761832507</v>
      </c>
      <c r="E437" s="92"/>
      <c r="F437">
        <v>45.69</v>
      </c>
      <c r="G437" s="42">
        <f t="shared" ref="G437" si="634">+B437/D437-1</f>
        <v>-1.1172377157686597E-3</v>
      </c>
      <c r="H437" s="92"/>
      <c r="I437" s="93">
        <f t="shared" si="389"/>
        <v>-1.0943313635368712E-3</v>
      </c>
      <c r="J437">
        <v>19916.740000000002</v>
      </c>
      <c r="K437">
        <v>20128.66</v>
      </c>
      <c r="L437" s="93">
        <f t="shared" ref="L437" si="635">+K437/J437-1</f>
        <v>1.0640295550376155E-2</v>
      </c>
      <c r="M437" s="92">
        <f t="shared" ref="M437" si="636">WEEKDAY(A437,2)</f>
        <v>3</v>
      </c>
      <c r="N437" s="50" t="s">
        <v>464</v>
      </c>
    </row>
    <row r="438" spans="1:14" ht="13.5" x14ac:dyDescent="0.15">
      <c r="A438" s="90">
        <v>43013</v>
      </c>
      <c r="B438">
        <v>46.37</v>
      </c>
      <c r="C438" s="93">
        <f t="shared" ref="C438" si="637">B438/B437-1</f>
        <v>1.5994741454864014E-2</v>
      </c>
      <c r="D438" s="38">
        <f t="shared" ref="D438" si="638">+F437*(1+L438)</f>
        <v>45.69</v>
      </c>
      <c r="E438" s="92"/>
      <c r="F438">
        <v>45.67</v>
      </c>
      <c r="G438" s="42">
        <f t="shared" ref="G438" si="639">+B438/D438-1</f>
        <v>1.4882906544101626E-2</v>
      </c>
      <c r="H438" s="92"/>
      <c r="I438" s="93">
        <f t="shared" si="389"/>
        <v>1.5327348368732174E-2</v>
      </c>
      <c r="J438">
        <v>20128.66</v>
      </c>
      <c r="K438">
        <v>20128.66</v>
      </c>
      <c r="L438" s="93">
        <f t="shared" ref="L438" si="640">+K438/J438-1</f>
        <v>0</v>
      </c>
      <c r="M438" s="92">
        <f t="shared" ref="M438" si="641">WEEKDAY(A438,2)</f>
        <v>4</v>
      </c>
      <c r="N438" s="50" t="s">
        <v>467</v>
      </c>
    </row>
    <row r="439" spans="1:14" ht="13.5" x14ac:dyDescent="0.15">
      <c r="A439" s="90">
        <v>43014</v>
      </c>
      <c r="B439">
        <v>45.82</v>
      </c>
      <c r="C439" s="93">
        <f t="shared" ref="C439" si="642">B439/B438-1</f>
        <v>-1.1861117101574226E-2</v>
      </c>
      <c r="D439" s="38">
        <f t="shared" ref="D439" si="643">+F438*(1+L439)</f>
        <v>45.955382762687627</v>
      </c>
      <c r="E439" s="92"/>
      <c r="F439">
        <v>45.97</v>
      </c>
      <c r="G439" s="42">
        <f t="shared" ref="G439" si="644">+B439/D439-1</f>
        <v>-2.9459609418713839E-3</v>
      </c>
      <c r="H439" s="92"/>
      <c r="I439" s="93">
        <f t="shared" si="389"/>
        <v>-3.2629976071351097E-3</v>
      </c>
      <c r="J439">
        <v>20128.66</v>
      </c>
      <c r="K439">
        <v>20254.439999999999</v>
      </c>
      <c r="L439" s="93">
        <f t="shared" ref="L439" si="645">+K439/J439-1</f>
        <v>6.2488014602064545E-3</v>
      </c>
      <c r="M439" s="92">
        <f t="shared" ref="M439" si="646">WEEKDAY(A439,2)</f>
        <v>5</v>
      </c>
      <c r="N439" s="50" t="s">
        <v>471</v>
      </c>
    </row>
    <row r="440" spans="1:14" ht="13.5" x14ac:dyDescent="0.15">
      <c r="A440" s="90">
        <v>43017</v>
      </c>
      <c r="B440">
        <v>45.63</v>
      </c>
      <c r="C440" s="93">
        <f t="shared" ref="C440" si="647">B440/B439-1</f>
        <v>-4.1466608467917165E-3</v>
      </c>
      <c r="D440" s="38">
        <f t="shared" ref="D440" si="648">+F439*(1+L440)</f>
        <v>45.560468716982555</v>
      </c>
      <c r="E440" s="92"/>
      <c r="F440">
        <v>45.56</v>
      </c>
      <c r="G440" s="42">
        <f t="shared" ref="G440" si="649">+B440/D440-1</f>
        <v>1.5261318633346121E-3</v>
      </c>
      <c r="H440" s="92"/>
      <c r="I440" s="93">
        <f t="shared" si="389"/>
        <v>1.5364354697102733E-3</v>
      </c>
      <c r="J440">
        <v>20254.439999999999</v>
      </c>
      <c r="K440">
        <v>20074</v>
      </c>
      <c r="L440" s="93">
        <f t="shared" ref="L440" si="650">+K440/J440-1</f>
        <v>-8.9086639768859444E-3</v>
      </c>
      <c r="M440" s="92">
        <f t="shared" ref="M440" si="651">WEEKDAY(A440,2)</f>
        <v>1</v>
      </c>
      <c r="N440" s="50" t="s">
        <v>478</v>
      </c>
    </row>
    <row r="441" spans="1:14" ht="13.5" x14ac:dyDescent="0.15">
      <c r="A441" s="90">
        <v>43018</v>
      </c>
      <c r="B441">
        <v>46.03</v>
      </c>
      <c r="C441" s="93">
        <f t="shared" ref="C441" si="652">B441/B440-1</f>
        <v>8.7661626123163305E-3</v>
      </c>
      <c r="D441" s="38">
        <f t="shared" ref="D441" si="653">+F440*(1+L441)</f>
        <v>45.750964351897984</v>
      </c>
      <c r="E441" s="92"/>
      <c r="F441">
        <v>45.75</v>
      </c>
      <c r="G441" s="42">
        <f t="shared" ref="G441" si="654">+B441/D441-1</f>
        <v>6.0990112898120508E-3</v>
      </c>
      <c r="H441" s="92"/>
      <c r="I441" s="93">
        <f t="shared" si="389"/>
        <v>6.1202185792350594E-3</v>
      </c>
      <c r="J441">
        <v>20074</v>
      </c>
      <c r="K441">
        <v>20158.14</v>
      </c>
      <c r="L441" s="93">
        <f t="shared" ref="L441" si="655">+K441/J441-1</f>
        <v>4.1914914815184279E-3</v>
      </c>
      <c r="M441" s="92">
        <f t="shared" ref="M441" si="656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657">B442/B441-1</f>
        <v>-3.9104931566369405E-3</v>
      </c>
      <c r="D442" s="38">
        <f t="shared" ref="D442" si="658">+F441*(1+L442)</f>
        <v>45.626445445859595</v>
      </c>
      <c r="E442" s="92"/>
      <c r="F442">
        <v>45.62</v>
      </c>
      <c r="G442" s="42">
        <f t="shared" ref="G442" si="659">+B442/D442-1</f>
        <v>4.8996706176833715E-3</v>
      </c>
      <c r="H442" s="92"/>
      <c r="I442" s="93">
        <f t="shared" si="389"/>
        <v>5.0416483998247941E-3</v>
      </c>
      <c r="J442">
        <v>20158.14</v>
      </c>
      <c r="K442">
        <v>20103.7</v>
      </c>
      <c r="L442" s="93">
        <f t="shared" ref="L442" si="660">+K442/J442-1</f>
        <v>-2.7006459921400383E-3</v>
      </c>
      <c r="M442" s="92">
        <f t="shared" ref="M442" si="661">WEEKDAY(A442,2)</f>
        <v>3</v>
      </c>
      <c r="N442" s="50" t="s">
        <v>485</v>
      </c>
    </row>
    <row r="443" spans="1:14" ht="13.5" x14ac:dyDescent="0.15">
      <c r="A443" s="90">
        <v>43020</v>
      </c>
      <c r="B443">
        <v>45.87</v>
      </c>
      <c r="C443" s="93">
        <f t="shared" ref="C443" si="662">B443/B442-1</f>
        <v>4.3620501635754927E-4</v>
      </c>
      <c r="D443" s="38">
        <f t="shared" ref="D443" si="663">+F442*(1+L443)</f>
        <v>45.859426881618802</v>
      </c>
      <c r="E443" s="92"/>
      <c r="F443">
        <v>45.86</v>
      </c>
      <c r="G443" s="42">
        <f t="shared" ref="G443" si="664">+B443/D443-1</f>
        <v>2.3055496110946372E-4</v>
      </c>
      <c r="H443" s="92"/>
      <c r="I443" s="93">
        <f t="shared" si="389"/>
        <v>2.1805494984739049E-4</v>
      </c>
      <c r="J443">
        <v>20103.7</v>
      </c>
      <c r="K443">
        <v>20209.21</v>
      </c>
      <c r="L443" s="93">
        <f t="shared" ref="L443" si="665">+K443/J443-1</f>
        <v>5.2482876286454871E-3</v>
      </c>
      <c r="M443" s="92">
        <f t="shared" ref="M443" si="666">WEEKDAY(A443,2)</f>
        <v>4</v>
      </c>
    </row>
    <row r="444" spans="1:14" ht="13.5" x14ac:dyDescent="0.15">
      <c r="A444" s="90">
        <v>43021</v>
      </c>
      <c r="B444">
        <v>46.23</v>
      </c>
      <c r="C444" s="93">
        <f t="shared" ref="C444" si="667">B444/B443-1</f>
        <v>7.8482668410726486E-3</v>
      </c>
      <c r="D444" s="38">
        <f t="shared" ref="D444" si="668">+F443*(1+L444)</f>
        <v>45.922608949088065</v>
      </c>
      <c r="E444" s="92"/>
      <c r="F444">
        <v>45.92</v>
      </c>
      <c r="G444" s="42">
        <f t="shared" ref="G444" si="669">+B444/D444-1</f>
        <v>6.6936756849489409E-3</v>
      </c>
      <c r="H444" s="92"/>
      <c r="I444" s="93">
        <f t="shared" si="389"/>
        <v>6.7508710801391647E-3</v>
      </c>
      <c r="J444">
        <v>20209.21</v>
      </c>
      <c r="K444">
        <v>20236.8</v>
      </c>
      <c r="L444" s="93">
        <f t="shared" ref="L444" si="670">+K444/J444-1</f>
        <v>1.3652191253394896E-3</v>
      </c>
      <c r="M444" s="92">
        <f t="shared" ref="M444" si="671">WEEKDAY(A444,2)</f>
        <v>5</v>
      </c>
    </row>
    <row r="445" spans="1:14" ht="13.5" x14ac:dyDescent="0.15">
      <c r="A445" s="90">
        <v>43024</v>
      </c>
      <c r="B445">
        <v>46.3</v>
      </c>
      <c r="C445" s="93">
        <f t="shared" ref="C445" si="672">B445/B444-1</f>
        <v>1.51416828898987E-3</v>
      </c>
      <c r="D445" s="38">
        <f t="shared" ref="D445" si="673">+F444*(1+L445)</f>
        <v>46.239562065148647</v>
      </c>
      <c r="E445" s="92"/>
      <c r="F445">
        <v>46.24</v>
      </c>
      <c r="G445" s="42">
        <f t="shared" ref="G445" si="674">+B445/D445-1</f>
        <v>1.3070611431440504E-3</v>
      </c>
      <c r="H445" s="92"/>
      <c r="I445" s="93">
        <f t="shared" si="389"/>
        <v>1.2975778546711059E-3</v>
      </c>
      <c r="J445">
        <v>20236.8</v>
      </c>
      <c r="K445">
        <v>20377.63</v>
      </c>
      <c r="L445" s="93">
        <f t="shared" ref="L445" si="675">+K445/J445-1</f>
        <v>6.9591042061987185E-3</v>
      </c>
      <c r="M445" s="92">
        <f t="shared" ref="M445" si="676">WEEKDAY(A445,2)</f>
        <v>1</v>
      </c>
      <c r="N445" s="50" t="s">
        <v>499</v>
      </c>
    </row>
    <row r="446" spans="1:14" ht="13.5" x14ac:dyDescent="0.15">
      <c r="A446" s="90">
        <v>43025</v>
      </c>
      <c r="B446">
        <v>46.02</v>
      </c>
      <c r="C446" s="93">
        <f t="shared" ref="C446" si="677">B446/B445-1</f>
        <v>-6.0475161987040282E-3</v>
      </c>
      <c r="D446" s="38">
        <f t="shared" ref="D446" si="678">+F445*(1+L446)</f>
        <v>46.14707810476488</v>
      </c>
      <c r="E446" s="92"/>
      <c r="F446">
        <v>46.15</v>
      </c>
      <c r="G446" s="42">
        <f t="shared" ref="G446" si="679">+B446/D446-1</f>
        <v>-2.7537627512705942E-3</v>
      </c>
      <c r="H446" s="92"/>
      <c r="I446" s="93">
        <f t="shared" si="389"/>
        <v>-2.8169014084505895E-3</v>
      </c>
      <c r="J446">
        <v>20377.63</v>
      </c>
      <c r="K446">
        <v>20336.68</v>
      </c>
      <c r="L446" s="93">
        <f t="shared" ref="L446" si="680">+K446/J446-1</f>
        <v>-2.009556557852954E-3</v>
      </c>
      <c r="M446" s="92">
        <f t="shared" ref="M446" si="681">WEEKDAY(A446,2)</f>
        <v>2</v>
      </c>
    </row>
    <row r="447" spans="1:14" ht="13.5" x14ac:dyDescent="0.15">
      <c r="A447" s="90">
        <v>43026</v>
      </c>
      <c r="B447">
        <v>46.47</v>
      </c>
      <c r="C447" s="93">
        <f t="shared" ref="C447" si="682">B447/B446-1</f>
        <v>9.7783572359841919E-3</v>
      </c>
      <c r="D447" s="38">
        <f t="shared" ref="D447" si="683">+F446*(1+L447)</f>
        <v>46.323692116904041</v>
      </c>
      <c r="E447" s="92"/>
      <c r="F447">
        <v>46.32</v>
      </c>
      <c r="G447" s="42">
        <f t="shared" ref="G447" si="684">+B447/D447-1</f>
        <v>3.1583813036044628E-3</v>
      </c>
      <c r="H447" s="92"/>
      <c r="I447" s="93">
        <f t="shared" si="389"/>
        <v>3.2383419689119286E-3</v>
      </c>
      <c r="J447">
        <v>20336.68</v>
      </c>
      <c r="K447">
        <v>20413.22</v>
      </c>
      <c r="L447" s="93">
        <f t="shared" ref="L447" si="685">+K447/J447-1</f>
        <v>3.763642836490666E-3</v>
      </c>
      <c r="M447" s="92">
        <f t="shared" ref="M447" si="686">WEEKDAY(A447,2)</f>
        <v>3</v>
      </c>
    </row>
    <row r="448" spans="1:14" ht="13.5" x14ac:dyDescent="0.15">
      <c r="A448" s="90">
        <v>43027</v>
      </c>
      <c r="B448">
        <v>45.56</v>
      </c>
      <c r="C448" s="93">
        <f t="shared" ref="C448" si="687">B448/B447-1</f>
        <v>-1.9582526361093144E-2</v>
      </c>
      <c r="D448" s="38">
        <f t="shared" ref="D448" si="688">+F447*(1+L448)</f>
        <v>45.234590211637361</v>
      </c>
      <c r="E448" s="92"/>
      <c r="F448">
        <v>45.24</v>
      </c>
      <c r="G448" s="42">
        <f t="shared" ref="G448" si="689">+B448/D448-1</f>
        <v>7.1938263802138191E-3</v>
      </c>
      <c r="H448" s="92"/>
      <c r="I448" s="93">
        <f t="shared" si="389"/>
        <v>7.0733863837311173E-3</v>
      </c>
      <c r="J448">
        <v>20413.22</v>
      </c>
      <c r="K448">
        <v>19934.88</v>
      </c>
      <c r="L448" s="93">
        <f t="shared" ref="L448" si="690">+K448/J448-1</f>
        <v>-2.3432853807483611E-2</v>
      </c>
      <c r="M448" s="92">
        <f t="shared" ref="M448" si="691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692">B449/B448-1</f>
        <v>1.2730465320456519E-2</v>
      </c>
      <c r="D449" s="38">
        <f t="shared" ref="D449" si="693">+F448*(1+L449)</f>
        <v>46.062472008860844</v>
      </c>
      <c r="E449" s="92"/>
      <c r="F449">
        <v>46.06</v>
      </c>
      <c r="G449" s="42">
        <f t="shared" ref="G449" si="694">+B449/D449-1</f>
        <v>1.6831053080312852E-3</v>
      </c>
      <c r="H449" s="92"/>
      <c r="I449" s="93">
        <f t="shared" si="389"/>
        <v>1.7368649587494733E-3</v>
      </c>
      <c r="J449">
        <v>19934.88</v>
      </c>
      <c r="K449">
        <v>20297.3</v>
      </c>
      <c r="L449" s="93">
        <f t="shared" ref="L449" si="695">+K449/J449-1</f>
        <v>1.8180194713988573E-2</v>
      </c>
      <c r="M449" s="92">
        <f t="shared" ref="M449" si="696">WEEKDAY(A449,2)</f>
        <v>5</v>
      </c>
      <c r="N449" s="50" t="s">
        <v>579</v>
      </c>
    </row>
    <row r="450" spans="1:14" ht="27" x14ac:dyDescent="0.15">
      <c r="A450" s="90">
        <v>43031</v>
      </c>
      <c r="B450">
        <v>45.61</v>
      </c>
      <c r="C450" s="93">
        <f t="shared" ref="C450" si="697">B450/B449-1</f>
        <v>-1.1486779367143485E-2</v>
      </c>
      <c r="D450" s="38">
        <f t="shared" ref="D450" si="698">+F449*(1+L450)</f>
        <v>45.773391534834687</v>
      </c>
      <c r="E450" s="92"/>
      <c r="F450">
        <v>45.77</v>
      </c>
      <c r="G450" s="42">
        <f t="shared" ref="G450" si="699">+B450/D450-1</f>
        <v>-3.5695745793785649E-3</v>
      </c>
      <c r="H450" s="92"/>
      <c r="I450" s="93">
        <f t="shared" si="389"/>
        <v>-3.495739567402345E-3</v>
      </c>
      <c r="J450">
        <v>20297.3</v>
      </c>
      <c r="K450">
        <v>20171</v>
      </c>
      <c r="L450" s="93">
        <f t="shared" ref="L450" si="700">+K450/J450-1</f>
        <v>-6.2225025003325163E-3</v>
      </c>
      <c r="M450" s="92">
        <f t="shared" ref="M450" si="701">WEEKDAY(A450,2)</f>
        <v>1</v>
      </c>
      <c r="N450" s="50" t="s">
        <v>519</v>
      </c>
    </row>
    <row r="451" spans="1:14" ht="13.5" x14ac:dyDescent="0.15">
      <c r="A451" s="90">
        <v>43032</v>
      </c>
      <c r="B451">
        <v>45.63</v>
      </c>
      <c r="C451" s="93">
        <f t="shared" ref="C451" si="702">B451/B450-1</f>
        <v>4.3850032887537971E-4</v>
      </c>
      <c r="D451" s="38">
        <f t="shared" ref="D451" si="703">+F450*(1+L451)</f>
        <v>45.564419612314715</v>
      </c>
      <c r="E451" s="92"/>
      <c r="F451">
        <v>45.56</v>
      </c>
      <c r="G451" s="42">
        <f t="shared" ref="G451" si="704">+B451/D451-1</f>
        <v>1.4392894333621342E-3</v>
      </c>
      <c r="H451" s="92"/>
      <c r="I451" s="93">
        <f t="shared" si="389"/>
        <v>1.5364354697102733E-3</v>
      </c>
      <c r="J451">
        <v>20171</v>
      </c>
      <c r="K451">
        <v>20080.400000000001</v>
      </c>
      <c r="L451" s="93">
        <f t="shared" ref="L451" si="705">+K451/J451-1</f>
        <v>-4.4915968469584344E-3</v>
      </c>
      <c r="M451" s="92">
        <f t="shared" ref="M451" si="706">WEEKDAY(A451,2)</f>
        <v>2</v>
      </c>
    </row>
    <row r="452" spans="1:14" ht="13.5" x14ac:dyDescent="0.15">
      <c r="A452" s="90">
        <v>43033</v>
      </c>
      <c r="B452">
        <v>45.7</v>
      </c>
      <c r="C452" s="93">
        <f t="shared" ref="C452" si="707">B452/B451-1</f>
        <v>1.5340784571553634E-3</v>
      </c>
      <c r="D452" s="38">
        <f t="shared" ref="D452" si="708">+F451*(1+L452)</f>
        <v>45.964949542837786</v>
      </c>
      <c r="E452" s="92"/>
      <c r="F452">
        <v>45.96</v>
      </c>
      <c r="G452" s="42">
        <f t="shared" ref="G452" si="709">+B452/D452-1</f>
        <v>-5.7641647706120347E-3</v>
      </c>
      <c r="H452" s="92"/>
      <c r="I452" s="93">
        <f t="shared" si="389"/>
        <v>-5.6570931244560585E-3</v>
      </c>
      <c r="J452">
        <v>20080.400000000001</v>
      </c>
      <c r="K452">
        <v>20258.88</v>
      </c>
      <c r="L452" s="93">
        <f t="shared" ref="L452" si="710">+K452/J452-1</f>
        <v>8.8882691579847961E-3</v>
      </c>
      <c r="M452" s="92">
        <f t="shared" ref="M452" si="711">WEEKDAY(A452,2)</f>
        <v>3</v>
      </c>
    </row>
    <row r="453" spans="1:14" ht="13.5" x14ac:dyDescent="0.15">
      <c r="A453" s="90">
        <v>43034</v>
      </c>
      <c r="B453">
        <v>45.67</v>
      </c>
      <c r="C453" s="93">
        <f t="shared" ref="C453" si="712">B453/B452-1</f>
        <v>-6.5645514223200419E-4</v>
      </c>
      <c r="D453" s="38">
        <f t="shared" ref="D453" si="713">+F452*(1+L453)</f>
        <v>45.676307219352701</v>
      </c>
      <c r="E453" s="92"/>
      <c r="F453">
        <v>45.68</v>
      </c>
      <c r="G453" s="42">
        <f t="shared" ref="G453" si="714">+B453/D453-1</f>
        <v>-1.3808514165580821E-4</v>
      </c>
      <c r="H453" s="92"/>
      <c r="I453" s="93">
        <f t="shared" si="389"/>
        <v>-2.189141856392407E-4</v>
      </c>
      <c r="J453">
        <v>20258.88</v>
      </c>
      <c r="K453">
        <v>20133.830000000002</v>
      </c>
      <c r="L453" s="93">
        <f t="shared" ref="L453" si="715">+K453/J453-1</f>
        <v>-6.1726018417602724E-3</v>
      </c>
      <c r="M453" s="92">
        <f t="shared" ref="M453" si="716">WEEKDAY(A453,2)</f>
        <v>4</v>
      </c>
    </row>
    <row r="454" spans="1:14" ht="13.5" x14ac:dyDescent="0.15">
      <c r="A454" s="90">
        <v>43035</v>
      </c>
      <c r="B454">
        <v>46.49</v>
      </c>
      <c r="C454" s="93">
        <f t="shared" ref="C454" si="717">B454/B453-1</f>
        <v>1.7954893803372007E-2</v>
      </c>
      <c r="D454" s="38">
        <f t="shared" ref="D454" si="718">+F453*(1+L454)</f>
        <v>46.131721704216233</v>
      </c>
      <c r="E454" s="92"/>
      <c r="F454">
        <v>46.13</v>
      </c>
      <c r="G454" s="42">
        <f t="shared" ref="G454" si="719">+B454/D454-1</f>
        <v>7.7664193433089057E-3</v>
      </c>
      <c r="H454" s="92"/>
      <c r="I454" s="93">
        <f t="shared" si="389"/>
        <v>7.8040320832430954E-3</v>
      </c>
      <c r="J454">
        <v>20133.830000000002</v>
      </c>
      <c r="K454">
        <v>20332.93</v>
      </c>
      <c r="L454" s="93">
        <f t="shared" ref="L454" si="720">+K454/J454-1</f>
        <v>9.8888289014060771E-3</v>
      </c>
      <c r="M454" s="92">
        <f t="shared" ref="M454" si="721">WEEKDAY(A454,2)</f>
        <v>5</v>
      </c>
      <c r="N454" s="50" t="s">
        <v>578</v>
      </c>
    </row>
    <row r="455" spans="1:14" ht="13.5" x14ac:dyDescent="0.15">
      <c r="A455" s="90">
        <v>43038</v>
      </c>
      <c r="B455">
        <v>45.77</v>
      </c>
      <c r="C455" s="93">
        <f t="shared" ref="C455" si="722">B455/B454-1</f>
        <v>-1.5487201548720075E-2</v>
      </c>
      <c r="D455" s="38">
        <f t="shared" ref="D455" si="723">+F454*(1+L455)</f>
        <v>45.885838897787977</v>
      </c>
      <c r="E455" s="92"/>
      <c r="F455">
        <v>45.88</v>
      </c>
      <c r="G455" s="42">
        <f t="shared" ref="G455" si="724">+B455/D455-1</f>
        <v>-2.5245021246317334E-3</v>
      </c>
      <c r="H455" s="92"/>
      <c r="I455" s="93">
        <f t="shared" si="389"/>
        <v>-2.3975588491716993E-3</v>
      </c>
      <c r="J455">
        <v>20332.93</v>
      </c>
      <c r="K455">
        <v>20225.310000000001</v>
      </c>
      <c r="L455" s="93">
        <f t="shared" ref="L455" si="725">+K455/J455-1</f>
        <v>-5.2928918753961662E-3</v>
      </c>
      <c r="M455" s="92">
        <f t="shared" ref="M455" si="726">WEEKDAY(A455,2)</f>
        <v>1</v>
      </c>
    </row>
    <row r="456" spans="1:14" ht="13.5" x14ac:dyDescent="0.15">
      <c r="A456" s="90">
        <v>43039</v>
      </c>
      <c r="B456">
        <v>45.93</v>
      </c>
      <c r="C456" s="93">
        <f t="shared" ref="C456" si="727">B456/B455-1</f>
        <v>3.495739567402234E-3</v>
      </c>
      <c r="D456" s="38">
        <f t="shared" ref="D456" si="728">+F455*(1+L456)</f>
        <v>45.77438120849569</v>
      </c>
      <c r="E456" s="92"/>
      <c r="F456">
        <v>45.78</v>
      </c>
      <c r="G456" s="42">
        <f t="shared" ref="G456" si="729">+B456/D456-1</f>
        <v>3.3996918668433018E-3</v>
      </c>
      <c r="H456" s="92"/>
      <c r="I456" s="93">
        <f t="shared" si="389"/>
        <v>3.2765399737877399E-3</v>
      </c>
      <c r="J456">
        <v>20225.310000000001</v>
      </c>
      <c r="K456">
        <v>20178.75</v>
      </c>
      <c r="L456" s="93">
        <f t="shared" ref="L456" si="730">+K456/J456-1</f>
        <v>-2.3020660746362331E-3</v>
      </c>
      <c r="M456" s="92">
        <f t="shared" ref="M456" si="731">WEEKDAY(A456,2)</f>
        <v>2</v>
      </c>
    </row>
    <row r="457" spans="1:14" ht="13.5" x14ac:dyDescent="0.15">
      <c r="A457" s="90">
        <v>43040</v>
      </c>
      <c r="B457">
        <v>46.23</v>
      </c>
      <c r="C457" s="93">
        <f t="shared" ref="C457" si="732">B457/B456-1</f>
        <v>6.5316786414106875E-3</v>
      </c>
      <c r="D457" s="38">
        <f t="shared" ref="D457" si="733">+F456*(1+L457)</f>
        <v>46.299696443040325</v>
      </c>
      <c r="E457" s="92"/>
      <c r="F457">
        <v>46.3</v>
      </c>
      <c r="G457" s="42">
        <f t="shared" ref="G457" si="734">+B457/D457-1</f>
        <v>-1.5053326132725697E-3</v>
      </c>
      <c r="H457" s="92"/>
      <c r="I457" s="93">
        <f t="shared" si="389"/>
        <v>-1.5118790496759793E-3</v>
      </c>
      <c r="J457">
        <v>20178.75</v>
      </c>
      <c r="K457">
        <v>20407.82</v>
      </c>
      <c r="L457" s="93">
        <f t="shared" ref="L457" si="735">+K457/J457-1</f>
        <v>1.1352041132379309E-2</v>
      </c>
      <c r="M457" s="92">
        <f t="shared" ref="M457" si="736">WEEKDAY(A457,2)</f>
        <v>3</v>
      </c>
    </row>
    <row r="458" spans="1:14" ht="13.5" x14ac:dyDescent="0.15">
      <c r="A458" s="90">
        <v>43041</v>
      </c>
      <c r="B458">
        <v>46.45</v>
      </c>
      <c r="C458" s="93">
        <f t="shared" ref="C458" si="737">B458/B457-1</f>
        <v>4.7588146225396866E-3</v>
      </c>
      <c r="D458" s="38">
        <f t="shared" ref="D458" si="738">+F457*(1+L458)</f>
        <v>46.217554055259207</v>
      </c>
      <c r="E458" s="92"/>
      <c r="F458">
        <v>46.21</v>
      </c>
      <c r="G458" s="42">
        <f t="shared" ref="G458" si="739">+B458/D458-1</f>
        <v>5.029386550029713E-3</v>
      </c>
      <c r="H458" s="92"/>
      <c r="I458" s="93">
        <f t="shared" si="389"/>
        <v>5.1936810214239237E-3</v>
      </c>
      <c r="J458">
        <v>20407.82</v>
      </c>
      <c r="K458">
        <v>20371.48</v>
      </c>
      <c r="L458" s="93">
        <f t="shared" ref="L458" si="740">+K458/J458-1</f>
        <v>-1.7806899512049501E-3</v>
      </c>
      <c r="M458" s="92">
        <f t="shared" ref="M458" si="741">WEEKDAY(A458,2)</f>
        <v>4</v>
      </c>
    </row>
    <row r="459" spans="1:14" ht="13.5" x14ac:dyDescent="0.15">
      <c r="A459" s="90">
        <v>43042</v>
      </c>
      <c r="B459">
        <v>46.28</v>
      </c>
      <c r="C459" s="93">
        <f t="shared" ref="C459" si="742">B459/B458-1</f>
        <v>-3.659849300322926E-3</v>
      </c>
      <c r="D459" s="38">
        <f t="shared" ref="D459" si="743">+F458*(1+L459)</f>
        <v>46.299623193798389</v>
      </c>
      <c r="E459" s="92"/>
      <c r="F459">
        <v>46.3</v>
      </c>
      <c r="G459" s="42">
        <f t="shared" ref="G459" si="744">+B459/D459-1</f>
        <v>-4.238305291653921E-4</v>
      </c>
      <c r="H459" s="92"/>
      <c r="I459" s="93">
        <f t="shared" si="389"/>
        <v>-4.3196544276447035E-4</v>
      </c>
      <c r="J459">
        <v>20371.48</v>
      </c>
      <c r="K459">
        <v>20410.990000000002</v>
      </c>
      <c r="L459" s="93">
        <f t="shared" ref="L459" si="745">+K459/J459-1</f>
        <v>1.9394761696254204E-3</v>
      </c>
      <c r="M459" s="92">
        <f t="shared" ref="M459" si="746">WEEKDAY(A459,2)</f>
        <v>5</v>
      </c>
      <c r="N459" s="50" t="s">
        <v>577</v>
      </c>
    </row>
    <row r="460" spans="1:14" ht="13.5" x14ac:dyDescent="0.15">
      <c r="A460" s="90">
        <v>43045</v>
      </c>
      <c r="B460">
        <v>46.45</v>
      </c>
      <c r="C460" s="93">
        <f t="shared" ref="C460" si="747">B460/B459-1</f>
        <v>3.6732929991356578E-3</v>
      </c>
      <c r="D460" s="38">
        <f t="shared" ref="D460" si="748">+F459*(1+L460)</f>
        <v>46.139466336517721</v>
      </c>
      <c r="E460" s="92"/>
      <c r="F460">
        <v>46.14</v>
      </c>
      <c r="G460" s="42">
        <f t="shared" ref="G460" si="749">+B460/D460-1</f>
        <v>6.7303262941407205E-3</v>
      </c>
      <c r="H460" s="92"/>
      <c r="I460" s="93">
        <f t="shared" si="389"/>
        <v>6.7186822713480865E-3</v>
      </c>
      <c r="J460">
        <v>20410.990000000002</v>
      </c>
      <c r="K460">
        <v>20340.22</v>
      </c>
      <c r="L460" s="93">
        <f t="shared" ref="L460" si="750">+K460/J460-1</f>
        <v>-3.4672497512370226E-3</v>
      </c>
      <c r="M460" s="92">
        <f t="shared" ref="M460" si="751">WEEKDAY(A460,2)</f>
        <v>1</v>
      </c>
      <c r="N460" s="50" t="s">
        <v>561</v>
      </c>
    </row>
    <row r="461" spans="1:14" ht="13.5" x14ac:dyDescent="0.15">
      <c r="A461" s="90">
        <v>43046</v>
      </c>
      <c r="B461">
        <v>46.72</v>
      </c>
      <c r="C461" s="93">
        <f t="shared" ref="C461" si="752">B461/B460-1</f>
        <v>5.8127018299245492E-3</v>
      </c>
      <c r="D461" s="38">
        <f t="shared" ref="D461" si="753">+F460*(1+L461)</f>
        <v>46.90459096312626</v>
      </c>
      <c r="E461" s="92"/>
      <c r="F461">
        <v>46.9</v>
      </c>
      <c r="G461" s="42">
        <f t="shared" ref="G461" si="754">+B461/D461-1</f>
        <v>-3.935456195991005E-3</v>
      </c>
      <c r="H461" s="92"/>
      <c r="I461" s="93">
        <f t="shared" si="389"/>
        <v>-3.8379530916844429E-3</v>
      </c>
      <c r="J461">
        <v>20340.22</v>
      </c>
      <c r="K461">
        <v>20677.28</v>
      </c>
      <c r="L461" s="93">
        <f t="shared" ref="L461" si="755">+K461/J461-1</f>
        <v>1.6571108867062367E-2</v>
      </c>
      <c r="M461" s="92">
        <f t="shared" ref="M461" si="756">WEEKDAY(A461,2)</f>
        <v>2</v>
      </c>
      <c r="N461" s="50" t="s">
        <v>562</v>
      </c>
    </row>
    <row r="462" spans="1:14" ht="13.5" x14ac:dyDescent="0.15">
      <c r="A462" s="90">
        <v>43047</v>
      </c>
      <c r="B462">
        <v>46.79</v>
      </c>
      <c r="C462" s="93">
        <f t="shared" ref="C462" si="757">B462/B461-1</f>
        <v>1.4982876712328341E-3</v>
      </c>
      <c r="D462" s="38">
        <f t="shared" ref="D462" si="758">+F461*(1+L462)</f>
        <v>46.663427781603772</v>
      </c>
      <c r="E462" s="92"/>
      <c r="F462">
        <v>46.66</v>
      </c>
      <c r="G462" s="42">
        <f t="shared" ref="G462" si="759">+B462/D462-1</f>
        <v>2.7124500795059348E-3</v>
      </c>
      <c r="H462" s="92"/>
      <c r="I462" s="93">
        <f t="shared" si="389"/>
        <v>2.7861123017574041E-3</v>
      </c>
      <c r="J462">
        <v>20677.28</v>
      </c>
      <c r="K462">
        <v>20572.98</v>
      </c>
      <c r="L462" s="93">
        <f t="shared" ref="L462" si="760">+K462/J462-1</f>
        <v>-5.0441837611135965E-3</v>
      </c>
      <c r="M462" s="92">
        <f t="shared" ref="M462" si="761">WEEKDAY(A462,2)</f>
        <v>3</v>
      </c>
    </row>
    <row r="463" spans="1:14" ht="13.5" x14ac:dyDescent="0.15">
      <c r="A463" s="90">
        <v>43048</v>
      </c>
      <c r="B463">
        <v>46.84</v>
      </c>
      <c r="C463" s="93">
        <f t="shared" ref="C463" si="762">B463/B462-1</f>
        <v>1.0686044026502195E-3</v>
      </c>
      <c r="D463" s="38">
        <f t="shared" ref="D463" si="763">+F462*(1+L463)</f>
        <v>47.163297072179141</v>
      </c>
      <c r="E463" s="92"/>
      <c r="F463">
        <v>47.17</v>
      </c>
      <c r="G463" s="42">
        <f t="shared" ref="G463" si="764">+B463/D463-1</f>
        <v>-6.8548445984248918E-3</v>
      </c>
      <c r="H463" s="92"/>
      <c r="I463" s="93">
        <f t="shared" si="389"/>
        <v>-6.9959720161119066E-3</v>
      </c>
      <c r="J463">
        <v>20572.98</v>
      </c>
      <c r="K463">
        <v>20794.89</v>
      </c>
      <c r="L463" s="93">
        <f t="shared" ref="L463" si="765">+K463/J463-1</f>
        <v>1.0786478186436854E-2</v>
      </c>
      <c r="M463" s="92">
        <f t="shared" ref="M463" si="766">WEEKDAY(A463,2)</f>
        <v>4</v>
      </c>
    </row>
    <row r="464" spans="1:14" ht="13.5" x14ac:dyDescent="0.15">
      <c r="A464" s="90">
        <v>43049</v>
      </c>
      <c r="B464">
        <v>47.12</v>
      </c>
      <c r="C464" s="93">
        <f t="shared" ref="C464" si="767">B464/B463-1</f>
        <v>5.9777967549101696E-3</v>
      </c>
      <c r="D464" s="38">
        <f t="shared" ref="D464" si="768">+F463*(1+L464)</f>
        <v>47.112769637156056</v>
      </c>
      <c r="E464" s="92"/>
      <c r="F464">
        <v>47.11</v>
      </c>
      <c r="G464" s="42">
        <f t="shared" ref="G464" si="769">+B464/D464-1</f>
        <v>1.5346928018944439E-4</v>
      </c>
      <c r="H464" s="92"/>
      <c r="I464" s="93">
        <f t="shared" si="389"/>
        <v>2.122691572914448E-4</v>
      </c>
      <c r="J464">
        <v>20794.89</v>
      </c>
      <c r="K464">
        <v>20769.66</v>
      </c>
      <c r="L464" s="93">
        <f t="shared" ref="L464" si="770">+K464/J464-1</f>
        <v>-1.2132788391763238E-3</v>
      </c>
      <c r="M464" s="92">
        <f t="shared" ref="M464" si="771">WEEKDAY(A464,2)</f>
        <v>5</v>
      </c>
      <c r="N464" s="50" t="s">
        <v>576</v>
      </c>
    </row>
    <row r="465" spans="1:14" ht="13.5" x14ac:dyDescent="0.15">
      <c r="A465" s="90">
        <v>43052</v>
      </c>
      <c r="B465">
        <v>46.96</v>
      </c>
      <c r="C465" s="93">
        <f t="shared" ref="C465" si="772">B465/B464-1</f>
        <v>-3.3955857385398192E-3</v>
      </c>
      <c r="D465" s="38">
        <f t="shared" ref="D465" si="773">+F464*(1+L465)</f>
        <v>46.970187388719893</v>
      </c>
      <c r="E465" s="92"/>
      <c r="F465">
        <v>46.97</v>
      </c>
      <c r="G465" s="42">
        <f t="shared" ref="G465" si="774">+B465/D465-1</f>
        <v>-2.1689052750806237E-4</v>
      </c>
      <c r="H465" s="92"/>
      <c r="I465" s="93">
        <f t="shared" si="389"/>
        <v>-2.1290185224609459E-4</v>
      </c>
      <c r="J465">
        <v>20769.66</v>
      </c>
      <c r="K465">
        <v>20708.02</v>
      </c>
      <c r="L465" s="93">
        <f t="shared" ref="L465" si="775">+K465/J465-1</f>
        <v>-2.9677905175145014E-3</v>
      </c>
      <c r="M465" s="92">
        <f t="shared" ref="M465" si="776">WEEKDAY(A465,2)</f>
        <v>1</v>
      </c>
    </row>
    <row r="466" spans="1:14" ht="13.5" x14ac:dyDescent="0.15">
      <c r="A466" s="90">
        <v>43053</v>
      </c>
      <c r="B466">
        <v>46.42</v>
      </c>
      <c r="C466" s="93">
        <f t="shared" ref="C466" si="777">B466/B465-1</f>
        <v>-1.1499148211243648E-2</v>
      </c>
      <c r="D466" s="38">
        <f t="shared" ref="D466" si="778">+F465*(1+L466)</f>
        <v>46.685748758210586</v>
      </c>
      <c r="E466" s="92"/>
      <c r="F466">
        <v>46.68</v>
      </c>
      <c r="G466" s="42">
        <f t="shared" ref="G466" si="779">+B466/D466-1</f>
        <v>-5.692288659370548E-3</v>
      </c>
      <c r="H466" s="92"/>
      <c r="I466" s="93">
        <f t="shared" si="389"/>
        <v>-5.569837189374427E-3</v>
      </c>
      <c r="J466">
        <v>20708.02</v>
      </c>
      <c r="K466">
        <v>20582.7</v>
      </c>
      <c r="L466" s="93">
        <f t="shared" ref="L466" si="780">+K466/J466-1</f>
        <v>-6.0517615880224529E-3</v>
      </c>
      <c r="M466" s="92">
        <f t="shared" ref="M466" si="781">WEEKDAY(A466,2)</f>
        <v>2</v>
      </c>
    </row>
    <row r="467" spans="1:14" ht="13.5" x14ac:dyDescent="0.15">
      <c r="A467" s="90">
        <v>43054</v>
      </c>
      <c r="B467">
        <v>45.85</v>
      </c>
      <c r="C467" s="93">
        <f t="shared" ref="C467" si="782">B467/B466-1</f>
        <v>-1.2279190004308438E-2</v>
      </c>
      <c r="D467" s="38">
        <f t="shared" ref="D467" si="783">+F466*(1+L467)</f>
        <v>45.923670014138082</v>
      </c>
      <c r="E467" s="92"/>
      <c r="F467">
        <v>45.92</v>
      </c>
      <c r="G467" s="42">
        <f t="shared" ref="G467" si="784">+B467/D467-1</f>
        <v>-1.6041839451289563E-3</v>
      </c>
      <c r="H467" s="92"/>
      <c r="I467" s="93">
        <f t="shared" si="389"/>
        <v>-1.5243902439024959E-3</v>
      </c>
      <c r="J467">
        <v>20582.7</v>
      </c>
      <c r="K467">
        <v>20249.21</v>
      </c>
      <c r="L467" s="93">
        <f t="shared" ref="L467" si="785">+K467/J467-1</f>
        <v>-1.6202441856510652E-2</v>
      </c>
      <c r="M467" s="92">
        <f t="shared" ref="M467" si="786">WEEKDAY(A467,2)</f>
        <v>3</v>
      </c>
    </row>
    <row r="468" spans="1:14" ht="13.5" x14ac:dyDescent="0.15">
      <c r="A468" s="90">
        <v>43055</v>
      </c>
      <c r="B468">
        <v>46.71</v>
      </c>
      <c r="C468" s="93">
        <f t="shared" ref="C468" si="787">B468/B467-1</f>
        <v>1.8756815703380614E-2</v>
      </c>
      <c r="D468" s="38">
        <f t="shared" ref="D468" si="788">+F467*(1+L468)</f>
        <v>46.333908414204799</v>
      </c>
      <c r="E468" s="92"/>
      <c r="F468">
        <v>46.34</v>
      </c>
      <c r="G468" s="42">
        <f t="shared" ref="G468" si="789">+B468/D468-1</f>
        <v>8.1169838389869575E-3</v>
      </c>
      <c r="H468" s="92"/>
      <c r="I468" s="93">
        <f t="shared" si="389"/>
        <v>7.9844626672420649E-3</v>
      </c>
      <c r="J468">
        <v>20249.21</v>
      </c>
      <c r="K468">
        <v>20431.73</v>
      </c>
      <c r="L468" s="93">
        <f t="shared" ref="L468" si="790">+K468/J468-1</f>
        <v>9.0136849783275519E-3</v>
      </c>
      <c r="M468" s="92">
        <f t="shared" ref="M468" si="791">WEEKDAY(A468,2)</f>
        <v>4</v>
      </c>
    </row>
    <row r="469" spans="1:14" ht="13.5" x14ac:dyDescent="0.15">
      <c r="A469" s="90">
        <v>43056</v>
      </c>
      <c r="B469">
        <v>46.49</v>
      </c>
      <c r="C469" s="93">
        <f t="shared" ref="C469" si="792">B469/B468-1</f>
        <v>-4.709912224363122E-3</v>
      </c>
      <c r="D469" s="38">
        <f t="shared" ref="D469" si="793">+F468*(1+L469)</f>
        <v>46.662764905370224</v>
      </c>
      <c r="E469" s="92"/>
      <c r="F469">
        <v>46.66</v>
      </c>
      <c r="G469" s="42">
        <f t="shared" ref="G469" si="794">+B469/D469-1</f>
        <v>-3.7024146708961592E-3</v>
      </c>
      <c r="H469" s="92"/>
      <c r="I469" s="93">
        <f t="shared" si="389"/>
        <v>-3.6433776253749217E-3</v>
      </c>
      <c r="J469">
        <v>20431.73</v>
      </c>
      <c r="K469">
        <v>20574.04</v>
      </c>
      <c r="L469" s="93">
        <f t="shared" ref="L469" si="795">+K469/J469-1</f>
        <v>6.9651468573634912E-3</v>
      </c>
      <c r="M469" s="92">
        <f t="shared" ref="M469" si="796">WEEKDAY(A469,2)</f>
        <v>5</v>
      </c>
    </row>
    <row r="470" spans="1:14" x14ac:dyDescent="0.25">
      <c r="A470" s="90">
        <v>43059</v>
      </c>
      <c r="B470">
        <v>46.97</v>
      </c>
      <c r="C470" s="93">
        <f t="shared" ref="C470" si="797">B470/B469-1</f>
        <v>1.0324801032480124E-2</v>
      </c>
      <c r="D470" s="38">
        <f t="shared" ref="D470" si="798">+F469*(1+L470)</f>
        <v>46.648909936988552</v>
      </c>
      <c r="E470" s="92"/>
      <c r="F470">
        <v>46.64</v>
      </c>
      <c r="G470" s="42">
        <f t="shared" ref="G470" si="799">+B470/D470-1</f>
        <v>6.8831203868464641E-3</v>
      </c>
      <c r="H470" s="92"/>
      <c r="I470" s="93">
        <f t="shared" si="389"/>
        <v>7.0754716981131782E-3</v>
      </c>
      <c r="J470">
        <v>20574.04</v>
      </c>
      <c r="K470">
        <v>20569.150000000001</v>
      </c>
      <c r="L470" s="93">
        <f t="shared" ref="L470" si="800">+K470/J470-1</f>
        <v>-2.3767816141118114E-4</v>
      </c>
      <c r="M470" s="92">
        <f t="shared" ref="M470" si="801">WEEKDAY(A470,2)</f>
        <v>1</v>
      </c>
    </row>
    <row r="471" spans="1:14" x14ac:dyDescent="0.25">
      <c r="A471" s="90">
        <v>43060</v>
      </c>
      <c r="B471">
        <v>48.23</v>
      </c>
      <c r="C471" s="93">
        <f t="shared" ref="C471" si="802">B471/B470-1</f>
        <v>2.6825633383010361E-2</v>
      </c>
      <c r="D471" s="38">
        <f t="shared" ref="D471" si="803">+F470*(1+L471)</f>
        <v>47.77267097570877</v>
      </c>
      <c r="E471" s="92"/>
      <c r="F471">
        <v>47.78</v>
      </c>
      <c r="G471" s="42">
        <f t="shared" ref="G471" si="804">+B471/D471-1</f>
        <v>9.5730260617783447E-3</v>
      </c>
      <c r="H471" s="92"/>
      <c r="I471" s="93">
        <f t="shared" si="389"/>
        <v>9.418166596902422E-3</v>
      </c>
      <c r="J471">
        <v>20569.150000000001</v>
      </c>
      <c r="K471">
        <v>21068.68</v>
      </c>
      <c r="L471" s="93">
        <f t="shared" ref="L471" si="805">+K471/J471-1</f>
        <v>2.4285398278489856E-2</v>
      </c>
      <c r="M471" s="92">
        <f t="shared" ref="M471" si="806">WEEKDAY(A471,2)</f>
        <v>2</v>
      </c>
      <c r="N471" s="50" t="s">
        <v>590</v>
      </c>
    </row>
    <row r="472" spans="1:14" x14ac:dyDescent="0.25">
      <c r="A472" s="90">
        <v>43061</v>
      </c>
      <c r="B472">
        <v>48.33</v>
      </c>
      <c r="C472" s="93">
        <f t="shared" ref="C472" si="807">B472/B471-1</f>
        <v>2.0733982998133449E-3</v>
      </c>
      <c r="D472" s="38">
        <f t="shared" ref="D472" si="808">+F471*(1+L472)</f>
        <v>48.126318981540365</v>
      </c>
      <c r="E472" s="92"/>
      <c r="F472">
        <v>48.12</v>
      </c>
      <c r="G472" s="42">
        <f t="shared" ref="G472" si="809">+B472/D472-1</f>
        <v>4.2322168570123608E-3</v>
      </c>
      <c r="H472" s="92"/>
      <c r="I472" s="93">
        <f t="shared" si="389"/>
        <v>4.3640897755610197E-3</v>
      </c>
      <c r="J472">
        <v>21068.68</v>
      </c>
      <c r="K472">
        <v>21221.39</v>
      </c>
      <c r="L472" s="93">
        <f t="shared" ref="L472" si="810">+K472/J472-1</f>
        <v>7.2481996973705609E-3</v>
      </c>
      <c r="M472" s="92">
        <f t="shared" ref="M472" si="811">WEEKDAY(A472,2)</f>
        <v>3</v>
      </c>
    </row>
    <row r="473" spans="1:14" x14ac:dyDescent="0.25">
      <c r="A473" s="90">
        <v>43062</v>
      </c>
      <c r="B473">
        <v>48.32</v>
      </c>
      <c r="C473" s="93">
        <f t="shared" ref="C473" si="812">B473/B472-1</f>
        <v>-2.0691082143586836E-4</v>
      </c>
      <c r="D473" s="38">
        <f t="shared" ref="D473" si="813">+F472*(1+L473)</f>
        <v>47.32382715741052</v>
      </c>
      <c r="E473" s="92"/>
      <c r="F473" s="92">
        <v>47.32</v>
      </c>
      <c r="G473" s="42">
        <f t="shared" ref="G473" si="814">+B473/D473-1</f>
        <v>2.1050132722274739E-2</v>
      </c>
      <c r="H473" s="92"/>
      <c r="I473" s="93">
        <f t="shared" si="389"/>
        <v>2.1132713440405793E-2</v>
      </c>
      <c r="J473">
        <v>21221.39</v>
      </c>
      <c r="K473">
        <v>20870.27</v>
      </c>
      <c r="L473" s="93">
        <f t="shared" ref="L473" si="815">+K473/J473-1</f>
        <v>-1.654557029487691E-2</v>
      </c>
      <c r="M473" s="92">
        <f t="shared" ref="M473" si="816">WEEKDAY(A473,2)</f>
        <v>4</v>
      </c>
    </row>
    <row r="474" spans="1:14" x14ac:dyDescent="0.25">
      <c r="A474" s="90">
        <v>43063</v>
      </c>
      <c r="B474">
        <v>47.94</v>
      </c>
      <c r="C474" s="93">
        <f t="shared" ref="C474" si="817">B474/B473-1</f>
        <v>-7.864238410596025E-3</v>
      </c>
      <c r="D474" s="38">
        <f t="shared" ref="D474" si="818">+F473*(1+L474)</f>
        <v>47.702749681724292</v>
      </c>
      <c r="E474" s="92"/>
      <c r="F474">
        <v>47.71</v>
      </c>
      <c r="G474" s="42">
        <f t="shared" ref="G474" si="819">+B474/D474-1</f>
        <v>4.9735145218809951E-3</v>
      </c>
      <c r="H474" s="92"/>
      <c r="I474" s="93">
        <f t="shared" si="389"/>
        <v>4.8207922867322672E-3</v>
      </c>
      <c r="J474">
        <v>20870.27</v>
      </c>
      <c r="K474">
        <v>21039.08</v>
      </c>
      <c r="L474" s="93">
        <f t="shared" ref="L474" si="820">+K474/J474-1</f>
        <v>8.0885393432859054E-3</v>
      </c>
      <c r="M474" s="92">
        <f t="shared" ref="M474" si="821">WEEKDAY(A474,2)</f>
        <v>5</v>
      </c>
    </row>
    <row r="475" spans="1:14" x14ac:dyDescent="0.25">
      <c r="A475" s="90">
        <v>43066</v>
      </c>
      <c r="B475">
        <v>47.17</v>
      </c>
      <c r="C475" s="93">
        <f t="shared" ref="C475" si="822">B475/B474-1</f>
        <v>-1.606174384647463E-2</v>
      </c>
      <c r="D475" s="38">
        <f t="shared" ref="D475" si="823">+F474*(1+L475)</f>
        <v>47.220429548250202</v>
      </c>
      <c r="E475" s="92"/>
      <c r="F475">
        <v>47.21</v>
      </c>
      <c r="G475" s="42">
        <f t="shared" ref="G475" si="824">+B475/D475-1</f>
        <v>-1.0679603877526977E-3</v>
      </c>
      <c r="H475" s="92"/>
      <c r="I475" s="93">
        <f t="shared" si="389"/>
        <v>-8.4727811904250494E-4</v>
      </c>
      <c r="J475">
        <v>21039.08</v>
      </c>
      <c r="K475">
        <v>20823.189999999999</v>
      </c>
      <c r="L475" s="93">
        <f t="shared" ref="L475" si="825">+K475/J475-1</f>
        <v>-1.0261380250467411E-2</v>
      </c>
      <c r="M475" s="92">
        <f t="shared" ref="M475" si="826">WEEKDAY(A475,2)</f>
        <v>1</v>
      </c>
    </row>
    <row r="476" spans="1:14" x14ac:dyDescent="0.25">
      <c r="A476" s="90">
        <v>43067</v>
      </c>
      <c r="B476">
        <v>47.56</v>
      </c>
      <c r="C476" s="93">
        <f t="shared" ref="C476" si="827">B476/B475-1</f>
        <v>8.2679669281322532E-3</v>
      </c>
      <c r="D476" s="38">
        <f t="shared" ref="D476" si="828">+F475*(1+L476)</f>
        <v>47.165449837416844</v>
      </c>
      <c r="E476" s="92"/>
      <c r="F476">
        <v>47.17</v>
      </c>
      <c r="G476" s="42">
        <f t="shared" ref="G476" si="829">+B476/D476-1</f>
        <v>8.3652369254021419E-3</v>
      </c>
      <c r="H476" s="92"/>
      <c r="I476" s="93">
        <f t="shared" si="389"/>
        <v>8.2679669281322532E-3</v>
      </c>
      <c r="J476">
        <v>20823.189999999999</v>
      </c>
      <c r="K476">
        <v>20803.54</v>
      </c>
      <c r="L476" s="93">
        <f t="shared" ref="L476" si="830">+K476/J476-1</f>
        <v>-9.4365944891239284E-4</v>
      </c>
      <c r="M476" s="92">
        <f t="shared" ref="M476" si="831">WEEKDAY(A476,2)</f>
        <v>2</v>
      </c>
    </row>
    <row r="477" spans="1:14" x14ac:dyDescent="0.25">
      <c r="A477" s="90">
        <v>43068</v>
      </c>
      <c r="B477">
        <v>46.63</v>
      </c>
      <c r="C477" s="93">
        <f t="shared" ref="C477" si="832">B477/B476-1</f>
        <v>-1.9554247266610592E-2</v>
      </c>
      <c r="D477" s="38">
        <f t="shared" ref="D477" si="833">+F476*(1+L477)</f>
        <v>46.958405992441669</v>
      </c>
      <c r="E477" s="92"/>
      <c r="F477">
        <v>46.96</v>
      </c>
      <c r="G477" s="42">
        <f t="shared" ref="G477" si="834">+B477/D477-1</f>
        <v>-6.9935506859948315E-3</v>
      </c>
      <c r="H477" s="92"/>
      <c r="I477" s="93">
        <f t="shared" si="389"/>
        <v>-7.0272572402043654E-3</v>
      </c>
      <c r="J477">
        <v>20803.54</v>
      </c>
      <c r="K477">
        <v>20710.22</v>
      </c>
      <c r="L477" s="93">
        <f t="shared" ref="L477" si="835">+K477/J477-1</f>
        <v>-4.4857750171365396E-3</v>
      </c>
      <c r="M477" s="92">
        <f t="shared" ref="M477" si="836">WEEKDAY(A477,2)</f>
        <v>3</v>
      </c>
      <c r="N477" s="50" t="s">
        <v>604</v>
      </c>
    </row>
    <row r="478" spans="1:14" x14ac:dyDescent="0.25">
      <c r="A478" s="90">
        <v>43069</v>
      </c>
      <c r="B478">
        <v>46.17</v>
      </c>
      <c r="C478" s="93">
        <f t="shared" ref="C478" si="837">B478/B477-1</f>
        <v>-9.8648938451640911E-3</v>
      </c>
      <c r="D478" s="38">
        <f t="shared" ref="D478" si="838">+F477*(1+L478)</f>
        <v>46.117858100976228</v>
      </c>
      <c r="E478" s="92"/>
      <c r="F478">
        <v>46.11</v>
      </c>
      <c r="G478" s="42">
        <f t="shared" ref="G478" si="839">+B478/D478-1</f>
        <v>1.1306227385843304E-3</v>
      </c>
      <c r="H478" s="92"/>
      <c r="I478" s="93">
        <f t="shared" si="389"/>
        <v>1.3012361743656164E-3</v>
      </c>
      <c r="J478">
        <v>20710.22</v>
      </c>
      <c r="K478">
        <v>20338.82</v>
      </c>
      <c r="L478" s="93">
        <f t="shared" ref="L478" si="840">+K478/J478-1</f>
        <v>-1.7933175021800918E-2</v>
      </c>
      <c r="M478" s="92">
        <f t="shared" ref="M478" si="841">WEEKDAY(A478,2)</f>
        <v>4</v>
      </c>
    </row>
    <row r="479" spans="1:14" x14ac:dyDescent="0.25">
      <c r="A479" s="90">
        <v>43070</v>
      </c>
      <c r="B479">
        <v>45.81</v>
      </c>
      <c r="C479" s="93">
        <f t="shared" ref="C479" si="842">B479/B478-1</f>
        <v>-7.7972709551656916E-3</v>
      </c>
      <c r="D479" s="38">
        <f t="shared" ref="D479" si="843">+F478*(1+L479)</f>
        <v>45.959215632961993</v>
      </c>
      <c r="E479" s="92"/>
      <c r="F479">
        <v>45.96</v>
      </c>
      <c r="G479" s="42">
        <f t="shared" ref="G479" si="844">+B479/D479-1</f>
        <v>-3.2466966832865873E-3</v>
      </c>
      <c r="H479" s="92"/>
      <c r="I479" s="93">
        <f t="shared" si="389"/>
        <v>-3.2637075718014996E-3</v>
      </c>
      <c r="J479">
        <v>20338.82</v>
      </c>
      <c r="K479">
        <v>20272.310000000001</v>
      </c>
      <c r="L479" s="93">
        <f t="shared" ref="L479" si="845">+K479/J479-1</f>
        <v>-3.2701012153113496E-3</v>
      </c>
      <c r="M479" s="92">
        <f t="shared" ref="M479" si="846">WEEKDAY(A479,2)</f>
        <v>5</v>
      </c>
      <c r="N479" s="50" t="s">
        <v>612</v>
      </c>
    </row>
    <row r="480" spans="1:14" x14ac:dyDescent="0.25">
      <c r="A480" s="90">
        <v>43073</v>
      </c>
      <c r="B480">
        <v>45.85</v>
      </c>
      <c r="C480" s="93">
        <f t="shared" ref="C480" si="847">B480/B479-1</f>
        <v>8.7317179655088673E-4</v>
      </c>
      <c r="D480" s="38">
        <f t="shared" ref="D480" si="848">+F479*(1+L480)</f>
        <v>46.236884814804029</v>
      </c>
      <c r="E480" s="92"/>
      <c r="F480">
        <v>46.24</v>
      </c>
      <c r="G480" s="42">
        <f t="shared" ref="G480" si="849">+B480/D480-1</f>
        <v>-8.3674498477491754E-3</v>
      </c>
      <c r="H480" s="92"/>
      <c r="I480" s="93">
        <f t="shared" si="389"/>
        <v>-8.4342560553632984E-3</v>
      </c>
      <c r="J480">
        <v>20272.310000000001</v>
      </c>
      <c r="K480">
        <v>20394.439999999999</v>
      </c>
      <c r="L480" s="93">
        <f t="shared" ref="L480" si="850">+K480/J480-1</f>
        <v>6.0244737772852108E-3</v>
      </c>
      <c r="M480" s="92">
        <f t="shared" ref="M480" si="851">WEEKDAY(A480,2)</f>
        <v>1</v>
      </c>
    </row>
    <row r="481" spans="1:13" x14ac:dyDescent="0.25">
      <c r="A481" s="90">
        <v>43074</v>
      </c>
      <c r="B481">
        <v>45.88</v>
      </c>
      <c r="C481" s="93">
        <f t="shared" ref="C481" si="852">B481/B480-1</f>
        <v>6.5430752453665697E-4</v>
      </c>
      <c r="D481" s="38">
        <f t="shared" ref="D481" si="853">+F480*(1+L481)</f>
        <v>45.936183861876081</v>
      </c>
      <c r="E481" s="92"/>
      <c r="F481">
        <v>45.93</v>
      </c>
      <c r="G481" s="42">
        <f t="shared" ref="G481" si="854">+B481/D481-1</f>
        <v>-1.2230850965987417E-3</v>
      </c>
      <c r="H481" s="92"/>
      <c r="I481" s="93">
        <f t="shared" si="389"/>
        <v>-1.0886131069017813E-3</v>
      </c>
      <c r="J481">
        <v>20394.439999999999</v>
      </c>
      <c r="K481">
        <v>20260.439999999999</v>
      </c>
      <c r="L481" s="93">
        <f t="shared" ref="L481" si="855">+K481/J481-1</f>
        <v>-6.570418212022533E-3</v>
      </c>
      <c r="M481" s="92">
        <f t="shared" ref="M481" si="856">WEEKDAY(A481,2)</f>
        <v>2</v>
      </c>
    </row>
    <row r="482" spans="1:13" x14ac:dyDescent="0.25">
      <c r="A482" s="90">
        <v>43075</v>
      </c>
      <c r="B482">
        <v>44.86</v>
      </c>
      <c r="C482" s="93">
        <f t="shared" ref="C482" si="857">B482/B481-1</f>
        <v>-2.2231909328683575E-2</v>
      </c>
      <c r="D482" s="38">
        <f t="shared" ref="D482" si="858">+F481*(1+L482)</f>
        <v>44.602298178124471</v>
      </c>
      <c r="E482" s="92"/>
      <c r="F482">
        <v>44.6</v>
      </c>
      <c r="G482" s="42">
        <f t="shared" ref="G482" si="859">+B482/D482-1</f>
        <v>5.7777700343235594E-3</v>
      </c>
      <c r="H482" s="92"/>
      <c r="I482" s="93">
        <f t="shared" si="389"/>
        <v>5.8295964125560928E-3</v>
      </c>
      <c r="J482">
        <v>20260.439999999999</v>
      </c>
      <c r="K482">
        <v>19674.77</v>
      </c>
      <c r="L482" s="93">
        <f t="shared" ref="L482" si="860">+K482/J482-1</f>
        <v>-2.8907072107022258E-2</v>
      </c>
      <c r="M482" s="92">
        <f t="shared" ref="M482" si="861">WEEKDAY(A482,2)</f>
        <v>3</v>
      </c>
    </row>
    <row r="483" spans="1:13" x14ac:dyDescent="0.25">
      <c r="A483" s="90">
        <v>43076</v>
      </c>
      <c r="B483">
        <v>44.79</v>
      </c>
      <c r="C483" s="93">
        <f t="shared" ref="C483" si="862">B483/B482-1</f>
        <v>-1.5604101649576707E-3</v>
      </c>
      <c r="D483" s="38">
        <f t="shared" ref="D483" si="863">+F482*(1+L483)</f>
        <v>44.616434753748074</v>
      </c>
      <c r="E483" s="92"/>
      <c r="F483">
        <v>44.62</v>
      </c>
      <c r="G483" s="42">
        <f t="shared" ref="G483" si="864">+B483/D483-1</f>
        <v>3.8901639543789113E-3</v>
      </c>
      <c r="H483" s="92"/>
      <c r="I483" s="93">
        <f t="shared" si="389"/>
        <v>3.8099506947557593E-3</v>
      </c>
      <c r="J483">
        <v>19674.77</v>
      </c>
      <c r="K483">
        <v>19682.02</v>
      </c>
      <c r="L483" s="93">
        <f t="shared" ref="L483" si="865">+K483/J483-1</f>
        <v>3.684922365039256E-4</v>
      </c>
      <c r="M483" s="92">
        <f t="shared" ref="M483" si="866">WEEKDAY(A483,2)</f>
        <v>4</v>
      </c>
    </row>
    <row r="484" spans="1:13" x14ac:dyDescent="0.25">
      <c r="A484" s="90">
        <v>43077</v>
      </c>
      <c r="B484">
        <v>45.54</v>
      </c>
      <c r="C484" s="93">
        <f t="shared" ref="C484" si="867">B484/B483-1</f>
        <v>1.6744809109176195E-2</v>
      </c>
      <c r="D484" s="38">
        <f t="shared" ref="D484" si="868">+F483*(1+L484)</f>
        <v>45.343572346740828</v>
      </c>
      <c r="E484" s="92"/>
      <c r="F484">
        <v>45.34</v>
      </c>
      <c r="G484" s="42">
        <f t="shared" ref="G484" si="869">+B484/D484-1</f>
        <v>4.3319845149627501E-3</v>
      </c>
      <c r="H484" s="92"/>
      <c r="I484" s="93">
        <f t="shared" si="389"/>
        <v>4.4111160123510018E-3</v>
      </c>
      <c r="J484">
        <v>19682.02</v>
      </c>
      <c r="K484">
        <v>20001.189999999999</v>
      </c>
      <c r="L484" s="93">
        <f t="shared" ref="L484" si="870">+K484/J484-1</f>
        <v>1.6216323324536708E-2</v>
      </c>
      <c r="M484" s="92">
        <f t="shared" ref="M484" si="871">WEEKDAY(A484,2)</f>
        <v>5</v>
      </c>
    </row>
    <row r="485" spans="1:13" x14ac:dyDescent="0.25">
      <c r="A485" s="90">
        <v>43080</v>
      </c>
      <c r="B485">
        <v>45.93</v>
      </c>
      <c r="C485" s="93">
        <f t="shared" ref="C485" si="872">B485/B484-1</f>
        <v>8.5638998682477929E-3</v>
      </c>
      <c r="D485" s="38">
        <f t="shared" ref="D485" si="873">+F484*(1+L485)</f>
        <v>45.858318710036762</v>
      </c>
      <c r="E485" s="92"/>
      <c r="F485">
        <v>45.86</v>
      </c>
      <c r="G485" s="42">
        <f t="shared" ref="G485" si="874">+B485/D485-1</f>
        <v>1.5631033142859962E-3</v>
      </c>
      <c r="H485" s="92"/>
      <c r="I485" s="93">
        <f t="shared" si="389"/>
        <v>1.5263846489315114E-3</v>
      </c>
      <c r="J485">
        <v>20001.189999999999</v>
      </c>
      <c r="K485">
        <v>20229.84</v>
      </c>
      <c r="L485" s="93">
        <f t="shared" ref="L485" si="875">+K485/J485-1</f>
        <v>1.1431819806721588E-2</v>
      </c>
      <c r="M485" s="92">
        <f t="shared" ref="M485" si="876">WEEKDAY(A485,2)</f>
        <v>1</v>
      </c>
    </row>
    <row r="486" spans="1:13" x14ac:dyDescent="0.25">
      <c r="A486" s="90">
        <v>43081</v>
      </c>
      <c r="B486">
        <v>45.45</v>
      </c>
      <c r="C486" s="93">
        <f t="shared" ref="C486" si="877">B486/B485-1</f>
        <v>-1.04506858262573E-2</v>
      </c>
      <c r="D486" s="38">
        <f t="shared" ref="D486" si="878">+F485*(1+L486)</f>
        <v>45.414862045374555</v>
      </c>
      <c r="E486" s="92"/>
      <c r="F486">
        <v>45.41</v>
      </c>
      <c r="G486" s="42">
        <f t="shared" ref="G486" si="879">+B486/D486-1</f>
        <v>7.7371047808849625E-4</v>
      </c>
      <c r="H486" s="92"/>
      <c r="I486" s="93">
        <f t="shared" si="389"/>
        <v>8.8086324598113386E-4</v>
      </c>
      <c r="J486">
        <v>20229.84</v>
      </c>
      <c r="K486">
        <v>20033.48</v>
      </c>
      <c r="L486" s="93">
        <f t="shared" ref="L486" si="880">+K486/J486-1</f>
        <v>-9.7064534371008593E-3</v>
      </c>
      <c r="M486" s="92">
        <f t="shared" ref="M486" si="881">WEEKDAY(A486,2)</f>
        <v>2</v>
      </c>
    </row>
    <row r="487" spans="1:13" x14ac:dyDescent="0.25">
      <c r="A487" s="90">
        <v>43082</v>
      </c>
      <c r="B487">
        <v>46.44</v>
      </c>
      <c r="C487" s="93">
        <f t="shared" ref="C487" si="882">B487/B486-1</f>
        <v>2.1782178217821579E-2</v>
      </c>
      <c r="D487" s="38">
        <f t="shared" ref="D487" si="883">+F486*(1+L487)</f>
        <v>46.093706390502305</v>
      </c>
      <c r="E487" s="92"/>
      <c r="G487" s="42">
        <f t="shared" ref="G487" si="884">+B487/D487-1</f>
        <v>7.5128176190457641E-3</v>
      </c>
      <c r="H487" s="92"/>
      <c r="J487">
        <v>20033.48</v>
      </c>
      <c r="K487">
        <v>20335.11</v>
      </c>
      <c r="L487" s="93">
        <f t="shared" ref="L487" si="885">+K487/J487-1</f>
        <v>1.5056295760896399E-2</v>
      </c>
      <c r="M487" s="92">
        <f t="shared" ref="M487" si="886">WEEKDAY(A487,2)</f>
        <v>3</v>
      </c>
    </row>
    <row r="488" spans="1:13" x14ac:dyDescent="0.25">
      <c r="A488" s="90">
        <v>43083</v>
      </c>
    </row>
    <row r="489" spans="1:13" x14ac:dyDescent="0.25">
      <c r="A489" s="90">
        <v>43084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89"/>
  <sheetViews>
    <sheetView zoomScale="115" zoomScaleNormal="115" workbookViewId="0">
      <pane xSplit="1" ySplit="2" topLeftCell="B469" activePane="bottomRight" state="frozen"/>
      <selection pane="topRight" activeCell="B1" sqref="B1"/>
      <selection pane="bottomLeft" activeCell="A3" sqref="A3"/>
      <selection pane="bottomRight" activeCell="E485" sqref="E48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3.5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3.5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3.5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3.5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3.5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3.5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3.5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3.5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3.5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3.5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3.5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3.5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3.5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3.5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3.5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3.5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3.5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3.5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3.5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3.5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3.5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3.5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3.5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3.5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3.5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3.5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3.5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3.5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3.5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3.5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3.5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3.5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3.5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3.5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3.5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3.5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3.5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3.5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3.5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3.5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3.5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3.5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3.5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3.5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3.5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3.5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3.5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3.5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3.5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3.5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3.5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3.5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3.5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3.5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3.5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3.5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3.5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3.5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3.5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3.5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3.5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3.5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3.5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3.5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3.5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3.5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3.5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3.5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3.5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3.5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3.5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3.5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3.5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3.5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3.5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3.5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3.5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3.5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3.5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3.5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3.5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3.5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3.5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3.5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3.5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3.5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3.5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3.5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3.5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3.5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3.5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3.5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3.5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3.5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3.5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3.5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3.5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3.5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3.5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3.5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3.5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3.5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3.5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3.5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3.5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3.5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3.5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3.5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3.5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3.5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3.5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3.5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3.5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3.5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3.5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3.5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3.5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3.5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3.5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3.5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3.5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3.5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3.5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3.5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3.5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3.5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3.5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3.5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3.5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3.5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3.5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3.5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3.5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3.5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3.5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3.5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3.5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3.5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3.5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3.5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3.5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3.5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3.5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3.5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3.5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3.5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3.5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3.5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3.5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3.5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3.5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3.5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3.5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3.5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3.5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3.5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3.5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3.5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3.5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3.5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3.5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3.5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3.5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3.5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3.5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3.5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3.5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3.5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3.5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3.5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3.5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3.5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3.5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3.5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3.5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3.5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3.5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3.5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3.5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3.5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3.5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3.5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3.5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3.5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3.5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3.5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3.5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3.5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3.5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3.5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3.5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3.5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3.5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3.5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3.5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3.5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3.5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3.5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3.5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3.5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3.5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3.5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3.5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3.5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3.5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3.5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3.5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3.5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3.5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3.5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3.5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3.5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3.5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3.5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3.5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3.5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3.5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3.5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3.5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3.5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3.5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3.5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3.5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3.5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3.5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3.5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3.5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3.5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3.5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3.5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3.5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3.5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3.5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3.5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3.5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3.5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3.5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3.5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3.5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3.5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3.5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3.5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3.5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3.5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3.5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3.5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3.5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3.5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3.5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3.5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3.5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3.5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3.5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3.5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3.5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3.5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3.5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3.5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3.5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3.5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3.5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3.5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3.5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3.5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3.5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3.5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3.5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3.5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3.5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3.5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3.5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3.5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3.5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3.5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3.5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3.5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3.5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3.5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3.5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3.5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3.5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3.5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3.5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3.5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3.5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3.5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3.5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3.5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3.5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3.5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3.5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3.5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3.5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3.5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3.5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3.5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3.5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3.5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3.5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3.5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3.5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3.5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3.5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3.5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3.5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3.5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3.5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3.5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3.5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3.5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3.5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3.5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3.5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3.5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3.5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3.5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3.5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3.5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3.5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3.5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3.5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3.5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3.5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ht="13.5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ht="13.5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ht="13.5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ht="13.5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ht="13.5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ht="13.5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ht="13.5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ht="13.5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ht="13.5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ht="13.5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ht="13.5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ht="13.5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ht="13.5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ht="13.5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ht="13.5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ht="13.5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ht="13.5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ht="13.5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ht="13.5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ht="13.5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ht="13.5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ht="13.5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ht="13.5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ht="13.5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ht="13.5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ht="13.5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86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ht="13.5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ht="13.5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ht="13.5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ht="13.5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ht="13.5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ht="13.5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ht="13.5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ht="13.5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ht="13.5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ht="13.5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ht="13.5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ht="13.5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ht="13.5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ht="13.5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ht="13.5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ht="13.5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ht="13.5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ht="13.5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ht="13.5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ht="13.5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ht="13.5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ht="13.5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ht="13.5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ht="13.5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ht="13.5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ht="13.5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ht="13.5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ht="13.5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ht="13.5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ht="13.5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ht="13.5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ht="13.5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ht="13.5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ht="13.5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ht="13.5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ht="13.5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ht="13.5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ht="13.5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ht="13.5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ht="13.5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ht="13.5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ht="13.5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ht="13.5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ht="13.5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ht="13.5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ht="13.5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ht="13.5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ht="13.5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ht="13.5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ht="13.5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ht="13.5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ht="13.5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ht="13.5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ht="13.5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ht="13.5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ht="13.5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ht="13.5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ht="13.5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ht="13.5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ht="13.5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ht="13.5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ht="13.5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ht="13.5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ht="13.5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ht="13.5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ht="13.5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ht="13.5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ht="13.5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ht="13.5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ht="13.5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ht="13.5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ht="13.5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ht="13.5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ht="13.5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ht="13.5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ht="13.5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ht="13.5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ht="13.5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ht="13.5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ht="13.5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ht="13.5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ht="13.5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ht="13.5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ht="13.5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ht="13.5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ht="13.5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ht="13.5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ht="13.5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ht="13.5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ht="13.5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ht="13.5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ht="13.5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ht="13.5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ht="13.5" x14ac:dyDescent="0.1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ht="13.5" x14ac:dyDescent="0.1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ht="13.5" x14ac:dyDescent="0.1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2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2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2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x14ac:dyDescent="0.2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2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2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2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2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2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2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x14ac:dyDescent="0.2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x14ac:dyDescent="0.2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x14ac:dyDescent="0.2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x14ac:dyDescent="0.2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x14ac:dyDescent="0.2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x14ac:dyDescent="0.2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x14ac:dyDescent="0.2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x14ac:dyDescent="0.2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x14ac:dyDescent="0.2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x14ac:dyDescent="0.2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x14ac:dyDescent="0.2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x14ac:dyDescent="0.2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x14ac:dyDescent="0.25">
      <c r="A488" s="90">
        <v>43083</v>
      </c>
    </row>
    <row r="489" spans="1:13" x14ac:dyDescent="0.25">
      <c r="A489" s="90">
        <v>43084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89"/>
  <sheetViews>
    <sheetView zoomScale="115" zoomScaleNormal="115" workbookViewId="0">
      <pane xSplit="1" ySplit="2" topLeftCell="B473" activePane="bottomRight" state="frozen"/>
      <selection pane="topRight" activeCell="B1" sqref="B1"/>
      <selection pane="bottomLeft" activeCell="A3" sqref="A3"/>
      <selection pane="bottomRight" activeCell="C486" sqref="C486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ht="13.5" x14ac:dyDescent="0.15">
      <c r="J1" t="s">
        <v>218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3.5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3.5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3.5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3.5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3.5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3.5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3.5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3.5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3.5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3.5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3.5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3.5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3.5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3.5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3.5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3.5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3.5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3.5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3.5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3.5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3.5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3.5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3.5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3.5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3.5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3.5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3.5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3.5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3.5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3.5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3.5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3.5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3.5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3.5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3.5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3.5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3.5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3.5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3.5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3.5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3.5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3.5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3.5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3.5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3.5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3.5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3.5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3.5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3.5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3.5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3.5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3.5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3.5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3.5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3.5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3.5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3.5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3.5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3.5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3.5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3.5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3.5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3.5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3.5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3.5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3.5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3.5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3.5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3.5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3.5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3.5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3.5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3.5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3.5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3.5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3.5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3.5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3.5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3.5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3.5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3.5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3.5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3.5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3.5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3.5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3.5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3.5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3.5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3.5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3.5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3.5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3.5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3.5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3.5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3.5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3.5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3.5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3.5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3.5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3.5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3.5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3.5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3.5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3.5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3.5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3.5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3.5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3.5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3.5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3.5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3.5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3.5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3.5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3.5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3.5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3.5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3.5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3.5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3.5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3.5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3.5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3.5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3.5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3.5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3.5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3.5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3.5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3.5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3.5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3.5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3.5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3.5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3.5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3.5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3.5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3.5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3.5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3.5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3.5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3.5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3.5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3.5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3.5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3.5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3.5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3.5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3.5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3.5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3.5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3.5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3.5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3.5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3.5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3.5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3.5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3.5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3.5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3.5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3.5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3.5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3.5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3.5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3.5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3.5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3.5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3.5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3.5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3.5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3.5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3.5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3.5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3.5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3.5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3.5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3.5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3.5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3.5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3.5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3.5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3.5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3.5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3.5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3.5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3.5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3.5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3.5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3.5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3.5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3.5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3.5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3.5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3.5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3.5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3.5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3.5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3.5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3.5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3.5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3.5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3.5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3.5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3.5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3.5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3.5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3.5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3.5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3.5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3.5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3.5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3.5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3.5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3.5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3.5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3.5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3.5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3.5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3.5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3.5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13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3.5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3.5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3.5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3.5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3.5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3.5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3.5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3.5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3.5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3.5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3.5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3.5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3.5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3.5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3.5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3.5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13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3.5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3.5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3.5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3.5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3.5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3.5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3.5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3.5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3.5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3.5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3.5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3.5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3.5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3.5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3.5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3.5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3.5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3.5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3.5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3.5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3.5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3.5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3.5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13.5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3.5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3.5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13.5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3.5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3.5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3.5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3.5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3.5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3.5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3.5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3.5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3.5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3.5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13.5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3.5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13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3.5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13.5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3.5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3.5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13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3.5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3.5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3.5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3.5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13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13.5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3.5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3.5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3.5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3.5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3.5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13.5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13.5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3.5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3.5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3.5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13.5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13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3.5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3.5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3.5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3.5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3.5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3.5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3.5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13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3.5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3.5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3.5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3.5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3.5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3.5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3.5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3.5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3.5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3.5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3.5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3.5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3.5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3.5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3.5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3.5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3.5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3.5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3.5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3.5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3.5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ht="13.5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ht="13.5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ht="13.5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3.5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3.5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13.5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ht="13.5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3.5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3.5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ht="13.5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3.5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3.5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3.5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3.5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3.5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3.5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3.5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3.5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3.5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3.5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3.5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13.5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ht="13.5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3.5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3.5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3.5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ht="13.5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3.5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3.5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3.5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3.5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3.5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3.5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3.5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3.5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ht="13.5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3.5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13.5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ht="13.5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3.5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3.5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3.5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13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ht="13.5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ht="13.5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3.5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3.5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3.5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3.5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ht="13.5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3.5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ht="13.5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ht="13.5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ht="13.5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ht="13.5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ht="13.5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ht="13.5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ht="13.5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ht="13.5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ht="13.5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ht="13.5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ht="13.5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ht="13.5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ht="13.5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ht="13.5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ht="13.5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ht="13.5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ht="13.5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ht="13.5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ht="13.5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ht="13.5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ht="13.5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ht="13.5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ht="13.5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ht="13.5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ht="13.5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ht="13.5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ht="13.5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ht="13.5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ht="13.5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ht="13.5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ht="13.5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ht="13.5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ht="13.5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ht="13.5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ht="13.5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ht="13.5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ht="13.5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ht="13.5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ht="13.5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ht="13.5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ht="13.5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ht="13.5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ht="13.5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ht="13.5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ht="13.5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ht="13.5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ht="13.5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ht="13.5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ht="13.5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ht="13.5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ht="13.5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ht="13.5" x14ac:dyDescent="0.1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ht="13.5" x14ac:dyDescent="0.1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486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ht="13.5" x14ac:dyDescent="0.1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ht="13.5" x14ac:dyDescent="0.1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ht="13.5" x14ac:dyDescent="0.1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ht="13.5" x14ac:dyDescent="0.1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x14ac:dyDescent="0.2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2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2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x14ac:dyDescent="0.2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x14ac:dyDescent="0.2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x14ac:dyDescent="0.2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x14ac:dyDescent="0.2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x14ac:dyDescent="0.2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x14ac:dyDescent="0.2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x14ac:dyDescent="0.2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8" x14ac:dyDescent="0.2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x14ac:dyDescent="0.2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x14ac:dyDescent="0.2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x14ac:dyDescent="0.2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x14ac:dyDescent="0.2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x14ac:dyDescent="0.2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x14ac:dyDescent="0.2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x14ac:dyDescent="0.2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x14ac:dyDescent="0.2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x14ac:dyDescent="0.25">
      <c r="A488" s="90">
        <v>43083</v>
      </c>
    </row>
    <row r="489" spans="1:14" x14ac:dyDescent="0.25">
      <c r="A489" s="90">
        <v>43084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90"/>
  <sheetViews>
    <sheetView zoomScale="115" zoomScaleNormal="115" workbookViewId="0">
      <pane xSplit="1" ySplit="2" topLeftCell="E472" activePane="bottomRight" state="frozen"/>
      <selection pane="topRight" activeCell="B1" sqref="B1"/>
      <selection pane="bottomLeft" activeCell="A3" sqref="A3"/>
      <selection pane="bottomRight" activeCell="L487" sqref="L487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ht="13.5" x14ac:dyDescent="0.15">
      <c r="J1" t="s">
        <v>220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3.5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3.5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3.5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3.5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3.5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3.5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3.5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3.5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3.5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3.5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3.5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3.5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3.5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3.5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3.5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3.5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3.5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3.5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3.5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3.5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3.5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3.5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3.5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3.5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3.5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3.5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3.5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3.5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3.5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3.5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3.5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3.5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3.5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3.5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3.5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3.5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3.5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3.5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3.5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3.5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3.5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3.5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3.5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3.5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3.5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3.5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3.5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3.5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3.5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3.5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3.5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3.5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3.5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3.5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3.5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3.5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3.5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3.5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3.5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3.5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3.5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3.5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3.5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3.5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3.5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3.5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3.5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3.5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3.5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3.5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3.5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3.5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3.5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3.5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3.5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3.5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3.5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3.5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3.5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3.5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3.5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3.5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3.5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3.5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3.5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3.5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3.5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3.5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3.5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3.5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3.5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3.5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3.5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3.5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3.5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3.5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3.5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3.5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3.5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3.5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3.5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3.5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3.5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3.5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3.5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3.5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3.5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3.5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3.5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3.5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3.5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3.5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3.5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3.5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3.5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3.5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3.5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3.5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3.5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3.5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3.5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3.5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3.5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3.5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3.5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3.5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3.5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3.5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3.5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3.5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3.5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3.5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3.5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3.5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3.5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3.5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3.5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3.5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3.5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3.5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3.5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3.5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3.5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3.5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3.5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3.5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3.5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3.5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3.5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3.5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3.5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3.5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3.5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3.5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3.5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3.5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3.5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3.5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3.5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3.5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3.5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3.5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3.5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3.5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3.5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3.5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3.5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3.5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3.5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3.5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3.5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3.5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3.5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3.5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3.5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3.5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3.5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3.5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3.5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3.5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3.5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3.5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3.5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3.5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3.5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3.5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3.5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3.5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3.5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3.5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3.5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3.5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3.5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3.5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3.5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3.5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3.5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3.5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3.5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3.5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3.5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3.5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3.5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3.5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3.5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3.5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3.5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3.5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3.5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3.5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3.5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3.5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3.5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3.5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3.5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3.5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3.5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3.5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3.5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3.5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3.5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3.5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3.5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3.5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3.5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3.5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3.5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3.5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3.5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3.5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3.5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3.5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3.5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3.5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3.5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3.5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3.5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3.5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3.5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3.5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3.5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3.5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3.5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3.5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3.5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3.5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3.5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3.5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3.5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3.5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3.5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3.5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3.5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3.5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3.5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3.5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3.5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3.5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3.5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3.5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3.5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3.5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3.5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3.5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3.5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3.5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3.5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3.5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3.5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3.5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3.5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3.5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3.5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3.5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3.5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3.5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3.5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3.5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3.5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3.5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3.5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3.5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3.5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3.5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3.5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3.5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3.5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3.5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3.5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3.5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3.5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3.5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3.5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3.5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3.5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3.5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3.5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3.5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3.5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3.5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3.5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3.5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3.5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3.5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3.5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3.5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3.5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3.5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3.5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3.5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3.5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3.5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3.5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3.5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3.5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3.5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3.5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3.5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3.5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3.5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3.5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3.5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3.5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3.5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3.5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3.5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3.5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3.5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3.5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3.5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3.5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3.5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3.5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3.5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3.5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3.5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3.5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3.5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3.5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3.5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3.5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3.5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3.5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3.5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3.5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3.5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3.5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3.5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3.5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3.5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3.5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3.5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3.5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3.5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3.5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3.5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3.5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ht="13.5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3.5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3.5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3.5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3.5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3.5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3.5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3.5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ht="13.5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3.5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3.5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3.5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3.5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3.5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3.5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3.5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3.5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3.5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3.5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3.5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3.5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3.5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3.5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3.5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ht="13.5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3.5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3.5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3.5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ht="13.5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3.5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3.5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3.5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3.5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3.5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ht="13.5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ht="13.5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ht="13.5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ht="13.5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ht="13.5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ht="13.5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ht="13.5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ht="13.5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ht="13.5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ht="13.5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ht="13.5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ht="13.5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ht="13.5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ht="13.5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ht="13.5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ht="13.5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ht="13.5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ht="13.5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ht="13.5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ht="13.5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ht="13.5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ht="13.5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ht="13.5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ht="13.5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ht="13.5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ht="13.5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ht="13.5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ht="13.5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ht="13.5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ht="13.5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ht="13.5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ht="13.5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ht="13.5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ht="13.5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ht="13.5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ht="13.5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ht="13.5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ht="13.5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ht="13.5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ht="13.5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ht="13.5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ht="13.5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ht="13.5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ht="13.5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ht="13.5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ht="13.5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ht="13.5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ht="13.5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ht="13.5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ht="13.5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ht="13.5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ht="13.5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ht="13.5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ht="13.5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ht="13.5" x14ac:dyDescent="0.1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ht="13.5" x14ac:dyDescent="0.1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ht="13.5" x14ac:dyDescent="0.1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ht="13.5" x14ac:dyDescent="0.1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ht="13.5" x14ac:dyDescent="0.1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2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x14ac:dyDescent="0.2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2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2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2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2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487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x14ac:dyDescent="0.2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x14ac:dyDescent="0.2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x14ac:dyDescent="0.2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x14ac:dyDescent="0.2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x14ac:dyDescent="0.2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x14ac:dyDescent="0.2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x14ac:dyDescent="0.2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x14ac:dyDescent="0.2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x14ac:dyDescent="0.2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x14ac:dyDescent="0.2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x14ac:dyDescent="0.2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x14ac:dyDescent="0.2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x14ac:dyDescent="0.2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x14ac:dyDescent="0.2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x14ac:dyDescent="0.25">
      <c r="A489" s="90">
        <v>43083</v>
      </c>
    </row>
    <row r="490" spans="1:14" x14ac:dyDescent="0.25">
      <c r="A490" s="90">
        <v>43084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2017-12-13T23:26:20Z</dcterms:modified>
</cp:coreProperties>
</file>