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335" windowWidth="16605" windowHeight="5445" activeTab="1"/>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Stock!$A$2:$XFB$2262</definedName>
  </definedNames>
  <calcPr calcId="145621"/>
</workbook>
</file>

<file path=xl/calcChain.xml><?xml version="1.0" encoding="utf-8"?>
<calcChain xmlns="http://schemas.openxmlformats.org/spreadsheetml/2006/main">
  <c r="B258" i="7" l="1"/>
  <c r="B257" i="7"/>
  <c r="B256" i="7"/>
  <c r="B255" i="7"/>
  <c r="B254" i="7"/>
  <c r="W253" i="7"/>
  <c r="Z253" i="7" s="1"/>
  <c r="X253" i="7"/>
  <c r="U253" i="7"/>
  <c r="K253" i="7"/>
  <c r="L253" i="7" s="1"/>
  <c r="K254" i="7"/>
  <c r="M253" i="7"/>
  <c r="N2261" i="1"/>
  <c r="O2261" i="1" s="1"/>
  <c r="P2261" i="1"/>
  <c r="Q2261" i="1"/>
  <c r="R2261" i="1"/>
  <c r="U2261" i="1"/>
  <c r="V2261" i="1"/>
  <c r="N2262" i="1"/>
  <c r="O2262" i="1" s="1"/>
  <c r="R2262" i="1"/>
  <c r="U2262" i="1"/>
  <c r="V2262" i="1"/>
  <c r="G2261" i="1"/>
  <c r="G2262" i="1"/>
  <c r="F253" i="7"/>
  <c r="E253" i="7"/>
  <c r="S2261" i="1" l="1"/>
  <c r="T2261" i="1" s="1"/>
  <c r="W2261" i="1"/>
  <c r="Y2261" i="1" s="1"/>
  <c r="Q2262" i="1"/>
  <c r="S2262" i="1" s="1"/>
  <c r="T2262" i="1" s="1"/>
  <c r="W2262" i="1" s="1"/>
  <c r="Y2262" i="1" s="1"/>
  <c r="X2262" i="1"/>
  <c r="P2262" i="1"/>
  <c r="X2261" i="1"/>
  <c r="K248" i="7"/>
  <c r="Z252" i="7" l="1"/>
  <c r="W252" i="7"/>
  <c r="X252" i="7"/>
  <c r="U252" i="7"/>
  <c r="K252" i="7"/>
  <c r="L252" i="7" s="1"/>
  <c r="M252" i="7"/>
  <c r="F252" i="7"/>
  <c r="E252" i="7"/>
  <c r="N2253" i="1"/>
  <c r="O2253" i="1" s="1"/>
  <c r="P2253" i="1"/>
  <c r="Q2253" i="1"/>
  <c r="R2253" i="1"/>
  <c r="U2253" i="1"/>
  <c r="V2253" i="1"/>
  <c r="N2254" i="1"/>
  <c r="O2254" i="1" s="1"/>
  <c r="R2254" i="1"/>
  <c r="U2254" i="1"/>
  <c r="V2254" i="1"/>
  <c r="N2255" i="1"/>
  <c r="O2255" i="1" s="1"/>
  <c r="R2255" i="1"/>
  <c r="U2255" i="1"/>
  <c r="V2255" i="1"/>
  <c r="N2256" i="1"/>
  <c r="O2256" i="1" s="1"/>
  <c r="R2256" i="1"/>
  <c r="U2256" i="1"/>
  <c r="V2256" i="1"/>
  <c r="N2257" i="1"/>
  <c r="O2257" i="1" s="1"/>
  <c r="P2257" i="1"/>
  <c r="R2257" i="1"/>
  <c r="U2257" i="1"/>
  <c r="V2257" i="1"/>
  <c r="N2258" i="1"/>
  <c r="O2258" i="1" s="1"/>
  <c r="R2258" i="1"/>
  <c r="U2258" i="1"/>
  <c r="V2258" i="1"/>
  <c r="N2259" i="1"/>
  <c r="O2259" i="1" s="1"/>
  <c r="R2259" i="1"/>
  <c r="U2259" i="1"/>
  <c r="V2259" i="1"/>
  <c r="N2260" i="1"/>
  <c r="O2260" i="1" s="1"/>
  <c r="P2260" i="1"/>
  <c r="R2260" i="1"/>
  <c r="U2260" i="1"/>
  <c r="V2260" i="1"/>
  <c r="G2253" i="1"/>
  <c r="G2254" i="1"/>
  <c r="G2255" i="1"/>
  <c r="G2256" i="1"/>
  <c r="G2257" i="1"/>
  <c r="G2258" i="1"/>
  <c r="G2259" i="1"/>
  <c r="G2260" i="1"/>
  <c r="W2253" i="1" l="1"/>
  <c r="Y2253" i="1" s="1"/>
  <c r="S2253" i="1"/>
  <c r="T2253" i="1" s="1"/>
  <c r="Q2258" i="1"/>
  <c r="Q2257" i="1"/>
  <c r="P2259" i="1"/>
  <c r="Q2260" i="1"/>
  <c r="Q2259" i="1"/>
  <c r="S2259" i="1" s="1"/>
  <c r="T2259" i="1" s="1"/>
  <c r="W2259" i="1" s="1"/>
  <c r="Y2259" i="1" s="1"/>
  <c r="Q2256" i="1"/>
  <c r="Q2255" i="1"/>
  <c r="Q2254" i="1"/>
  <c r="X2260" i="1"/>
  <c r="X2259" i="1"/>
  <c r="X2258" i="1"/>
  <c r="P2258" i="1"/>
  <c r="X2257" i="1"/>
  <c r="X2256" i="1"/>
  <c r="P2256" i="1"/>
  <c r="S2256" i="1" s="1"/>
  <c r="T2256" i="1" s="1"/>
  <c r="W2256" i="1" s="1"/>
  <c r="Y2256" i="1" s="1"/>
  <c r="X2255" i="1"/>
  <c r="P2255" i="1"/>
  <c r="S2255" i="1" s="1"/>
  <c r="T2255" i="1" s="1"/>
  <c r="W2255" i="1" s="1"/>
  <c r="Y2255" i="1" s="1"/>
  <c r="X2254" i="1"/>
  <c r="P2254" i="1"/>
  <c r="X2253" i="1"/>
  <c r="S2260" i="1"/>
  <c r="T2260" i="1" s="1"/>
  <c r="W2260" i="1" s="1"/>
  <c r="Y2260" i="1" s="1"/>
  <c r="S2258" i="1"/>
  <c r="T2258" i="1" s="1"/>
  <c r="W2258" i="1" s="1"/>
  <c r="Y2258" i="1" s="1"/>
  <c r="S2257" i="1"/>
  <c r="T2257" i="1" s="1"/>
  <c r="W2257" i="1" s="1"/>
  <c r="Y2257" i="1" s="1"/>
  <c r="S2254" i="1"/>
  <c r="T2254" i="1" s="1"/>
  <c r="W2254" i="1" s="1"/>
  <c r="Y2254" i="1" s="1"/>
  <c r="Z251" i="7" l="1"/>
  <c r="W251" i="7"/>
  <c r="X251" i="7"/>
  <c r="U251" i="7"/>
  <c r="L251" i="7"/>
  <c r="K251" i="7"/>
  <c r="N2252" i="1"/>
  <c r="O2252" i="1" s="1"/>
  <c r="P2252" i="1"/>
  <c r="S2252" i="1" s="1"/>
  <c r="T2252" i="1" s="1"/>
  <c r="Q2252" i="1"/>
  <c r="R2252" i="1"/>
  <c r="U2252" i="1"/>
  <c r="V2252" i="1"/>
  <c r="W2252" i="1" s="1"/>
  <c r="Y2252" i="1" s="1"/>
  <c r="G2252" i="1"/>
  <c r="M251" i="7"/>
  <c r="F251" i="7"/>
  <c r="E251" i="7"/>
  <c r="X2252" i="1" l="1"/>
  <c r="F249" i="7"/>
  <c r="L250" i="7" l="1"/>
  <c r="L249" i="7"/>
  <c r="L248" i="7"/>
  <c r="K250" i="7"/>
  <c r="K249" i="7"/>
  <c r="U250" i="7"/>
  <c r="N2251" i="1"/>
  <c r="O2251" i="1" s="1"/>
  <c r="P2251" i="1"/>
  <c r="R2251" i="1"/>
  <c r="U2251" i="1"/>
  <c r="V2251" i="1"/>
  <c r="G2251" i="1"/>
  <c r="E250" i="7"/>
  <c r="Q2251" i="1" l="1"/>
  <c r="S2251" i="1" s="1"/>
  <c r="T2251" i="1" s="1"/>
  <c r="W2251" i="1" s="1"/>
  <c r="Y2251" i="1" s="1"/>
  <c r="X2251" i="1"/>
  <c r="E249" i="7"/>
  <c r="N2250" i="1"/>
  <c r="O2250" i="1" s="1"/>
  <c r="U2250" i="1"/>
  <c r="V2250" i="1"/>
  <c r="G2250" i="1"/>
  <c r="M249" i="7" l="1"/>
  <c r="U249" i="7"/>
  <c r="F250" i="7"/>
  <c r="M250" i="7"/>
  <c r="R2250" i="1"/>
  <c r="Q2250" i="1"/>
  <c r="X2250" i="1"/>
  <c r="P2250" i="1"/>
  <c r="B253" i="7"/>
  <c r="B252" i="7"/>
  <c r="B251" i="7"/>
  <c r="B250" i="7"/>
  <c r="B249" i="7"/>
  <c r="M248" i="7"/>
  <c r="Z248" i="7"/>
  <c r="U248" i="7"/>
  <c r="X248" i="7" s="1"/>
  <c r="W248" i="7"/>
  <c r="N2249" i="1"/>
  <c r="O2249" i="1" s="1"/>
  <c r="R2249" i="1"/>
  <c r="U2249" i="1"/>
  <c r="V2249" i="1"/>
  <c r="G2249" i="1"/>
  <c r="F248" i="7"/>
  <c r="E248" i="7"/>
  <c r="W250" i="7" l="1"/>
  <c r="X250" i="7"/>
  <c r="W249" i="7"/>
  <c r="Z249" i="7" s="1"/>
  <c r="Z250" i="7" s="1"/>
  <c r="X249" i="7"/>
  <c r="S2250" i="1"/>
  <c r="T2250" i="1" s="1"/>
  <c r="W2250" i="1" s="1"/>
  <c r="Y2250" i="1" s="1"/>
  <c r="Q2249" i="1"/>
  <c r="P2249" i="1"/>
  <c r="X2249" i="1"/>
  <c r="Z247" i="7"/>
  <c r="W247" i="7"/>
  <c r="X247" i="7"/>
  <c r="U247" i="7"/>
  <c r="K247" i="7"/>
  <c r="L247" i="7" s="1"/>
  <c r="M247" i="7"/>
  <c r="F247" i="7"/>
  <c r="E247" i="7"/>
  <c r="S2249" i="1" l="1"/>
  <c r="T2249" i="1" s="1"/>
  <c r="W2249" i="1" s="1"/>
  <c r="Y2249" i="1" s="1"/>
  <c r="W246" i="7"/>
  <c r="X246" i="7"/>
  <c r="U246" i="7"/>
  <c r="K246" i="7"/>
  <c r="L246" i="7" s="1"/>
  <c r="M246" i="7"/>
  <c r="N2242" i="1"/>
  <c r="O2242" i="1" s="1"/>
  <c r="R2242" i="1"/>
  <c r="U2242" i="1"/>
  <c r="V2242" i="1"/>
  <c r="N2243" i="1"/>
  <c r="O2243" i="1" s="1"/>
  <c r="R2243" i="1"/>
  <c r="U2243" i="1"/>
  <c r="V2243" i="1"/>
  <c r="N2244" i="1"/>
  <c r="O2244" i="1" s="1"/>
  <c r="R2244" i="1"/>
  <c r="U2244" i="1"/>
  <c r="V2244" i="1"/>
  <c r="N2245" i="1"/>
  <c r="O2245" i="1" s="1"/>
  <c r="R2245" i="1"/>
  <c r="U2245" i="1"/>
  <c r="V2245" i="1"/>
  <c r="N2246" i="1"/>
  <c r="O2246" i="1" s="1"/>
  <c r="R2246" i="1"/>
  <c r="U2246" i="1"/>
  <c r="V2246" i="1"/>
  <c r="N2247" i="1"/>
  <c r="O2247" i="1" s="1"/>
  <c r="R2247" i="1"/>
  <c r="U2247" i="1"/>
  <c r="V2247" i="1"/>
  <c r="N2248" i="1"/>
  <c r="O2248" i="1" s="1"/>
  <c r="P2248" i="1"/>
  <c r="R2248" i="1"/>
  <c r="U2248" i="1"/>
  <c r="V2248" i="1"/>
  <c r="G2242" i="1"/>
  <c r="G2243" i="1"/>
  <c r="G2244" i="1"/>
  <c r="G2245" i="1"/>
  <c r="G2246" i="1"/>
  <c r="G2247" i="1"/>
  <c r="G2248" i="1"/>
  <c r="F246" i="7"/>
  <c r="E246" i="7"/>
  <c r="Q2242" i="1" l="1"/>
  <c r="P2242" i="1"/>
  <c r="Q2248" i="1"/>
  <c r="S2248" i="1" s="1"/>
  <c r="T2248" i="1" s="1"/>
  <c r="W2248" i="1" s="1"/>
  <c r="Y2248" i="1" s="1"/>
  <c r="Q2246" i="1"/>
  <c r="Q2245" i="1"/>
  <c r="Q2247" i="1"/>
  <c r="X2247" i="1"/>
  <c r="P2247" i="1"/>
  <c r="X2246" i="1"/>
  <c r="P2246" i="1"/>
  <c r="X2245" i="1"/>
  <c r="P2245" i="1"/>
  <c r="X2244" i="1"/>
  <c r="P2244" i="1"/>
  <c r="X2243" i="1"/>
  <c r="P2243" i="1"/>
  <c r="X2242" i="1"/>
  <c r="Q2244" i="1"/>
  <c r="Q2243" i="1"/>
  <c r="X2248" i="1"/>
  <c r="W245" i="7"/>
  <c r="X245" i="7"/>
  <c r="U245" i="7"/>
  <c r="K245" i="7"/>
  <c r="L245" i="7" s="1"/>
  <c r="M245" i="7"/>
  <c r="N2240" i="1"/>
  <c r="O2240" i="1" s="1"/>
  <c r="R2240" i="1"/>
  <c r="U2240" i="1"/>
  <c r="V2240" i="1"/>
  <c r="N2241" i="1"/>
  <c r="O2241" i="1" s="1"/>
  <c r="P2241" i="1"/>
  <c r="R2241" i="1"/>
  <c r="U2241" i="1"/>
  <c r="V2241" i="1"/>
  <c r="G2240" i="1"/>
  <c r="G2241" i="1"/>
  <c r="F245" i="7"/>
  <c r="E245" i="7"/>
  <c r="S2243" i="1" l="1"/>
  <c r="T2243" i="1" s="1"/>
  <c r="W2243" i="1" s="1"/>
  <c r="Y2243" i="1" s="1"/>
  <c r="S2247" i="1"/>
  <c r="T2247" i="1" s="1"/>
  <c r="W2247" i="1" s="1"/>
  <c r="Y2247" i="1" s="1"/>
  <c r="S2246" i="1"/>
  <c r="T2246" i="1" s="1"/>
  <c r="W2246" i="1" s="1"/>
  <c r="Y2246" i="1" s="1"/>
  <c r="S2245" i="1"/>
  <c r="T2245" i="1" s="1"/>
  <c r="W2245" i="1" s="1"/>
  <c r="Y2245" i="1" s="1"/>
  <c r="S2242" i="1"/>
  <c r="T2242" i="1" s="1"/>
  <c r="W2242" i="1" s="1"/>
  <c r="Y2242" i="1" s="1"/>
  <c r="Q2240" i="1"/>
  <c r="S2244" i="1"/>
  <c r="T2244" i="1" s="1"/>
  <c r="W2244" i="1" s="1"/>
  <c r="Y2244" i="1" s="1"/>
  <c r="P2240" i="1"/>
  <c r="Q2241" i="1"/>
  <c r="S2241" i="1" s="1"/>
  <c r="T2241" i="1" s="1"/>
  <c r="W2241" i="1" s="1"/>
  <c r="Y2241" i="1" s="1"/>
  <c r="X2241" i="1"/>
  <c r="X2240" i="1"/>
  <c r="K244" i="7"/>
  <c r="S2240" i="1" l="1"/>
  <c r="T2240" i="1" s="1"/>
  <c r="W2240" i="1" s="1"/>
  <c r="Y2240" i="1" s="1"/>
  <c r="W244" i="7"/>
  <c r="X244" i="7"/>
  <c r="U244" i="7"/>
  <c r="M244" i="7"/>
  <c r="L244" i="7"/>
  <c r="N2239" i="1"/>
  <c r="O2239" i="1" s="1"/>
  <c r="R2239" i="1"/>
  <c r="U2239" i="1"/>
  <c r="V2239" i="1"/>
  <c r="G2239" i="1"/>
  <c r="F244" i="7"/>
  <c r="E244" i="7"/>
  <c r="P2239" i="1" l="1"/>
  <c r="Q2239" i="1"/>
  <c r="X2239" i="1"/>
  <c r="B248" i="7"/>
  <c r="B247" i="7"/>
  <c r="B246" i="7"/>
  <c r="B245" i="7"/>
  <c r="B244" i="7"/>
  <c r="W243" i="7"/>
  <c r="X243" i="7"/>
  <c r="U243" i="7"/>
  <c r="K243" i="7"/>
  <c r="L243" i="7" s="1"/>
  <c r="M243" i="7"/>
  <c r="F243" i="7"/>
  <c r="E243" i="7"/>
  <c r="N2236" i="1"/>
  <c r="O2236" i="1" s="1"/>
  <c r="R2236" i="1"/>
  <c r="U2236" i="1"/>
  <c r="V2236" i="1"/>
  <c r="N2237" i="1"/>
  <c r="O2237" i="1" s="1"/>
  <c r="R2237" i="1"/>
  <c r="U2237" i="1"/>
  <c r="V2237" i="1"/>
  <c r="N2238" i="1"/>
  <c r="O2238" i="1" s="1"/>
  <c r="P2238" i="1"/>
  <c r="R2238" i="1"/>
  <c r="U2238" i="1"/>
  <c r="V2238" i="1"/>
  <c r="G2236" i="1"/>
  <c r="G2237" i="1"/>
  <c r="G2238" i="1"/>
  <c r="S2239" i="1" l="1"/>
  <c r="T2239" i="1" s="1"/>
  <c r="W2239" i="1" s="1"/>
  <c r="Y2239" i="1" s="1"/>
  <c r="P2236" i="1"/>
  <c r="Q2236" i="1"/>
  <c r="X2238" i="1"/>
  <c r="P2237" i="1"/>
  <c r="Q2238" i="1"/>
  <c r="S2238" i="1" s="1"/>
  <c r="T2238" i="1" s="1"/>
  <c r="W2238" i="1" s="1"/>
  <c r="Y2238" i="1" s="1"/>
  <c r="Q2237"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O2232" i="1"/>
  <c r="X2233" i="1"/>
  <c r="X2232" i="1"/>
  <c r="O2235" i="1"/>
  <c r="O2234" i="1"/>
  <c r="X2230" i="1"/>
  <c r="Q2230" i="1"/>
  <c r="S2230" i="1" s="1"/>
  <c r="T2230" i="1" s="1"/>
  <c r="W2230" i="1" s="1"/>
  <c r="Y2230" i="1" s="1"/>
  <c r="S2232" i="1"/>
  <c r="T2232" i="1" s="1"/>
  <c r="W2232" i="1" s="1"/>
  <c r="O2231" i="1"/>
  <c r="O2233" i="1"/>
  <c r="X2231" i="1"/>
  <c r="U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W241" i="7"/>
  <c r="X241" i="7"/>
  <c r="U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W242" i="7"/>
  <c r="X242" i="7"/>
  <c r="Q2226" i="1"/>
  <c r="P2226" i="1"/>
  <c r="Q2228" i="1"/>
  <c r="Q2227" i="1"/>
  <c r="S2227" i="1" s="1"/>
  <c r="T2227" i="1" s="1"/>
  <c r="W2227" i="1" s="1"/>
  <c r="Y2227" i="1" s="1"/>
  <c r="X2229" i="1"/>
  <c r="X2228" i="1"/>
  <c r="P2228" i="1"/>
  <c r="X2227" i="1"/>
  <c r="X2226" i="1"/>
  <c r="Q2229" i="1"/>
  <c r="S2229" i="1" s="1"/>
  <c r="T2229" i="1" s="1"/>
  <c r="W2229" i="1" s="1"/>
  <c r="Y2229" i="1" s="1"/>
  <c r="W240" i="7"/>
  <c r="X240" i="7"/>
  <c r="U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W239" i="7"/>
  <c r="X239" i="7"/>
  <c r="U239" i="7"/>
  <c r="K239" i="7"/>
  <c r="L239" i="7" s="1"/>
  <c r="M239" i="7"/>
  <c r="F239" i="7"/>
  <c r="E239" i="7"/>
  <c r="S2225" i="1" l="1"/>
  <c r="T2225" i="1" s="1"/>
  <c r="W2225" i="1" s="1"/>
  <c r="Y2225" i="1" s="1"/>
  <c r="K238" i="7"/>
  <c r="B243" i="7"/>
  <c r="B242" i="7"/>
  <c r="B241" i="7"/>
  <c r="B240" i="7"/>
  <c r="B239" i="7"/>
  <c r="W238" i="7"/>
  <c r="X238" i="7"/>
  <c r="U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W237" i="7"/>
  <c r="X237" i="7"/>
  <c r="U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W236" i="7"/>
  <c r="X236" i="7"/>
  <c r="U236" i="7"/>
  <c r="M236" i="7"/>
  <c r="F236" i="7"/>
  <c r="E236" i="7"/>
  <c r="S2220" i="1" l="1"/>
  <c r="T2220" i="1" s="1"/>
  <c r="W2220" i="1" s="1"/>
  <c r="Y2220" i="1" s="1"/>
  <c r="S2221" i="1"/>
  <c r="T2221" i="1" s="1"/>
  <c r="W2221" i="1" s="1"/>
  <c r="Y2221" i="1" s="1"/>
  <c r="W235" i="7"/>
  <c r="X235" i="7"/>
  <c r="U235" i="7"/>
  <c r="K235" i="7"/>
  <c r="L235" i="7" s="1"/>
  <c r="L234" i="7"/>
  <c r="M235" i="7"/>
  <c r="F235" i="7"/>
  <c r="E235" i="7"/>
  <c r="W234" i="7" l="1"/>
  <c r="X234" i="7"/>
  <c r="U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W233" i="7" l="1"/>
  <c r="X233" i="7"/>
  <c r="U233" i="7"/>
  <c r="K233" i="7"/>
  <c r="M233" i="7"/>
  <c r="L233" i="7"/>
  <c r="N2215" i="1"/>
  <c r="O2215" i="1" s="1"/>
  <c r="P2215" i="1"/>
  <c r="R2215" i="1"/>
  <c r="U2215" i="1"/>
  <c r="V2215" i="1"/>
  <c r="G2215" i="1"/>
  <c r="F233" i="7"/>
  <c r="E233" i="7"/>
  <c r="Q2215" i="1" l="1"/>
  <c r="S2215" i="1" s="1"/>
  <c r="T2215" i="1" s="1"/>
  <c r="W2215" i="1" s="1"/>
  <c r="Y2215" i="1" s="1"/>
  <c r="X2215" i="1"/>
  <c r="M232" i="7"/>
  <c r="L232" i="7"/>
  <c r="W232" i="7"/>
  <c r="X232" i="7"/>
  <c r="U232" i="7"/>
  <c r="F232" i="7"/>
  <c r="E232" i="7"/>
  <c r="W231" i="7" l="1"/>
  <c r="X231" i="7"/>
  <c r="U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W230" i="7"/>
  <c r="X230" i="7"/>
  <c r="U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W229" i="7"/>
  <c r="X229" i="7"/>
  <c r="U229" i="7"/>
  <c r="K229" i="7"/>
  <c r="L229" i="7"/>
  <c r="L228" i="7"/>
  <c r="E229" i="7"/>
  <c r="F229" i="7" s="1"/>
  <c r="Y2211" i="1" l="1"/>
  <c r="M229" i="7"/>
  <c r="W228" i="7"/>
  <c r="X228" i="7"/>
  <c r="U228" i="7"/>
  <c r="M228" i="7"/>
  <c r="F228" i="7"/>
  <c r="E228" i="7"/>
  <c r="B228" i="7"/>
  <c r="K227" i="7" l="1"/>
  <c r="L227" i="7" s="1"/>
  <c r="E227" i="7"/>
  <c r="N2210" i="1"/>
  <c r="O2210" i="1" s="1"/>
  <c r="P2210" i="1"/>
  <c r="U2210" i="1"/>
  <c r="V2210" i="1"/>
  <c r="G2210" i="1"/>
  <c r="R2210" i="1" l="1"/>
  <c r="Q2210" i="1"/>
  <c r="U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U226" i="7"/>
  <c r="F227" i="7"/>
  <c r="M226" i="7"/>
  <c r="X2209" i="1"/>
  <c r="K225" i="7"/>
  <c r="L225" i="7" s="1"/>
  <c r="E225" i="7"/>
  <c r="U225" i="7" s="1"/>
  <c r="N2208" i="1"/>
  <c r="O2208" i="1" s="1"/>
  <c r="P2208" i="1"/>
  <c r="R2208" i="1"/>
  <c r="U2208" i="1"/>
  <c r="V2208" i="1"/>
  <c r="G2208" i="1"/>
  <c r="S2209" i="1" l="1"/>
  <c r="T2209" i="1" s="1"/>
  <c r="W2209" i="1" s="1"/>
  <c r="Y2209" i="1" s="1"/>
  <c r="Q2208" i="1"/>
  <c r="S2208" i="1" s="1"/>
  <c r="T2208" i="1" s="1"/>
  <c r="W2208" i="1" s="1"/>
  <c r="Y2208" i="1" s="1"/>
  <c r="W226" i="7"/>
  <c r="X226" i="7"/>
  <c r="F226" i="7"/>
  <c r="X227" i="7"/>
  <c r="W227" i="7"/>
  <c r="X2208" i="1"/>
  <c r="M42" i="7"/>
  <c r="M41" i="7"/>
  <c r="K224" i="7" l="1"/>
  <c r="L224" i="7" s="1"/>
  <c r="N2207" i="1"/>
  <c r="O2207" i="1" s="1"/>
  <c r="P2207" i="1"/>
  <c r="R2207" i="1"/>
  <c r="U2207" i="1"/>
  <c r="V2207" i="1"/>
  <c r="G2207" i="1"/>
  <c r="E224" i="7"/>
  <c r="Q2207" i="1" l="1"/>
  <c r="S2207" i="1" s="1"/>
  <c r="T2207" i="1" s="1"/>
  <c r="W2207" i="1" s="1"/>
  <c r="Y2207" i="1" s="1"/>
  <c r="F225" i="7"/>
  <c r="M225" i="7"/>
  <c r="U224" i="7"/>
  <c r="X2207" i="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R2206" i="1"/>
  <c r="U2206" i="1"/>
  <c r="V2206" i="1"/>
  <c r="G2206" i="1"/>
  <c r="Q2206" i="1" l="1"/>
  <c r="P2206" i="1"/>
  <c r="W222" i="7"/>
  <c r="X222" i="7"/>
  <c r="X223" i="7"/>
  <c r="W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U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Q2195" i="1"/>
  <c r="U209" i="7"/>
  <c r="K209" i="7"/>
  <c r="L209" i="7" s="1"/>
  <c r="E209" i="7"/>
  <c r="F2193" i="1"/>
  <c r="S2194" i="1" l="1"/>
  <c r="T2194" i="1" s="1"/>
  <c r="W2194" i="1" s="1"/>
  <c r="Y2194" i="1" s="1"/>
  <c r="W210" i="7"/>
  <c r="X211" i="7"/>
  <c r="X2194" i="1"/>
  <c r="X2195" i="1"/>
  <c r="G2193" i="1"/>
  <c r="V2193" i="1"/>
  <c r="U2193" i="1"/>
  <c r="S2195" i="1"/>
  <c r="T2195" i="1" s="1"/>
  <c r="W2195" i="1" s="1"/>
  <c r="Y2195"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l="1"/>
  <c r="T2191" i="1" s="1"/>
  <c r="W2191" i="1" s="1"/>
  <c r="Y2191" i="1" s="1"/>
  <c r="X208" i="7"/>
  <c r="W208" i="7"/>
  <c r="S2192" i="1"/>
  <c r="T2192" i="1" s="1"/>
  <c r="W2192" i="1" s="1"/>
  <c r="Y2192" i="1" s="1"/>
  <c r="X2192" i="1"/>
  <c r="X2191" i="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U2190" i="1"/>
  <c r="R2190" i="1"/>
  <c r="P2190" i="1"/>
  <c r="K201" i="7"/>
  <c r="L201" i="7"/>
  <c r="J201" i="7"/>
  <c r="E201" i="7"/>
  <c r="U201" i="7" s="1"/>
  <c r="W202" i="7" s="1"/>
  <c r="S2190" i="1" l="1"/>
  <c r="T2190" i="1" s="1"/>
  <c r="W2190" i="1" s="1"/>
  <c r="Y2190" i="1" s="1"/>
  <c r="F202" i="7"/>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U198" i="7"/>
  <c r="F199" i="7"/>
  <c r="M199" i="7"/>
  <c r="G2184" i="1"/>
  <c r="V2184" i="1"/>
  <c r="U2184" i="1"/>
  <c r="O2184" i="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X186" i="7"/>
  <c r="W186" i="7"/>
  <c r="X2159" i="1"/>
  <c r="S2159" i="1"/>
  <c r="T2159" i="1" s="1"/>
  <c r="W2159" i="1" s="1"/>
  <c r="Y2159" i="1" s="1"/>
  <c r="X2160" i="1"/>
  <c r="X2158" i="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S1953" i="1"/>
  <c r="T1953" i="1" s="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30" i="1" l="1"/>
  <c r="T1930" i="1" s="1"/>
  <c r="W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W1953" i="1"/>
  <c r="Y1953" i="1" s="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Y1930"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S1529" i="1" s="1"/>
  <c r="T1529" i="1" s="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S1401" i="1"/>
  <c r="T1401" i="1" s="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S1220" i="1"/>
  <c r="T1220" i="1" s="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S1218" i="1"/>
  <c r="T1218" i="1" s="1"/>
  <c r="W1218" i="1" s="1"/>
  <c r="Y1218" i="1" s="1"/>
  <c r="S1211" i="1"/>
  <c r="T1211" i="1" s="1"/>
  <c r="W1211" i="1" s="1"/>
  <c r="Y1211" i="1" s="1"/>
  <c r="P1193" i="1"/>
  <c r="P1189" i="1"/>
  <c r="P1185" i="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W1210" i="1"/>
  <c r="Y1210"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S1189" i="1"/>
  <c r="T1189" i="1" s="1"/>
  <c r="O1176" i="1"/>
  <c r="O1174" i="1"/>
  <c r="O1169" i="1"/>
  <c r="O1192" i="1"/>
  <c r="O1187" i="1"/>
  <c r="O1185" i="1"/>
  <c r="S1185" i="1"/>
  <c r="T1185" i="1" s="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Z228" i="7" s="1"/>
  <c r="Z229" i="7" s="1"/>
  <c r="Z230" i="7" s="1"/>
  <c r="Z231" i="7" s="1"/>
  <c r="Z232" i="7" s="1"/>
  <c r="Z233" i="7" s="1"/>
  <c r="Z234" i="7" s="1"/>
  <c r="Z235" i="7" s="1"/>
  <c r="Z236" i="7" s="1"/>
  <c r="Z237" i="7" s="1"/>
  <c r="Z238" i="7" s="1"/>
  <c r="Z239" i="7" s="1"/>
  <c r="Z240" i="7" s="1"/>
  <c r="Z241" i="7" s="1"/>
  <c r="Z242" i="7" s="1"/>
  <c r="Z243" i="7" s="1"/>
  <c r="Z244" i="7" s="1"/>
  <c r="Z245" i="7" s="1"/>
  <c r="Z246"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P405" i="1"/>
  <c r="S405" i="1" s="1"/>
  <c r="T405" i="1" s="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9" i="1"/>
  <c r="T409" i="1" s="1"/>
  <c r="S407" i="1"/>
  <c r="T407"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O253" i="7" l="1"/>
  <c r="Q253" i="7" s="1"/>
  <c r="P253" i="7"/>
  <c r="O252" i="7"/>
  <c r="Q252" i="7" s="1"/>
  <c r="P252" i="7"/>
  <c r="O251" i="7"/>
  <c r="Q251" i="7" s="1"/>
  <c r="P251" i="7"/>
  <c r="O250" i="7"/>
  <c r="Q250" i="7" s="1"/>
  <c r="P250" i="7"/>
  <c r="P249" i="7"/>
  <c r="O249" i="7"/>
  <c r="Q249" i="7" s="1"/>
  <c r="O248" i="7"/>
  <c r="Q248" i="7" s="1"/>
  <c r="P248" i="7"/>
  <c r="O247" i="7"/>
  <c r="Q247" i="7" s="1"/>
  <c r="P247" i="7"/>
  <c r="P246" i="7"/>
  <c r="O246" i="7"/>
  <c r="Q246" i="7" s="1"/>
  <c r="P245" i="7"/>
  <c r="O245" i="7"/>
  <c r="Q245" i="7" s="1"/>
  <c r="O244" i="7"/>
  <c r="Q244" i="7" s="1"/>
  <c r="P244" i="7"/>
  <c r="O243" i="7"/>
  <c r="Q243" i="7" s="1"/>
  <c r="P243" i="7"/>
  <c r="O242" i="7"/>
  <c r="Q242" i="7" s="1"/>
  <c r="P242" i="7"/>
  <c r="P241" i="7"/>
  <c r="O241" i="7"/>
  <c r="Q241" i="7" s="1"/>
  <c r="O240" i="7"/>
  <c r="Q240" i="7" s="1"/>
  <c r="P240" i="7"/>
  <c r="O239" i="7"/>
  <c r="Q239" i="7" s="1"/>
  <c r="P239" i="7"/>
  <c r="O238" i="7"/>
  <c r="Q238" i="7" s="1"/>
  <c r="P238" i="7"/>
  <c r="O237" i="7"/>
  <c r="Q237" i="7" s="1"/>
  <c r="P237" i="7"/>
  <c r="P236" i="7"/>
  <c r="O236" i="7"/>
  <c r="Q236" i="7" s="1"/>
  <c r="O235" i="7"/>
  <c r="Q235" i="7" s="1"/>
  <c r="P235" i="7"/>
  <c r="O234" i="7"/>
  <c r="Q234" i="7" s="1"/>
  <c r="P234" i="7"/>
  <c r="P233" i="7"/>
  <c r="O233" i="7"/>
  <c r="Q233" i="7" s="1"/>
  <c r="O232" i="7"/>
  <c r="Q232" i="7" s="1"/>
  <c r="P232" i="7"/>
  <c r="O219" i="7"/>
  <c r="Q219" i="7" s="1"/>
  <c r="O223" i="7"/>
  <c r="Q223" i="7" s="1"/>
  <c r="O227" i="7"/>
  <c r="Q227" i="7" s="1"/>
  <c r="O231" i="7"/>
  <c r="Q231" i="7" s="1"/>
  <c r="P219" i="7"/>
  <c r="P223" i="7"/>
  <c r="P227" i="7"/>
  <c r="P231" i="7"/>
  <c r="O220" i="7"/>
  <c r="Q220" i="7" s="1"/>
  <c r="O224" i="7"/>
  <c r="Q224" i="7" s="1"/>
  <c r="O228" i="7"/>
  <c r="Q228" i="7" s="1"/>
  <c r="P226" i="7"/>
  <c r="P220" i="7"/>
  <c r="P224" i="7"/>
  <c r="P228" i="7"/>
  <c r="O221" i="7"/>
  <c r="Q221" i="7" s="1"/>
  <c r="O225" i="7"/>
  <c r="Q225" i="7" s="1"/>
  <c r="O229" i="7"/>
  <c r="Q229" i="7" s="1"/>
  <c r="P221" i="7"/>
  <c r="P225" i="7"/>
  <c r="P229" i="7"/>
  <c r="P230" i="7"/>
  <c r="O222" i="7"/>
  <c r="Q222" i="7" s="1"/>
  <c r="O226" i="7"/>
  <c r="Q226" i="7" s="1"/>
  <c r="O230" i="7"/>
  <c r="Q230" i="7" s="1"/>
  <c r="P222" i="7"/>
  <c r="P218" i="7"/>
  <c r="O218" i="7"/>
  <c r="Q218" i="7" s="1"/>
  <c r="P217" i="7"/>
  <c r="O217" i="7"/>
  <c r="Q217" i="7" s="1"/>
  <c r="P216" i="7"/>
  <c r="O216" i="7"/>
  <c r="Q216" i="7" s="1"/>
  <c r="O215" i="7"/>
  <c r="Q215" i="7" s="1"/>
  <c r="P215" i="7"/>
  <c r="P214" i="7"/>
  <c r="O214" i="7"/>
  <c r="Q214" i="7" s="1"/>
  <c r="O213" i="7"/>
  <c r="Q213" i="7" s="1"/>
  <c r="P213" i="7"/>
  <c r="P212" i="7"/>
  <c r="O212" i="7"/>
  <c r="Q212" i="7" s="1"/>
  <c r="O211" i="7"/>
  <c r="Q211" i="7" s="1"/>
  <c r="P211" i="7"/>
  <c r="P210" i="7"/>
  <c r="O210" i="7"/>
  <c r="Q210" i="7" s="1"/>
  <c r="P209" i="7"/>
  <c r="O209" i="7"/>
  <c r="Q209" i="7" s="1"/>
  <c r="P208" i="7"/>
  <c r="O208" i="7"/>
  <c r="Q208" i="7" s="1"/>
  <c r="P207" i="7"/>
  <c r="O207" i="7"/>
  <c r="Q207" i="7" s="1"/>
  <c r="O206" i="7"/>
  <c r="Q206" i="7" s="1"/>
  <c r="P206" i="7"/>
  <c r="O205" i="7"/>
  <c r="Q205" i="7" s="1"/>
  <c r="P205" i="7"/>
  <c r="P204" i="7"/>
  <c r="O204" i="7"/>
  <c r="Q204" i="7" s="1"/>
  <c r="P203" i="7"/>
  <c r="O203" i="7"/>
  <c r="Q203" i="7" s="1"/>
  <c r="O202" i="7"/>
  <c r="Q202" i="7" s="1"/>
  <c r="P202" i="7"/>
  <c r="P201" i="7"/>
  <c r="O201" i="7"/>
  <c r="Q201" i="7" s="1"/>
  <c r="P200" i="7"/>
  <c r="O200" i="7"/>
  <c r="Q200" i="7" s="1"/>
  <c r="P199" i="7"/>
  <c r="O199" i="7"/>
  <c r="Q199" i="7" s="1"/>
  <c r="P198" i="7"/>
  <c r="O198" i="7"/>
  <c r="Q198" i="7" s="1"/>
  <c r="P197" i="7"/>
  <c r="O197" i="7"/>
  <c r="Q197" i="7" s="1"/>
  <c r="O196" i="7"/>
  <c r="Q196" i="7" s="1"/>
  <c r="P196" i="7"/>
  <c r="P195" i="7"/>
  <c r="O195" i="7"/>
  <c r="Q195" i="7" s="1"/>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86" i="7" l="1"/>
  <c r="S10" i="1"/>
  <c r="T10" i="1" s="1"/>
  <c r="W10" i="1" s="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S246" i="7" s="1"/>
  <c r="S247" i="7" s="1"/>
  <c r="S248" i="7" s="1"/>
  <c r="S249" i="7" s="1"/>
  <c r="S250" i="7" s="1"/>
  <c r="S251" i="7" s="1"/>
  <c r="S252" i="7" s="1"/>
  <c r="S253"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5" i="7" l="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<sst xmlns="http://schemas.openxmlformats.org/spreadsheetml/2006/main" count="22618" uniqueCount="5045">
  <si>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</si>
  <si>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</si>
  <si>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</si>
  <si>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</si>
  <si>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</si>
  <si>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</si>
  <si>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</si>
  <si>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</si>
  <si>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</si>
  <si>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</si>
  <si>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</si>
  <si>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</si>
  <si>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</si>
  <si>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</si>
  <si>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</si>
  <si>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</si>
  <si>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</si>
  <si>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</si>
  <si>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</si>
  <si>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</si>
  <si>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</si>
  <si>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</si>
  <si>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</si>
  <si>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</si>
  <si>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</si>
  <si>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</si>
  <si>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</si>
  <si>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</si>
  <si>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</si>
  <si>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</si>
  <si>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</si>
  <si>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</si>
  <si>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</si>
  <si>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</si>
  <si>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</si>
  <si>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</si>
  <si>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</si>
  <si>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</si>
  <si>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</si>
  <si>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</si>
  <si>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</si>
  <si>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</si>
  <si>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</si>
  <si>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</si>
  <si>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</si>
  <si>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</si>
  <si>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</si>
  <si>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</si>
  <si>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</si>
  <si>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</si>
  <si>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</si>
  <si>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</si>
  <si>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</si>
  <si>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</si>
  <si>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</si>
  <si>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</si>
  <si>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</si>
  <si>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</si>
  <si>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</si>
  <si>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</si>
  <si>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</si>
  <si>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</si>
  <si>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</si>
  <si>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</si>
  <si>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</si>
  <si>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</si>
  <si>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</si>
  <si>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</si>
  <si>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</si>
  <si>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</si>
  <si>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</si>
  <si>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</si>
  <si>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</si>
  <si>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</si>
  <si>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</si>
  <si>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</si>
  <si>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</si>
  <si>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</si>
  <si>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</si>
  <si>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</si>
  <si>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</si>
  <si>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</si>
  <si>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</si>
  <si>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</si>
  <si>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</si>
  <si>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</si>
  <si>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</si>
  <si>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</si>
  <si>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</si>
  <si>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</si>
  <si>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</si>
  <si>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</si>
  <si>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</si>
  <si>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</si>
  <si>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</si>
  <si>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</si>
  <si>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</si>
  <si>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</si>
  <si>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</si>
  <si>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</si>
  <si>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</si>
  <si>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</si>
  <si>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</si>
  <si>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</si>
  <si>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</si>
  <si>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</si>
  <si>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</si>
  <si>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</si>
  <si>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</si>
  <si>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</si>
  <si>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</si>
  <si>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</si>
  <si>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</si>
  <si>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</si>
  <si>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</si>
  <si>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</si>
  <si>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</si>
  <si>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</si>
  <si>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</si>
  <si>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</si>
  <si>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</si>
  <si>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</si>
  <si>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</si>
  <si>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</si>
  <si>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</si>
  <si>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</si>
  <si>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</si>
  <si>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</si>
  <si>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</si>
  <si>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</si>
  <si>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</si>
  <si>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</si>
  <si>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</si>
  <si>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</si>
  <si>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</si>
  <si>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</si>
  <si>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</si>
  <si>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</si>
  <si>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</si>
  <si>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</si>
  <si>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</si>
  <si>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</si>
  <si>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</si>
  <si>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</si>
  <si>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</si>
  <si>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</si>
  <si>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</si>
  <si>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</si>
  <si>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</si>
  <si>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</si>
  <si>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</si>
  <si>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</si>
  <si>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</si>
  <si>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</si>
  <si>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</si>
  <si>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</si>
  <si>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</si>
  <si>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</si>
  <si>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</si>
  <si>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</si>
  <si>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</si>
  <si>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</si>
  <si>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</si>
  <si>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</si>
  <si>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</si>
  <si>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</si>
  <si>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</si>
  <si>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</si>
  <si>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</si>
  <si>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</si>
  <si>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</si>
  <si>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</si>
  <si>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</si>
  <si>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</si>
  <si>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</si>
  <si>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</si>
  <si>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</si>
  <si>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</si>
  <si>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</si>
  <si>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</si>
  <si>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</si>
  <si>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</si>
  <si>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</si>
  <si>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</si>
  <si>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</si>
  <si>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</si>
  <si>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</si>
  <si>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</si>
  <si>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</si>
  <si>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</si>
  <si>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</si>
  <si>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</si>
  <si>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</si>
  <si>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</si>
  <si>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</si>
  <si>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</si>
  <si>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</si>
  <si>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</si>
  <si>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</si>
  <si>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</si>
  <si>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</si>
  <si>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</si>
  <si>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</si>
  <si>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</si>
  <si>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</si>
  <si>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</si>
  <si>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</si>
  <si>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</si>
  <si>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</si>
  <si>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</si>
  <si>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</si>
  <si>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</si>
  <si>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</si>
  <si>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</si>
  <si>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</si>
  <si>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</si>
  <si>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</si>
  <si>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</si>
  <si>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</si>
  <si>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</si>
  <si>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</si>
  <si>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</si>
  <si>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</si>
  <si>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</si>
  <si>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</si>
  <si>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</si>
  <si>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</si>
  <si>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</si>
  <si>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</si>
  <si>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</si>
  <si>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</si>
  <si>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</si>
  <si>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</si>
  <si>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</si>
  <si>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</si>
  <si>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</si>
  <si>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</si>
  <si>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</si>
  <si>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</si>
  <si>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</si>
  <si>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</si>
  <si>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</si>
  <si>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</si>
  <si>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</si>
  <si>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</si>
  <si>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</si>
  <si>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</si>
  <si>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</si>
  <si>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</si>
  <si>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</si>
  <si>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</si>
  <si>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</si>
  <si>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</si>
  <si>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</si>
  <si>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</si>
  <si>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</si>
  <si>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</si>
  <si>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</si>
  <si>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</si>
  <si>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</si>
  <si>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</si>
  <si>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</si>
  <si>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</si>
  <si>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</si>
  <si>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</si>
  <si>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</si>
  <si>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</si>
  <si>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</si>
  <si>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</si>
  <si>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</si>
  <si>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</si>
  <si>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</si>
  <si>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</si>
  <si>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</si>
  <si>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</si>
  <si>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</si>
  <si>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</si>
  <si>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</si>
  <si>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</si>
  <si>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</si>
  <si>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</si>
  <si>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</si>
  <si>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</si>
  <si>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</si>
  <si>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</si>
  <si>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</si>
  <si>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</si>
  <si>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</si>
  <si>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</si>
  <si>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</si>
  <si>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</si>
  <si>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</si>
  <si>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</si>
  <si>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</si>
  <si>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</si>
  <si>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</si>
  <si>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</si>
  <si>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</si>
  <si>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</si>
  <si>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</si>
  <si>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</si>
  <si>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</si>
  <si>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</si>
  <si>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</si>
  <si>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</si>
  <si>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</si>
  <si>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</si>
  <si>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</si>
  <si>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</si>
  <si>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</si>
  <si>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</si>
  <si>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</si>
  <si>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</si>
  <si>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</si>
  <si>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</si>
  <si>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</si>
  <si>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</si>
  <si>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</si>
  <si>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</si>
  <si>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</si>
  <si>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</si>
  <si>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</si>
  <si>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</si>
  <si>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</si>
  <si>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</si>
  <si>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</si>
  <si>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</si>
  <si>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</si>
  <si>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</si>
  <si>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</si>
  <si>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</si>
  <si>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</si>
  <si>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</si>
  <si>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</si>
  <si>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</si>
  <si>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</si>
  <si>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</si>
  <si>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</si>
  <si>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</si>
  <si>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</si>
  <si>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</si>
  <si>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</si>
  <si>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</si>
  <si>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</si>
  <si>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</si>
  <si>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</si>
  <si>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</si>
  <si>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</si>
  <si>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</si>
  <si>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</si>
  <si>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</si>
  <si>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</si>
  <si>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</si>
  <si>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</si>
  <si>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</si>
  <si>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</si>
  <si>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</si>
  <si>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</si>
  <si>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</si>
  <si>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</si>
  <si>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</si>
  <si>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</si>
  <si>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</si>
  <si>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</si>
  <si>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</si>
  <si>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</si>
  <si>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</si>
  <si>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</si>
  <si>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</si>
  <si>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</si>
  <si>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</si>
  <si>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</si>
  <si>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</si>
  <si>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</si>
  <si>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</si>
  <si>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</si>
  <si>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</si>
  <si>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</si>
  <si>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</si>
  <si>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</si>
  <si>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</si>
  <si>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</si>
  <si>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</si>
  <si>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</si>
  <si>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</si>
  <si>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</si>
  <si>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</si>
  <si>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</si>
  <si>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</si>
  <si>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</si>
  <si>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</si>
  <si>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</si>
  <si>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</si>
  <si>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</si>
  <si>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</si>
  <si>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</si>
  <si>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</si>
  <si>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</si>
  <si>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</si>
  <si>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</si>
  <si>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</si>
  <si>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</si>
  <si>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</si>
  <si>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</si>
  <si>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</si>
  <si>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</si>
  <si>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</si>
  <si>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</si>
  <si>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</si>
  <si>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</si>
  <si>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</si>
  <si>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</si>
  <si>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</si>
  <si>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</si>
  <si>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</si>
  <si>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</si>
  <si>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</si>
  <si>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</si>
  <si>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</si>
  <si>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</si>
  <si>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</si>
  <si>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</si>
  <si>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</si>
  <si>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</si>
  <si>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</si>
  <si>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</si>
  <si>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</si>
  <si>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</si>
  <si>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</si>
  <si>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</si>
  <si>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</si>
  <si>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</si>
  <si>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</si>
  <si>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</si>
  <si>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</si>
  <si>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</si>
  <si>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</si>
  <si>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</si>
  <si>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</si>
  <si>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</si>
  <si>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</si>
  <si>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</si>
  <si>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</si>
  <si>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</si>
  <si>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</si>
  <si>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</si>
  <si>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</si>
  <si>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</si>
  <si>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</si>
  <si>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</si>
  <si>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</si>
  <si>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</si>
  <si>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</si>
  <si>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</si>
  <si>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</si>
  <si>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</si>
  <si>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</si>
  <si>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</si>
  <si>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</si>
  <si>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</si>
  <si>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</si>
  <si>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</si>
  <si>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</si>
  <si>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</si>
  <si>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</si>
  <si>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</si>
  <si>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</si>
  <si>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</si>
  <si>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</si>
  <si>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</si>
  <si>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</si>
  <si>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</si>
  <si>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</si>
  <si>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</si>
  <si>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</si>
  <si>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</si>
  <si>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</si>
  <si>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</si>
  <si>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</si>
  <si>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</si>
  <si>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</si>
  <si>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</si>
  <si>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</si>
  <si>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</si>
  <si>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</si>
  <si>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</si>
  <si>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</si>
  <si>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</si>
  <si>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</si>
  <si>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</si>
  <si>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</si>
  <si>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</si>
  <si>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</si>
  <si>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</si>
  <si>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</si>
  <si>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</si>
  <si>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</si>
  <si>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</si>
  <si>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</si>
  <si>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</si>
  <si>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</si>
  <si>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</si>
  <si>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</si>
  <si>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</si>
  <si>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</si>
  <si>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</si>
  <si>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</si>
  <si>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</si>
  <si>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</si>
  <si>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</si>
  <si>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</si>
  <si>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</si>
  <si>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</si>
  <si>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</si>
  <si>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</si>
  <si>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</si>
  <si>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</si>
  <si>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</si>
  <si>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</si>
  <si>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</si>
  <si>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</si>
  <si>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</si>
  <si>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</si>
  <si>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</si>
  <si>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</si>
  <si>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</si>
  <si>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</si>
  <si>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</si>
  <si>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</si>
  <si>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</si>
  <si>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</si>
  <si>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</si>
  <si>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</si>
  <si>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</si>
  <si>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</si>
  <si>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</si>
  <si>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</si>
  <si>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</si>
  <si>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</si>
  <si>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</si>
  <si>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</si>
  <si>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</si>
  <si>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</si>
  <si>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</si>
  <si>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</si>
  <si>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</si>
  <si>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</si>
  <si>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</si>
  <si>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</si>
  <si>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</si>
  <si>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</si>
  <si>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</si>
  <si>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</si>
  <si>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</si>
  <si>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</si>
  <si>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</si>
  <si>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</si>
  <si>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</si>
  <si>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</si>
  <si>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</si>
  <si>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</si>
  <si>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</si>
  <si>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</si>
  <si>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</si>
  <si>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</si>
  <si>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</si>
  <si>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</si>
  <si>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</si>
  <si>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</si>
  <si>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</si>
  <si>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</si>
  <si>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</si>
  <si>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</si>
  <si>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</si>
  <si>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</si>
  <si>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</si>
  <si>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</si>
  <si>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</si>
  <si>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</si>
  <si>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</si>
  <si>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</si>
  <si>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</si>
  <si>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</si>
  <si>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</si>
  <si>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</si>
  <si>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</si>
  <si>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</si>
  <si>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</si>
  <si>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</si>
  <si>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</si>
  <si>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</si>
  <si>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</si>
  <si>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</si>
  <si>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</si>
  <si>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</si>
  <si>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</si>
  <si>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</si>
  <si>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</si>
  <si>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</si>
  <si>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</si>
  <si>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</si>
  <si>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</si>
  <si>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</si>
  <si>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</si>
  <si>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</si>
  <si>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</si>
  <si>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</si>
  <si>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</si>
  <si>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</si>
  <si>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</si>
  <si>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</si>
  <si>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</si>
  <si>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</si>
  <si>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</si>
  <si>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</si>
  <si>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</si>
  <si>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</si>
  <si>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</si>
  <si>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</si>
  <si>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</si>
  <si>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</si>
  <si>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</si>
  <si>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</si>
  <si>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</si>
  <si>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</si>
  <si>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</si>
  <si>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</si>
  <si>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</si>
  <si>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</si>
  <si>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</si>
  <si>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</si>
  <si>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</si>
  <si>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</si>
  <si>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</si>
  <si>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</si>
  <si>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</si>
  <si>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</si>
  <si>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</si>
  <si>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</si>
  <si>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</si>
  <si>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</si>
  <si>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</si>
  <si>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</si>
  <si>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</si>
  <si>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</si>
  <si>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</si>
  <si>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</si>
  <si>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</si>
  <si>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</si>
  <si>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</si>
  <si>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</si>
  <si>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</si>
  <si>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</si>
  <si>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</si>
  <si>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</si>
  <si>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</si>
  <si>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</si>
  <si>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</si>
  <si>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</si>
  <si>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</si>
  <si>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</si>
  <si>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</si>
  <si>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</si>
  <si>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</si>
  <si>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</si>
  <si>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</si>
  <si>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</si>
  <si>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</si>
  <si>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</si>
  <si>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</si>
  <si>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</si>
  <si>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</si>
  <si>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</si>
  <si>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</si>
  <si>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</si>
  <si>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</si>
  <si>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</si>
  <si>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</si>
  <si>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</si>
  <si>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</si>
  <si>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</si>
  <si>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</si>
  <si>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</si>
  <si>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</si>
  <si>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</si>
  <si>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</si>
  <si>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</si>
  <si>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</si>
  <si>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</si>
  <si>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</si>
  <si>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</si>
  <si>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</si>
  <si>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</si>
  <si>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</si>
  <si>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</si>
  <si>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</si>
  <si>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</si>
  <si>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</si>
  <si>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</si>
  <si>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</si>
  <si>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</si>
  <si>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</si>
  <si>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</si>
  <si>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</si>
  <si>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</si>
  <si>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</si>
  <si>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</si>
  <si>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</si>
  <si>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</si>
  <si>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</si>
  <si>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</si>
  <si>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</si>
  <si>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</si>
  <si>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</si>
  <si>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</si>
  <si>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</si>
  <si>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</si>
  <si>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</si>
  <si>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</si>
  <si>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</si>
  <si>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</si>
  <si>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</si>
  <si>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</si>
  <si>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</si>
  <si>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</si>
  <si>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</si>
  <si>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</si>
  <si>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</si>
  <si>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</si>
  <si>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</si>
  <si>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</si>
  <si>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</si>
  <si>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</si>
  <si>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</si>
  <si>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</si>
  <si>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</si>
  <si>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</si>
  <si>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</si>
  <si>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</si>
  <si>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</si>
  <si>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</si>
  <si>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</si>
  <si>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</si>
  <si>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</si>
  <si>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</si>
  <si>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</si>
  <si>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</si>
  <si>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</si>
  <si>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</si>
  <si>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</si>
  <si>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</si>
  <si>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</si>
  <si>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</si>
  <si>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</si>
  <si>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</si>
  <si>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</si>
  <si>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</si>
  <si>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</si>
  <si>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</si>
  <si>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</si>
  <si>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</si>
  <si>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</si>
  <si>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</si>
  <si>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</si>
  <si>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</si>
  <si>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</si>
  <si>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</si>
  <si>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</si>
  <si>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</si>
  <si>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</si>
  <si>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</si>
  <si>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</si>
  <si>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</si>
  <si>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</si>
  <si>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</si>
  <si>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</si>
  <si>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</si>
  <si>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</si>
  <si>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</si>
  <si>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</si>
  <si>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</si>
  <si>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</si>
  <si>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</si>
  <si>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</si>
  <si>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</si>
  <si>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</si>
  <si>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</si>
  <si>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</si>
  <si>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</si>
  <si>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</si>
  <si>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</si>
  <si>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</si>
  <si>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</si>
  <si>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</si>
  <si>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</si>
  <si>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</si>
  <si>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</si>
  <si>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</si>
  <si>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</si>
  <si>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</si>
  <si>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</si>
  <si>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</si>
  <si>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</si>
  <si>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</si>
  <si>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</si>
  <si>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</si>
  <si>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</si>
  <si>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</si>
  <si>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</si>
  <si>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</si>
  <si>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</si>
  <si>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</si>
  <si>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</si>
  <si>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</si>
  <si>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</si>
  <si>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</si>
  <si>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</si>
  <si>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</si>
  <si>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</si>
  <si>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</si>
  <si>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</si>
  <si>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</si>
  <si>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</si>
  <si>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</si>
  <si>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</si>
  <si>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</si>
  <si>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</si>
  <si>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</si>
  <si>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</si>
  <si>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</si>
  <si>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</si>
  <si>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</si>
  <si>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</si>
  <si>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</si>
  <si>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</si>
  <si>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</si>
  <si>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</si>
  <si>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</si>
  <si>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</si>
  <si>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</si>
  <si>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</si>
  <si>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</si>
  <si>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</si>
  <si>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</si>
  <si>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</si>
  <si>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</si>
  <si>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</si>
  <si>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</si>
  <si>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</si>
  <si>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</si>
  <si>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</si>
  <si>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</si>
  <si>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</si>
  <si>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</si>
  <si>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</si>
  <si>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</si>
  <si>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</si>
  <si>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</si>
  <si>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</si>
  <si>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</si>
  <si>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</si>
  <si>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</si>
  <si>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</si>
  <si>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</si>
  <si>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</si>
  <si>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</si>
  <si>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</si>
  <si>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</si>
  <si>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</si>
  <si>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</si>
  <si>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</si>
  <si>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</si>
  <si>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</si>
  <si>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</si>
  <si>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</si>
  <si>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</si>
  <si>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</si>
  <si>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</si>
  <si>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</si>
  <si>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</si>
  <si>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</si>
  <si>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</si>
  <si>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</si>
  <si>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</si>
  <si>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</si>
  <si>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</si>
  <si>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</si>
  <si>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</si>
  <si>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</si>
  <si>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</si>
  <si>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</si>
  <si>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</si>
  <si>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</si>
  <si>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</si>
  <si>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</si>
  <si>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</si>
  <si>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</si>
  <si>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</si>
  <si>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</si>
  <si>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</si>
  <si>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</si>
  <si>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</si>
  <si>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</si>
  <si>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</si>
  <si>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</si>
  <si>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</si>
  <si>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</si>
  <si>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</si>
  <si>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</si>
  <si>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</si>
  <si>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</si>
  <si>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</si>
  <si>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</si>
  <si>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</si>
  <si>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</si>
  <si>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</si>
  <si>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</si>
  <si>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</si>
  <si>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</si>
  <si>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</si>
  <si>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</si>
  <si>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</si>
  <si>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</si>
  <si>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</si>
  <si>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</si>
  <si>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</si>
  <si>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</si>
  <si>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</si>
  <si>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</si>
  <si>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</si>
  <si>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</si>
  <si>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</si>
  <si>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</si>
  <si>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</si>
  <si>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</si>
  <si>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</si>
  <si>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</si>
  <si>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</si>
  <si>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</si>
  <si>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</si>
  <si>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</si>
  <si>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</si>
  <si>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</si>
  <si>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</si>
  <si>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</si>
  <si>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</si>
  <si>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</si>
  <si>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</si>
  <si>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</si>
  <si>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</si>
  <si>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</si>
  <si>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</si>
  <si>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</si>
  <si>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</si>
  <si>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</si>
  <si>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</si>
  <si>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</si>
  <si>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</si>
  <si>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</si>
  <si>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</si>
  <si>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</si>
  <si>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</si>
  <si>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</si>
  <si>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</si>
  <si>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</si>
  <si>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</si>
  <si>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</si>
  <si>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</si>
  <si>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</si>
  <si>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</si>
  <si>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</si>
  <si>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</si>
  <si>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</si>
  <si>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</si>
  <si>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</si>
  <si>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</si>
  <si>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</si>
  <si>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</si>
  <si>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</si>
  <si>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</si>
  <si>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</si>
  <si>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</si>
  <si>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</si>
  <si>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</si>
  <si>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</si>
  <si>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</si>
  <si>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</si>
  <si>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</si>
  <si>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</si>
  <si>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</si>
  <si>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</si>
  <si>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</si>
  <si>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</si>
  <si>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</si>
  <si>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</si>
  <si>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</si>
  <si>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</si>
  <si>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</si>
  <si>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</si>
  <si>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</si>
  <si>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</si>
  <si>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</si>
  <si>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</si>
  <si>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</si>
  <si>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</si>
  <si>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</si>
  <si>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</si>
  <si>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</si>
  <si>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</si>
  <si>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</si>
  <si>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</si>
  <si>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</si>
  <si>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</si>
  <si>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</si>
  <si>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</si>
  <si>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</si>
  <si>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</si>
  <si>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</si>
  <si>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</si>
  <si>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</si>
  <si>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</si>
  <si>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</si>
  <si>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</si>
  <si>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</si>
  <si>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</si>
  <si>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</si>
  <si>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</si>
  <si>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</si>
  <si>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</si>
  <si>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</si>
  <si>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</si>
  <si>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</si>
  <si>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</si>
  <si>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</si>
  <si>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</si>
  <si>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</si>
  <si>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</si>
  <si>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</si>
  <si>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</si>
  <si>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</si>
  <si>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</si>
  <si>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</si>
  <si>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</si>
  <si>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</si>
  <si>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</si>
  <si>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</si>
  <si>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</si>
  <si>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</si>
  <si>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</si>
  <si>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</si>
  <si>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</si>
  <si>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</si>
  <si>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</si>
  <si>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</si>
  <si>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</si>
  <si>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</si>
  <si>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</si>
  <si>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</si>
  <si>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</si>
  <si>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</si>
  <si>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</si>
  <si>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</si>
  <si>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</si>
  <si>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</si>
  <si>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</si>
  <si>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</si>
  <si>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</si>
  <si>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</si>
  <si>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</si>
  <si>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</si>
  <si>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</si>
  <si>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</si>
  <si>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</si>
  <si>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</si>
  <si>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</si>
  <si>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</si>
  <si>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</si>
  <si>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</si>
  <si>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</si>
  <si>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</si>
  <si>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</si>
  <si>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</si>
  <si>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</si>
  <si>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</si>
  <si>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</si>
  <si>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</si>
  <si>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</si>
  <si>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</si>
  <si>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</si>
  <si>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</si>
  <si>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</si>
  <si>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</si>
  <si>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</si>
  <si>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</si>
  <si>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</si>
  <si>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</si>
  <si>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</si>
  <si>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</si>
  <si>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</si>
  <si>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</si>
  <si>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</si>
  <si>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</si>
  <si>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</si>
  <si>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</si>
  <si>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</si>
  <si>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</si>
  <si>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</si>
  <si>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</si>
  <si>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</si>
  <si>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</si>
  <si>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</si>
  <si>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</si>
  <si>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</si>
  <si>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</si>
  <si>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</si>
  <si>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</si>
  <si>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</si>
  <si>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</si>
  <si>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</si>
  <si>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</si>
  <si>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</si>
  <si>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</si>
  <si>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</si>
  <si>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</si>
  <si>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</si>
  <si>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</si>
  <si>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</si>
  <si>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</si>
  <si>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</si>
  <si>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</si>
  <si>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</si>
  <si>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</si>
  <si>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</si>
  <si>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</si>
  <si>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</si>
  <si>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</si>
  <si>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</si>
  <si>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</si>
  <si>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</si>
  <si>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</si>
  <si>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</si>
  <si>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</si>
  <si>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</si>
  <si>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</si>
  <si>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</si>
  <si>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</si>
  <si>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</si>
  <si>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</si>
  <si>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</si>
  <si>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</si>
  <si>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</si>
  <si>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</si>
  <si>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</si>
  <si>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</si>
  <si>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</si>
  <si>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</si>
  <si>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</si>
  <si>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</si>
  <si>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</si>
  <si>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</si>
  <si>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</si>
  <si>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</si>
  <si>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</si>
  <si>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</si>
  <si>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</si>
  <si>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</si>
  <si>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</si>
  <si>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</si>
  <si>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</si>
  <si>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</si>
  <si>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</si>
  <si>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</si>
  <si>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</si>
  <si>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</si>
  <si>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</si>
  <si>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</si>
  <si>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</si>
  <si>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</si>
  <si>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</si>
  <si>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</si>
  <si>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</si>
  <si>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</si>
  <si>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</si>
  <si>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</si>
  <si>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</si>
  <si>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</si>
  <si>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</si>
  <si>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</si>
  <si>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</si>
  <si>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</si>
  <si>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</si>
  <si>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</si>
  <si>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</si>
  <si>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</si>
  <si>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</si>
  <si>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</si>
  <si>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</si>
  <si>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</si>
  <si>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</si>
  <si>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</si>
  <si>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</si>
  <si>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</si>
  <si>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</si>
  <si>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</si>
  <si>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</si>
  <si>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</si>
  <si>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</si>
  <si>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</si>
  <si>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</si>
  <si>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</si>
  <si>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</si>
  <si>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</si>
  <si>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</si>
  <si>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</si>
  <si>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</si>
  <si>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</si>
  <si>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</si>
  <si>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</si>
  <si>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</si>
  <si>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</si>
  <si>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</si>
  <si>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</si>
  <si>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</si>
  <si>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</si>
  <si>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</si>
  <si>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</si>
  <si>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</si>
  <si>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</si>
  <si>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</si>
  <si>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</si>
  <si>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</si>
  <si>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</si>
  <si>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</si>
  <si>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</si>
  <si>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</si>
  <si>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</si>
  <si>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</si>
  <si>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</si>
  <si>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</si>
  <si>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</si>
  <si>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</si>
  <si>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</si>
  <si>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</si>
  <si>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</si>
  <si>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</si>
  <si>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</si>
  <si>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</si>
  <si>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</si>
  <si>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</si>
  <si>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</si>
  <si>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</si>
  <si>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</si>
  <si>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</si>
  <si>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</si>
  <si>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</si>
  <si>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</si>
  <si>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</si>
  <si>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</si>
  <si>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</si>
  <si>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</si>
  <si>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</si>
  <si>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</si>
  <si>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</si>
  <si>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</si>
  <si>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</si>
  <si>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</si>
  <si>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</si>
  <si>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</si>
  <si>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</si>
  <si>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</si>
  <si>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</si>
  <si>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</si>
  <si>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</si>
  <si>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</si>
  <si>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</si>
  <si>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</si>
  <si>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</si>
  <si>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</si>
  <si>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</si>
  <si>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</si>
  <si>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</si>
  <si>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</si>
  <si>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</si>
  <si>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</si>
  <si>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</si>
  <si>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</si>
  <si>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</si>
  <si>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</si>
  <si>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</si>
  <si>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</si>
  <si>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</si>
  <si>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</si>
  <si>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</si>
  <si>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</si>
  <si>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</si>
  <si>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</si>
  <si>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</si>
  <si>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</si>
  <si>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</si>
  <si>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</si>
  <si>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</si>
  <si>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</si>
  <si>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</si>
  <si>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</si>
  <si>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</si>
  <si>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</si>
  <si>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</si>
  <si>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</si>
  <si>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</si>
  <si>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</si>
  <si>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</si>
  <si>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</si>
  <si>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</si>
  <si>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</si>
  <si>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</si>
  <si>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</si>
  <si>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</si>
  <si>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</si>
  <si>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</si>
  <si>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</si>
  <si>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</si>
  <si>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</si>
  <si>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</si>
  <si>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</si>
  <si>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</si>
  <si>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</si>
  <si>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</si>
  <si>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</si>
  <si>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</si>
  <si>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</si>
  <si>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</si>
  <si>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</si>
  <si>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</si>
  <si>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</si>
  <si>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</si>
  <si>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</si>
  <si>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</si>
  <si>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</si>
  <si>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</si>
  <si>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</si>
  <si>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</si>
  <si>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</si>
  <si>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</si>
  <si>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</si>
  <si>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</si>
  <si>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</si>
  <si>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</si>
  <si>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</si>
  <si>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</si>
  <si>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</si>
  <si>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</si>
  <si>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</si>
  <si>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</si>
  <si>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</si>
  <si>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</si>
  <si>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</si>
  <si>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</si>
  <si>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</si>
  <si>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</si>
  <si>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</si>
  <si>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</si>
  <si>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</si>
  <si>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</si>
  <si>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</si>
  <si>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</si>
  <si>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</si>
  <si>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</si>
  <si>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</si>
  <si>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</si>
  <si>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</si>
  <si>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</si>
  <si>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</si>
  <si>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</si>
  <si>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</si>
  <si>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</si>
  <si>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</si>
  <si>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</si>
  <si>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</si>
  <si>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</si>
  <si>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</si>
  <si>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</si>
  <si>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</si>
  <si>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</si>
  <si>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</si>
  <si>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</si>
  <si>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</si>
  <si>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</si>
  <si>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</si>
  <si>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</si>
  <si>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</si>
  <si>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</si>
  <si>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</si>
  <si>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</si>
  <si>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</si>
  <si>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</si>
  <si>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</si>
  <si>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</si>
  <si>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</si>
  <si>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</si>
  <si>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</si>
  <si>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</si>
  <si>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</si>
  <si>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</si>
  <si>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</si>
  <si>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</si>
  <si>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</si>
  <si>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</si>
  <si>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</si>
  <si>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</si>
  <si>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</si>
  <si>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</si>
  <si>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</si>
  <si>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</si>
  <si>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</si>
  <si>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</si>
  <si>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</si>
  <si>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</si>
  <si>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</si>
  <si>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</si>
  <si>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</si>
  <si>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</si>
  <si>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</si>
  <si>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</si>
  <si>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</si>
  <si>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</si>
  <si>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</si>
  <si>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</si>
  <si>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</si>
  <si>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</si>
  <si>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</si>
  <si>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</si>
  <si>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</si>
  <si>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</si>
  <si>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</si>
  <si>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</si>
  <si>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</si>
  <si>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</si>
  <si>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</si>
  <si>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</si>
  <si>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</si>
  <si>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</si>
  <si>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</si>
  <si>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</si>
  <si>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</si>
  <si>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</si>
  <si>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</si>
  <si>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</si>
  <si>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</si>
  <si>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</si>
  <si>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</si>
  <si>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</si>
  <si>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</si>
  <si>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</si>
  <si>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</si>
  <si>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</si>
  <si>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</si>
  <si>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</si>
  <si>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</si>
  <si>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</si>
  <si>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</si>
  <si>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</si>
  <si>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</si>
  <si>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</si>
  <si>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</si>
  <si>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</si>
  <si>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</si>
  <si>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</si>
  <si>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</si>
  <si>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</si>
  <si>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</si>
  <si>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</si>
  <si>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</si>
  <si>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</si>
  <si>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</si>
  <si>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</si>
  <si>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</si>
  <si>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</si>
  <si>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</si>
  <si>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</si>
  <si>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</si>
  <si>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</si>
  <si>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</si>
  <si>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</si>
  <si>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</si>
  <si>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</si>
  <si>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</si>
  <si>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</si>
  <si>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</si>
  <si>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</si>
  <si>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</si>
  <si>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</si>
  <si>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</si>
  <si>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</si>
  <si>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</si>
  <si>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</si>
  <si>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</si>
  <si>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</si>
  <si>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</si>
  <si>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</si>
  <si>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</si>
  <si>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</si>
  <si>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</si>
  <si>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</si>
  <si>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</si>
  <si>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</si>
  <si>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</si>
  <si>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</si>
  <si>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</si>
  <si>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</si>
  <si>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</si>
  <si>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</si>
  <si>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</si>
  <si>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</si>
  <si>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</si>
  <si>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</si>
  <si>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</si>
  <si>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</si>
  <si>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</si>
  <si>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</si>
  <si>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</si>
  <si>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</si>
  <si>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</si>
  <si>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</si>
  <si>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</si>
  <si>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</si>
  <si>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</si>
  <si>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</si>
  <si>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</si>
  <si>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</si>
  <si>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</si>
  <si>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</si>
  <si>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</si>
  <si>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</si>
  <si>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</si>
  <si>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</si>
  <si>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</si>
  <si>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</si>
  <si>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</si>
  <si>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</si>
  <si>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</si>
  <si>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</si>
  <si>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</si>
  <si>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</si>
  <si>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</si>
  <si>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</si>
  <si>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</si>
  <si>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</si>
  <si>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</si>
  <si>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</si>
  <si>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</si>
  <si>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</si>
  <si>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</si>
  <si>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</si>
  <si>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</si>
  <si>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</si>
  <si>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</si>
  <si>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</si>
  <si>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</si>
  <si>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</si>
  <si>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</si>
  <si>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</si>
  <si>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</si>
  <si>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</si>
  <si>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</si>
  <si>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</si>
  <si>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</si>
  <si>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</si>
  <si>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</si>
  <si>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</si>
  <si>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</si>
  <si>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</si>
  <si>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</si>
  <si>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</si>
  <si>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</si>
  <si>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</si>
  <si>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</si>
  <si>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</si>
  <si>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</si>
  <si>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</si>
  <si>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</si>
  <si>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</si>
  <si>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</si>
  <si>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</si>
  <si>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</si>
  <si>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</si>
  <si>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</si>
  <si>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</si>
  <si>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</si>
  <si>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</si>
  <si>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</si>
  <si>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</si>
  <si>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</si>
  <si>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</si>
  <si>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</si>
  <si>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</si>
  <si>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</si>
  <si>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</si>
  <si>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</si>
  <si>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</si>
  <si>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</si>
  <si>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</si>
  <si>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</si>
  <si>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</si>
  <si>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</si>
  <si>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</si>
  <si>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</si>
  <si>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</si>
  <si>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</si>
  <si>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</si>
  <si>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</si>
  <si>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</si>
  <si>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</si>
  <si>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</si>
  <si>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</si>
  <si>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</si>
  <si>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</si>
  <si>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</si>
  <si>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</si>
  <si>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</si>
  <si>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</si>
  <si>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</si>
  <si>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</si>
  <si>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</si>
  <si>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</si>
  <si>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</si>
  <si>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</si>
  <si>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</si>
  <si>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</si>
  <si>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</si>
  <si>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</si>
  <si>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</si>
  <si>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</si>
  <si>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</si>
  <si>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</si>
  <si>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</si>
  <si>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</si>
  <si>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</si>
  <si>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</si>
  <si>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</si>
  <si>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</si>
  <si>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</si>
  <si>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</si>
  <si>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</si>
  <si>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</si>
  <si>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</si>
  <si>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</si>
  <si>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</si>
  <si>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</si>
  <si>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</si>
  <si>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</si>
  <si>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</si>
  <si>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</si>
  <si>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</si>
  <si>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</si>
  <si>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</si>
  <si>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</si>
  <si>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</si>
  <si>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</si>
  <si>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</si>
  <si>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</si>
  <si>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</si>
  <si>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</si>
  <si>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</si>
  <si>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</si>
  <si>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</si>
  <si>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</si>
  <si>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</si>
  <si>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</si>
  <si>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</si>
  <si>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</si>
  <si>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</si>
  <si>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</si>
  <si>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</si>
  <si>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</si>
  <si>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</si>
  <si>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</si>
  <si>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</si>
  <si>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</si>
  <si>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</si>
  <si>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</si>
  <si>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</si>
  <si>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</si>
  <si>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</si>
  <si>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</si>
  <si>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</si>
  <si>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</si>
  <si>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</si>
  <si>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</si>
  <si>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</si>
  <si>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</si>
  <si>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</si>
  <si>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</si>
  <si>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</si>
  <si>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</si>
  <si>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</si>
  <si>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</si>
  <si>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</si>
  <si>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</si>
  <si>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</si>
  <si>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</si>
  <si>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</si>
  <si>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</si>
  <si>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</si>
  <si>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</si>
  <si>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</si>
  <si>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</si>
  <si>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</si>
  <si>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</si>
  <si>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</si>
  <si>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</si>
  <si>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</si>
  <si>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</si>
  <si>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</si>
  <si>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</si>
  <si>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</si>
  <si>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</si>
  <si>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</si>
  <si>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</si>
  <si>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</si>
  <si>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</si>
  <si>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</si>
  <si>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</si>
  <si>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</si>
  <si>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</si>
  <si>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</si>
  <si>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</si>
  <si>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</si>
  <si>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</si>
  <si>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</si>
  <si>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</si>
  <si>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</si>
  <si>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</si>
  <si>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</si>
  <si>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</si>
  <si>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</si>
  <si>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</si>
  <si>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</si>
  <si>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</si>
  <si>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</si>
  <si>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</si>
  <si>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</si>
  <si>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</si>
  <si>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</si>
  <si>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</si>
  <si>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</si>
  <si>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</si>
  <si>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</si>
  <si>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</si>
  <si>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</si>
  <si>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</si>
  <si>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</si>
  <si>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</si>
  <si>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</si>
  <si>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</si>
  <si>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</si>
  <si>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</si>
  <si>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</si>
  <si>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</si>
  <si>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</si>
  <si>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</si>
  <si>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</si>
  <si>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</si>
  <si>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</si>
  <si>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</si>
  <si>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</si>
  <si>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</si>
  <si>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</si>
  <si>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</si>
  <si>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</si>
  <si>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</si>
  <si>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</si>
  <si>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</si>
  <si>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</si>
  <si>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</si>
  <si>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</si>
  <si>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</si>
  <si>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</si>
  <si>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</si>
  <si>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</si>
  <si>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</si>
  <si>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</si>
  <si>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</si>
  <si>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</si>
  <si>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</si>
  <si>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</si>
  <si>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</si>
  <si>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</si>
  <si>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</si>
  <si>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</si>
  <si>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</si>
  <si>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</si>
  <si>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</si>
  <si>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</si>
  <si>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</si>
  <si>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</si>
  <si>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</si>
  <si>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</si>
  <si>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</si>
  <si>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</si>
  <si>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</si>
  <si>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</si>
  <si>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</si>
  <si>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</si>
  <si>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</si>
  <si>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</si>
  <si>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</si>
  <si>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</si>
  <si>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</si>
  <si>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</si>
  <si>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</si>
  <si>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</si>
  <si>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</si>
  <si>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</si>
  <si>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</si>
  <si>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</si>
  <si>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</si>
  <si>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</si>
  <si>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</si>
  <si>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</si>
  <si>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</si>
  <si>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</si>
  <si>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</si>
  <si>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</si>
  <si>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</si>
  <si>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</si>
  <si>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</si>
  <si>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</si>
  <si>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</si>
  <si>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</si>
  <si>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</si>
  <si>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</si>
  <si>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</si>
  <si>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</si>
  <si>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</si>
  <si>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</si>
  <si>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</si>
  <si>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</si>
  <si>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</si>
  <si>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</si>
  <si>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</si>
  <si>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</si>
  <si>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</si>
  <si>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</si>
  <si>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</si>
  <si>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</si>
  <si>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</si>
  <si>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</si>
  <si>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</si>
  <si>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</si>
  <si>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</si>
  <si>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</si>
  <si>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</si>
  <si>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</si>
  <si>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</si>
  <si>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</si>
  <si>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</si>
  <si>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</si>
  <si>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</si>
  <si>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</si>
  <si>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</si>
  <si>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</si>
  <si>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</si>
  <si>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</si>
  <si>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</si>
  <si>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</si>
  <si>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</si>
  <si>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</si>
  <si>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</si>
  <si>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</si>
  <si>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</si>
  <si>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</si>
  <si>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</si>
  <si>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</si>
  <si>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</si>
  <si>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</si>
  <si>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</si>
  <si>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</si>
  <si>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</si>
  <si>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</si>
  <si>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</si>
  <si>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</si>
  <si>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</si>
  <si>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</si>
  <si>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</si>
  <si>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</si>
  <si>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</si>
  <si>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</si>
  <si>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</si>
  <si>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</si>
  <si>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</si>
  <si>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</si>
  <si>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</si>
  <si>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</si>
  <si>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</si>
  <si>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</si>
  <si>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</si>
  <si>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</si>
  <si>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</si>
  <si>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</si>
  <si>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</si>
  <si>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</si>
  <si>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</si>
  <si>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</si>
  <si>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</si>
  <si>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</si>
  <si>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</si>
  <si>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</si>
  <si>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</si>
  <si>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</si>
  <si>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</si>
  <si>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</si>
  <si>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</si>
  <si>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</si>
  <si>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</si>
  <si>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</si>
  <si>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</si>
  <si>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</si>
  <si>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</si>
  <si>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</si>
  <si>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</si>
  <si>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</si>
  <si>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</si>
  <si>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</si>
  <si>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</si>
  <si>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</si>
  <si>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</si>
  <si>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</si>
  <si>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</si>
  <si>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</si>
  <si>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</si>
  <si>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</si>
  <si>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</si>
  <si>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</si>
  <si>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</si>
  <si>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</si>
  <si>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</si>
  <si>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</si>
  <si>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</si>
  <si>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</si>
  <si>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</si>
  <si>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</si>
  <si>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</si>
  <si>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</si>
  <si>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</si>
  <si>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</si>
  <si>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</si>
  <si>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</si>
  <si>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</si>
  <si>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</si>
  <si>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</si>
  <si>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</si>
  <si>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</si>
  <si>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</si>
  <si>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</si>
  <si>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</si>
  <si>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</si>
  <si>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</si>
  <si>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</si>
  <si>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</si>
  <si>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</si>
  <si>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</si>
  <si>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</si>
  <si>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</si>
  <si>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</si>
  <si>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</si>
  <si>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</si>
  <si>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</si>
  <si>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</si>
  <si>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</si>
  <si>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</si>
  <si>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</si>
  <si>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</si>
  <si>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</si>
  <si>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</si>
  <si>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</si>
  <si>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</si>
  <si>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</si>
  <si>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</si>
  <si>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</si>
  <si>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</si>
  <si>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</si>
  <si>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</si>
  <si>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</si>
  <si>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</si>
  <si>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</si>
  <si>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</si>
  <si>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</si>
  <si>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</si>
  <si>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</si>
  <si>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</si>
  <si>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</si>
  <si>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</si>
  <si>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</si>
  <si>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</si>
  <si>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</si>
  <si>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</si>
  <si>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</si>
  <si>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</si>
  <si>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</si>
  <si>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</si>
  <si>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</si>
  <si>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</si>
  <si>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</si>
  <si>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</si>
  <si>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</si>
  <si>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</si>
  <si>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</si>
  <si>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</si>
  <si>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</si>
  <si>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</si>
  <si>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</si>
  <si>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</si>
  <si>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</si>
  <si>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</si>
  <si>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</si>
  <si>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</si>
  <si>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</si>
  <si>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</si>
  <si>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</si>
  <si>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</si>
  <si>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</si>
  <si>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</si>
  <si>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</si>
  <si>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</si>
  <si>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</si>
  <si>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</si>
  <si>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</si>
  <si>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</si>
  <si>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</si>
  <si>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</si>
  <si>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</si>
  <si>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</si>
  <si>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</si>
  <si>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</si>
  <si>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</si>
  <si>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</si>
  <si>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</si>
  <si>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</si>
  <si>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</si>
  <si>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</si>
  <si>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</si>
  <si>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</si>
  <si>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</si>
  <si>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</si>
  <si>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</si>
  <si>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</si>
  <si>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</si>
  <si>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</si>
  <si>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</si>
  <si>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</si>
  <si>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</si>
  <si>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</si>
  <si>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</si>
  <si>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</si>
  <si>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</si>
  <si>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</si>
  <si>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</si>
  <si>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</si>
  <si>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</si>
  <si>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</si>
  <si>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</si>
  <si>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</si>
  <si>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</si>
  <si>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</si>
  <si>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</si>
  <si>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</si>
  <si>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</si>
  <si>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</si>
  <si>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</si>
  <si>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</si>
  <si>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</si>
  <si>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</si>
  <si>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</si>
  <si>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</si>
  <si>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</si>
  <si>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</si>
  <si>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</si>
  <si>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</si>
  <si>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</si>
  <si>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</si>
  <si>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</si>
  <si>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</si>
  <si>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</si>
  <si>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</si>
  <si>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</si>
  <si>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</si>
  <si>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</si>
  <si>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</si>
  <si>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</si>
  <si>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</si>
  <si>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</si>
  <si>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</si>
  <si>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</si>
  <si>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</si>
  <si>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</si>
  <si>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</si>
  <si>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</si>
  <si>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</si>
  <si>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</si>
  <si>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</si>
  <si>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</si>
  <si>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</si>
  <si>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</si>
  <si>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</si>
  <si>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</si>
  <si>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</si>
  <si>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</si>
  <si>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</si>
  <si>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</si>
  <si>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</si>
  <si>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</si>
  <si>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</si>
  <si>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</si>
  <si>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</si>
  <si>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</si>
  <si>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</si>
  <si>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</si>
  <si>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</si>
  <si>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</si>
  <si>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</si>
  <si>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</si>
  <si>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</si>
  <si>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</si>
  <si>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</si>
  <si>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</si>
  <si>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</si>
  <si>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</si>
  <si>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</si>
  <si>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</si>
  <si>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</si>
  <si>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</si>
  <si>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</si>
  <si>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</si>
  <si>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</si>
  <si>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</si>
  <si>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</si>
  <si>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</si>
  <si>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</si>
  <si>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</si>
  <si>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</si>
  <si>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</si>
  <si>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</si>
  <si>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</si>
  <si>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</si>
  <si>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</si>
  <si>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</si>
  <si>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</si>
  <si>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</si>
  <si>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</si>
  <si>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</si>
  <si>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</si>
  <si>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</si>
  <si>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</si>
  <si>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</si>
  <si>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</si>
  <si>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</si>
  <si>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</si>
  <si>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</si>
  <si>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</si>
  <si>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</si>
  <si>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</si>
  <si>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</si>
  <si>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</si>
  <si>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</si>
  <si>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</si>
  <si>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</si>
  <si>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</si>
  <si>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</si>
  <si>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</si>
  <si>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</si>
  <si>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</si>
  <si>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</si>
  <si>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</si>
  <si>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</si>
  <si>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</si>
  <si>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</si>
  <si>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</si>
  <si>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</si>
  <si>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</si>
  <si>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</si>
  <si>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</si>
  <si>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</si>
  <si>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</si>
  <si>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</si>
  <si>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</si>
  <si>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</si>
  <si>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</si>
  <si>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</si>
  <si>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</si>
  <si>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</si>
  <si>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</si>
  <si>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</si>
  <si>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</si>
  <si>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</si>
  <si>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</si>
  <si>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</si>
  <si>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</si>
  <si>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</si>
  <si>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</si>
  <si>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</si>
  <si>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</si>
  <si>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</si>
  <si>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</si>
  <si>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</si>
  <si>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</si>
  <si>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</si>
  <si>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</si>
  <si>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</si>
  <si>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</si>
  <si>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</si>
  <si>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</si>
  <si>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</si>
  <si>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</si>
  <si>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</si>
  <si>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</si>
  <si>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</si>
  <si>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</si>
  <si>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</si>
  <si>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</si>
  <si>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</si>
  <si>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</si>
  <si>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</si>
  <si>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</si>
  <si>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</si>
  <si>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</si>
  <si>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</si>
  <si>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</si>
  <si>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</si>
  <si>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</si>
  <si>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</si>
  <si>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</si>
  <si>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</si>
  <si>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</si>
  <si>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</si>
  <si>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</si>
  <si>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</si>
  <si>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</si>
  <si>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</si>
  <si>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</si>
  <si>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</si>
  <si>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</si>
  <si>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</si>
  <si>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</si>
  <si>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</si>
  <si>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</si>
  <si>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</si>
  <si>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</si>
  <si>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</si>
  <si>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</si>
  <si>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</si>
  <si>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</si>
  <si>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</si>
  <si>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</si>
  <si>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</si>
  <si>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</si>
  <si>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</si>
  <si>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</si>
  <si>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</si>
  <si>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</si>
  <si>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</si>
  <si>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</si>
  <si>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</si>
  <si>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</si>
  <si>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</si>
  <si>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</si>
  <si>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</si>
  <si>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</si>
  <si>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</si>
  <si>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</si>
  <si>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</si>
  <si>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</si>
  <si>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</si>
  <si>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</si>
  <si>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</si>
  <si>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</si>
  <si>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</si>
  <si>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</si>
  <si>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</si>
  <si>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</si>
  <si>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</si>
  <si>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</si>
  <si>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</si>
  <si>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</si>
  <si>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</si>
  <si>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</si>
  <si>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</si>
  <si>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</si>
  <si>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</si>
  <si>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</si>
  <si>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</si>
  <si>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</si>
  <si>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</si>
  <si>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</si>
  <si>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</si>
  <si>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</si>
  <si>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</si>
  <si>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</si>
  <si>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</si>
  <si>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</si>
  <si>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</si>
  <si>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</si>
  <si>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</si>
  <si>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</si>
  <si>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</si>
  <si>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</si>
  <si>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</si>
  <si>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</si>
  <si>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</si>
  <si>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</si>
  <si>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</si>
  <si>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</si>
  <si>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</si>
  <si>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</si>
  <si>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</si>
  <si>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</si>
  <si>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</si>
  <si>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</si>
  <si>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</si>
  <si>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</si>
  <si>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</si>
  <si>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</si>
  <si>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</si>
  <si>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</si>
  <si>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</si>
  <si>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</si>
  <si>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</si>
  <si>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</si>
  <si>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</si>
  <si>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</si>
  <si>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</si>
  <si>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</si>
  <si>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</si>
  <si>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</si>
  <si>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</si>
  <si>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</si>
  <si>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</si>
  <si>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</si>
  <si>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</si>
  <si>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</si>
  <si>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</si>
  <si>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</si>
  <si>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</si>
  <si>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</si>
  <si>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</si>
  <si>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</si>
  <si>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</si>
  <si>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</si>
  <si>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</si>
  <si>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</si>
  <si>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</si>
  <si>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</si>
  <si>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</si>
  <si>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</si>
  <si>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</si>
  <si>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</si>
  <si>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</si>
  <si>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</si>
  <si>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</si>
  <si>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</si>
  <si>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</si>
  <si>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</si>
  <si>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</si>
  <si>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</si>
  <si>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</si>
  <si>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</si>
  <si>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</si>
  <si>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</si>
  <si>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</si>
  <si>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</si>
  <si>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</si>
  <si>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</si>
  <si>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</si>
  <si>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</si>
  <si>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</si>
  <si>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</si>
  <si>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</si>
  <si>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</si>
  <si>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</si>
  <si>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</si>
  <si>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</si>
  <si>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</si>
  <si>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</si>
  <si>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</si>
  <si>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</si>
  <si>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</si>
  <si>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</si>
  <si>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</si>
  <si>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</si>
  <si>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</si>
  <si>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</si>
  <si>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</si>
  <si>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</si>
  <si>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</si>
  <si>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</si>
  <si>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</si>
  <si>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</si>
  <si>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</si>
  <si>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</si>
  <si>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</si>
  <si>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</si>
  <si>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</si>
  <si>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</si>
  <si>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</si>
  <si>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</si>
  <si>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</si>
  <si>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</si>
  <si>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</si>
  <si>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</si>
  <si>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</si>
  <si>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</si>
  <si>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</si>
  <si>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</si>
  <si>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</si>
  <si>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</si>
  <si>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</si>
  <si>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</si>
  <si>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</si>
  <si>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</si>
  <si>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</si>
  <si>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</si>
  <si>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</si>
  <si>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</si>
  <si>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</si>
  <si>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</si>
  <si>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</si>
  <si>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</si>
  <si>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</si>
  <si>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</si>
  <si>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</si>
  <si>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</si>
  <si>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</si>
  <si>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</si>
  <si>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</si>
  <si>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</si>
  <si>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</si>
  <si>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</si>
  <si>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</si>
  <si>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</si>
  <si>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</si>
  <si>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</si>
  <si>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</si>
  <si>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</si>
  <si>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</si>
  <si>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</si>
  <si>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</si>
  <si>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</si>
  <si>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</si>
  <si>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</si>
  <si>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</si>
  <si>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</si>
  <si>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</si>
  <si>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</si>
  <si>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</si>
  <si>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</si>
  <si>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</si>
  <si>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</si>
  <si>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</si>
  <si>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</si>
  <si>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</si>
  <si>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</si>
  <si>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</si>
  <si>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</si>
  <si>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</si>
  <si>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</si>
  <si>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</si>
  <si>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</si>
  <si>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</si>
  <si>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</si>
  <si>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</si>
  <si>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</si>
  <si>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</si>
  <si>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</si>
  <si>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</si>
  <si>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</si>
  <si>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</si>
  <si>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</si>
  <si>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</si>
  <si>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</si>
  <si>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</si>
  <si>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</si>
  <si>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</si>
  <si>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</si>
  <si>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</si>
  <si>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</si>
  <si>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</si>
  <si>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</si>
  <si>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</si>
  <si>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</si>
  <si>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</si>
  <si>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</si>
  <si>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</si>
  <si>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</si>
  <si>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</si>
  <si>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</si>
  <si>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</si>
  <si>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</si>
  <si>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</si>
  <si>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</si>
  <si>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</si>
  <si>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</si>
  <si>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</si>
  <si>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</si>
  <si>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</si>
  <si>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</si>
  <si>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</si>
  <si>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</si>
  <si>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</si>
  <si>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</si>
  <si>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</si>
  <si>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</si>
  <si>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</si>
  <si>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</si>
  <si>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</si>
  <si>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</si>
  <si>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</si>
  <si>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</si>
  <si>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</si>
  <si>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</si>
  <si>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</si>
  <si>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</si>
  <si>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</si>
  <si>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</si>
  <si>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</si>
  <si>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</si>
  <si>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</si>
  <si>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</si>
  <si>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</si>
  <si>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</si>
  <si>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</si>
  <si>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</si>
  <si>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</si>
  <si>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</si>
  <si>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</si>
  <si>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</si>
  <si>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</si>
  <si>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</si>
  <si>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</si>
  <si>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</si>
  <si>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</si>
  <si>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</si>
  <si>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</si>
  <si>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</si>
  <si>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</si>
  <si>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</si>
  <si>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</si>
  <si>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</si>
  <si>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</si>
  <si>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</si>
  <si>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</si>
  <si>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</si>
  <si>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</si>
  <si>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</si>
  <si>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</si>
  <si>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</si>
  <si>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</si>
  <si>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</si>
  <si>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</si>
  <si>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</si>
  <si>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</si>
  <si>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</si>
  <si>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</si>
  <si>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</si>
  <si>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</si>
  <si>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</si>
  <si>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</si>
  <si>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</si>
  <si>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</si>
  <si>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</si>
  <si>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</si>
  <si>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</si>
  <si>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</si>
  <si>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</si>
  <si>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</si>
  <si>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</si>
  <si>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</si>
  <si>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</si>
  <si>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</si>
  <si>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</si>
  <si>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</si>
  <si>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</si>
  <si>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</si>
  <si>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</si>
  <si>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</si>
  <si>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</si>
  <si>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</si>
  <si>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</si>
  <si>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</si>
  <si>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</si>
  <si>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</si>
  <si>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</si>
  <si>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</si>
  <si>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</si>
  <si>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</si>
  <si>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</si>
  <si>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</si>
  <si>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</si>
  <si>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</si>
  <si>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</si>
  <si>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</si>
  <si>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</si>
  <si>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</si>
  <si>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</si>
  <si>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</si>
  <si>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</si>
  <si>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</si>
  <si>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</si>
  <si>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</si>
  <si>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</si>
  <si>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</si>
  <si>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</si>
  <si>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</si>
  <si>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</si>
  <si>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</si>
  <si>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</si>
  <si>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</si>
  <si>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</si>
  <si>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</si>
  <si>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</si>
  <si>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</si>
  <si>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</si>
  <si>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</si>
  <si>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</si>
  <si>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</si>
  <si>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</si>
  <si>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</si>
  <si>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</si>
  <si>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</si>
  <si>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</si>
  <si>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</si>
  <si>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</si>
  <si>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</si>
  <si>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</si>
  <si>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</si>
  <si>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</si>
  <si>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</si>
  <si>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</si>
  <si>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</si>
  <si>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</si>
  <si>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</si>
  <si>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</si>
  <si>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</si>
  <si>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</si>
  <si>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</si>
  <si>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</si>
  <si>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</si>
  <si>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</si>
  <si>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</si>
  <si>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</si>
  <si>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</si>
  <si>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</si>
  <si>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</si>
  <si>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</si>
  <si>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</si>
  <si>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</si>
  <si>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</si>
  <si>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</si>
  <si>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</si>
  <si>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</si>
  <si>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</si>
  <si>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</si>
  <si>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</si>
  <si>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</si>
  <si>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</si>
  <si>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</si>
  <si>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</si>
  <si>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</si>
  <si>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</si>
  <si>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</si>
  <si>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</si>
  <si>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</si>
  <si>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</si>
  <si>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</si>
  <si>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</si>
  <si>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</si>
  <si>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</si>
  <si>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</si>
  <si>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</si>
  <si>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</si>
  <si>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</si>
  <si>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</si>
  <si>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</si>
  <si>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</si>
  <si>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</si>
  <si>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</si>
  <si>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</si>
  <si>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</si>
  <si>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</si>
  <si>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</si>
  <si>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</si>
  <si>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</si>
  <si>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</si>
  <si>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</si>
  <si>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</si>
  <si>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</si>
  <si>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</si>
  <si>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</si>
  <si>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</si>
  <si>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</si>
  <si>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</si>
  <si>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</si>
  <si>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</si>
  <si>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</si>
  <si>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</si>
  <si>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</si>
  <si>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</si>
  <si>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</si>
  <si>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</si>
  <si>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</si>
  <si>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</si>
  <si>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</si>
  <si>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</si>
  <si>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</si>
  <si>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</si>
  <si>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</si>
  <si>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</si>
  <si>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</si>
  <si>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</si>
  <si>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</si>
  <si>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</si>
  <si>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</si>
  <si>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</si>
  <si>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</si>
  <si>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</si>
  <si>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</si>
  <si>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</si>
  <si>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</si>
  <si>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</si>
  <si>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</si>
  <si>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</si>
  <si>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</si>
  <si>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</si>
  <si>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</si>
  <si>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</si>
  <si>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</si>
  <si>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</si>
  <si>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</si>
  <si>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</si>
  <si>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</si>
  <si>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</si>
  <si>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</si>
  <si>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</si>
  <si>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</si>
  <si>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</si>
  <si>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</si>
  <si>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</si>
  <si>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</si>
  <si>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</si>
  <si>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</si>
  <si>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</si>
  <si>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</si>
  <si>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</si>
  <si>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</si>
  <si>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</si>
  <si>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</si>
  <si>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</si>
  <si>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</si>
  <si>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</si>
  <si>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</si>
  <si>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</si>
  <si>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</si>
  <si>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</si>
  <si>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</si>
  <si>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</si>
  <si>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</si>
  <si>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</si>
  <si>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</si>
  <si>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</si>
  <si>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</si>
  <si>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</si>
  <si>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</si>
  <si>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</si>
  <si>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</si>
  <si>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</si>
  <si>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</si>
  <si>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</si>
  <si>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</si>
  <si>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</si>
  <si>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</si>
  <si>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</si>
  <si>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</si>
  <si>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</si>
  <si>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</si>
  <si>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</si>
  <si>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</si>
  <si>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</si>
  <si>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</si>
  <si>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</si>
  <si>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</si>
  <si>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</si>
  <si>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</si>
  <si>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</si>
  <si>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</si>
  <si>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</si>
  <si>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</si>
  <si>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</si>
  <si>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</si>
  <si>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</si>
  <si>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</si>
  <si>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</si>
  <si>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</si>
  <si>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</si>
  <si>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</si>
  <si>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</si>
  <si>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</si>
  <si>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</si>
  <si>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</si>
  <si>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</si>
  <si>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</si>
  <si>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</si>
  <si>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</si>
  <si>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</si>
  <si>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</si>
  <si>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</si>
  <si>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</si>
  <si>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</si>
  <si>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</si>
  <si>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</si>
  <si>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</si>
  <si>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</si>
  <si>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</si>
  <si>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</si>
  <si>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</si>
  <si>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</si>
  <si>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</si>
  <si>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</si>
  <si>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</si>
  <si>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</si>
  <si>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</si>
  <si>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</si>
  <si>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</si>
  <si>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</si>
  <si>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</si>
  <si>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</si>
  <si>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</si>
  <si>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</si>
  <si>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</si>
  <si>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</si>
  <si>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</si>
  <si>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</si>
  <si>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</si>
  <si>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</si>
  <si>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</si>
  <si>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</si>
  <si>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</si>
  <si>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</si>
  <si>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</si>
  <si>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</si>
  <si>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</si>
  <si>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</si>
  <si>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</si>
  <si>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</si>
  <si>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</si>
  <si>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</si>
  <si>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</si>
  <si>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</si>
  <si>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</si>
  <si>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</si>
  <si>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</si>
  <si>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</si>
  <si>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</si>
  <si>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</si>
  <si>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</si>
  <si>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</si>
  <si>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</si>
  <si>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</si>
  <si>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</si>
  <si>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</si>
  <si>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</si>
  <si>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</si>
  <si>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</si>
  <si>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</si>
  <si>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</si>
  <si>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</si>
  <si>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</si>
  <si>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</si>
  <si>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</si>
  <si>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</si>
  <si>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</si>
  <si>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</si>
  <si>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</si>
  <si>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</si>
  <si>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</si>
  <si>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</si>
  <si>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</si>
  <si>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</si>
  <si>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</si>
  <si>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</si>
  <si>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</si>
  <si>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</si>
  <si>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</si>
  <si>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</si>
  <si>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</si>
  <si>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</si>
  <si>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</si>
  <si>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</si>
  <si>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</si>
  <si>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</si>
  <si>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</si>
  <si>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</si>
  <si>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</si>
  <si>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</si>
  <si>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</si>
  <si>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</si>
  <si>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</si>
  <si>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</si>
  <si>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</si>
  <si>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</si>
  <si>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</si>
  <si>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</si>
  <si>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</si>
  <si>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</si>
  <si>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</si>
  <si>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</si>
  <si>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</si>
  <si>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</si>
  <si>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</si>
  <si>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</si>
  <si>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</si>
  <si>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</si>
  <si>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</si>
  <si>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</si>
  <si>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</si>
  <si>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</si>
  <si>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</si>
  <si>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</si>
  <si>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</si>
  <si>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</si>
  <si>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</si>
  <si>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</si>
  <si>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</si>
  <si>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</si>
  <si>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</si>
  <si>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</si>
  <si>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</si>
  <si>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</si>
  <si>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</si>
  <si>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</si>
  <si>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</si>
  <si>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</si>
  <si>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</si>
  <si>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</si>
  <si>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</si>
  <si>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</si>
  <si>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</si>
  <si>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</si>
  <si>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</si>
  <si>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</si>
  <si>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</si>
  <si>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</si>
  <si>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</si>
  <si>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</si>
  <si>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</si>
  <si>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</si>
  <si>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</si>
  <si>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</si>
  <si>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</si>
  <si>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</si>
  <si>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</si>
  <si>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</si>
  <si>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</si>
  <si>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</si>
  <si>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</si>
  <si>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</si>
  <si>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</si>
  <si>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</si>
  <si>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</si>
  <si>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</si>
  <si>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</si>
  <si>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</si>
  <si>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</si>
  <si>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</si>
  <si>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</si>
  <si>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</si>
  <si>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</si>
  <si>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</si>
  <si>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</si>
  <si>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</si>
  <si>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</si>
  <si>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</si>
  <si>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</si>
  <si>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</si>
  <si>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</si>
  <si>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</si>
  <si>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</si>
  <si>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</si>
  <si>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</si>
  <si>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</si>
  <si>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</si>
  <si>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</si>
  <si>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</si>
  <si>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</si>
  <si>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</si>
  <si>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</si>
  <si>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</si>
  <si>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</si>
  <si>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</si>
  <si>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</si>
  <si>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</si>
  <si>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</si>
  <si>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</si>
  <si>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</si>
  <si>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</si>
  <si>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</si>
  <si>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</si>
  <si>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</si>
  <si>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</si>
  <si>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</si>
  <si>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</si>
  <si>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</si>
  <si>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</si>
  <si>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</si>
  <si>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</si>
  <si>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</si>
  <si>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</si>
  <si>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</si>
  <si>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</si>
  <si>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</si>
  <si>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</si>
  <si>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</si>
  <si>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</si>
  <si>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</si>
  <si>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</si>
  <si>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</si>
  <si>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</si>
  <si>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</si>
  <si>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</si>
  <si>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</si>
  <si>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</si>
  <si>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</si>
  <si>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</si>
  <si>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</si>
  <si>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</si>
  <si>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</si>
  <si>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</si>
  <si>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</si>
  <si>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</si>
  <si>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</si>
  <si>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</si>
  <si>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</si>
  <si>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</si>
  <si>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</si>
  <si>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</si>
  <si>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</si>
  <si>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</si>
  <si>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</si>
  <si>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</si>
  <si>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</si>
  <si>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</si>
  <si>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</si>
  <si>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</si>
  <si>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</si>
  <si>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</si>
  <si>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</si>
  <si>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</si>
  <si>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</si>
  <si>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</si>
  <si>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</si>
  <si>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</si>
  <si>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</si>
  <si>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</si>
  <si>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</si>
  <si>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</si>
  <si>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</si>
  <si>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</si>
  <si>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</si>
  <si>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</si>
  <si>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</si>
  <si>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</si>
  <si>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</si>
  <si>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</si>
  <si>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</si>
  <si>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</si>
  <si>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</si>
  <si>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</si>
  <si>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</si>
  <si>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</si>
  <si>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</si>
  <si>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</si>
  <si>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</si>
  <si>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</si>
  <si>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</si>
  <si>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</si>
  <si>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</si>
  <si>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</si>
  <si>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</si>
  <si>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</si>
  <si>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</si>
  <si>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</si>
  <si>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</si>
  <si>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</si>
  <si>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</si>
  <si>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</si>
  <si>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</si>
  <si>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</si>
  <si>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</si>
  <si>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</si>
  <si>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</si>
  <si>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</si>
  <si>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</si>
  <si>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</si>
  <si>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</si>
  <si>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</si>
  <si>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</si>
  <si>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</si>
  <si>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</si>
  <si>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</si>
  <si>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</si>
  <si>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</si>
  <si>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</si>
  <si>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</si>
  <si>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</si>
  <si>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</si>
  <si>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</si>
  <si>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</si>
  <si>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</si>
  <si>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</si>
  <si>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</si>
  <si>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</si>
  <si>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</si>
  <si>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</si>
  <si>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</si>
  <si>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</si>
  <si>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</si>
  <si>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</si>
  <si>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</si>
  <si>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</si>
  <si>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</si>
  <si>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</si>
  <si>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</si>
  <si>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</si>
  <si>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</si>
  <si>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</si>
  <si>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</si>
  <si>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</si>
  <si>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</si>
  <si>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</si>
  <si>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</si>
  <si>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</si>
  <si>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</si>
  <si>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</si>
  <si>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</si>
  <si>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</si>
  <si>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</si>
  <si>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</si>
  <si>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</si>
  <si>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</si>
  <si>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</si>
  <si>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</si>
  <si>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</si>
  <si>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</si>
  <si>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</si>
  <si>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</si>
  <si>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</si>
  <si>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</si>
  <si>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</si>
  <si>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</si>
  <si>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</si>
  <si>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</si>
  <si>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</si>
  <si>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</si>
  <si>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</si>
  <si>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</si>
  <si>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</si>
  <si>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</si>
  <si>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</si>
  <si>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</si>
  <si>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</si>
  <si>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</si>
  <si>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</si>
  <si>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</si>
  <si>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</si>
  <si>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</si>
  <si>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</si>
  <si>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</si>
  <si>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</si>
  <si>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</si>
  <si>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</si>
  <si>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</si>
  <si>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</si>
  <si>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</si>
  <si>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</si>
  <si>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</si>
  <si>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</si>
  <si>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</si>
  <si>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</si>
  <si>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</si>
  <si>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</si>
  <si>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</si>
  <si>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</si>
  <si>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</si>
  <si>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</si>
  <si>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</si>
  <si>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</si>
  <si>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</si>
  <si>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</si>
  <si>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</si>
  <si>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</si>
  <si>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</si>
  <si>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</si>
  <si>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</si>
  <si>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</si>
  <si>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</si>
  <si>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</si>
  <si>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</si>
  <si>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</si>
  <si>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</si>
  <si>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</si>
  <si>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</si>
  <si>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</si>
  <si>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</si>
  <si>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</si>
  <si>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</si>
  <si>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</si>
  <si>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</si>
  <si>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</si>
  <si>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</si>
  <si>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</si>
  <si>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</si>
  <si>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</si>
  <si>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</si>
  <si>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</si>
  <si>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</si>
  <si>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</si>
  <si>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</si>
  <si>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</si>
  <si>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</si>
  <si>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</si>
  <si>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</si>
  <si>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</si>
  <si>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</si>
  <si>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</si>
  <si>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</si>
  <si>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</si>
  <si>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</si>
  <si>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</si>
  <si>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</si>
  <si>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</si>
  <si>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</si>
  <si>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</si>
  <si>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</si>
  <si>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</si>
  <si>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</si>
  <si>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</si>
  <si>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</si>
  <si>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</si>
  <si>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</si>
  <si>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</si>
  <si>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</si>
  <si>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</si>
  <si>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</si>
  <si>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</si>
  <si>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</si>
  <si>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</si>
  <si>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</si>
  <si>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</si>
  <si>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</si>
  <si>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</si>
  <si>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</si>
  <si>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</si>
  <si>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</si>
  <si>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</si>
  <si>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</si>
  <si>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</si>
  <si>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</si>
  <si>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</si>
  <si>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</si>
  <si>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</si>
  <si>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</si>
  <si>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</si>
  <si>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</si>
  <si>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</si>
  <si>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</si>
  <si>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</si>
  <si>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</si>
  <si>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</si>
  <si>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</si>
  <si>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</si>
  <si>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</si>
  <si>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</si>
  <si>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</si>
  <si>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</si>
  <si>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</si>
  <si>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</si>
  <si>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</si>
  <si>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</si>
  <si>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</si>
  <si>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</si>
  <si>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</si>
  <si>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</si>
  <si>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</si>
  <si>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</si>
  <si>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</si>
  <si>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</si>
  <si>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</si>
  <si>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</si>
  <si>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</si>
  <si>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</si>
  <si>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</si>
  <si>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</si>
  <si>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</si>
  <si>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</si>
  <si>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</si>
  <si>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</si>
  <si>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</si>
  <si>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</si>
  <si>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</si>
  <si>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</si>
  <si>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</si>
  <si>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</si>
  <si>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</si>
  <si>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</si>
  <si>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</si>
  <si>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</si>
  <si>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</si>
  <si>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</si>
  <si>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</si>
  <si>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</si>
  <si>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</si>
  <si>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</si>
  <si>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</si>
  <si>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</si>
  <si>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</si>
  <si>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</si>
  <si>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</si>
  <si>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</si>
  <si>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</si>
  <si>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</si>
  <si>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</si>
  <si>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</si>
  <si>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</si>
  <si>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</si>
  <si>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</si>
  <si>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</si>
  <si>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</si>
  <si>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</si>
  <si>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</si>
  <si>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</si>
  <si>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</si>
  <si>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</si>
  <si>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</si>
  <si>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</si>
  <si>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</si>
  <si>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</si>
  <si>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</si>
  <si>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</si>
  <si>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</si>
  <si>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</si>
  <si>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</si>
  <si>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</si>
  <si>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</si>
  <si>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</si>
  <si>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</si>
  <si>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</si>
  <si>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</si>
  <si>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</si>
  <si>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</si>
  <si>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</si>
  <si>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</si>
  <si>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</si>
  <si>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</si>
  <si>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</si>
  <si>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</si>
  <si>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</si>
  <si>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</si>
  <si>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</si>
  <si>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</si>
  <si>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</si>
  <si>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</si>
  <si>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</si>
  <si>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</si>
  <si>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</si>
  <si>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</si>
  <si>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</si>
  <si>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</si>
  <si>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</si>
  <si>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</si>
  <si>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</si>
  <si>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</si>
  <si>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</si>
  <si>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</si>
  <si>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</si>
  <si>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</si>
  <si>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</si>
  <si>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</si>
  <si>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</si>
  <si>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</si>
  <si>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</si>
  <si>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</si>
  <si>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</si>
  <si>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</si>
  <si>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</si>
  <si>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</si>
  <si>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</si>
  <si>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</si>
  <si>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</si>
  <si>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</si>
  <si>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</si>
  <si>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</si>
  <si>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</si>
  <si>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</si>
  <si>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</si>
  <si>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</si>
  <si>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</si>
  <si>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</si>
  <si>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</si>
  <si>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</si>
  <si>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</si>
  <si>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</si>
  <si>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</si>
  <si>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</si>
  <si>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</si>
  <si>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</si>
  <si>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</si>
  <si>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</si>
  <si>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</si>
  <si>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</si>
  <si>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</si>
  <si>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</si>
  <si>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</si>
  <si>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</si>
  <si>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</si>
  <si>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</si>
  <si>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</si>
  <si>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</si>
  <si>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</si>
  <si>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</si>
  <si>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</si>
  <si>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</si>
  <si>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</si>
  <si>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</si>
  <si>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</si>
  <si>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</si>
  <si>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</si>
  <si>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</si>
  <si>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</si>
  <si>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</si>
  <si>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</si>
  <si>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</si>
  <si>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</si>
  <si>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</si>
  <si>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</si>
  <si>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</si>
  <si>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</si>
  <si>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</si>
  <si>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</si>
  <si>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</si>
  <si>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</si>
  <si>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</si>
  <si>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</si>
  <si>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</si>
  <si>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</si>
  <si>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</si>
  <si>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</si>
  <si>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</si>
  <si>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</si>
  <si>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</si>
  <si>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</si>
  <si>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</si>
  <si>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</si>
  <si>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</si>
  <si>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</si>
  <si>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</si>
  <si>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</si>
  <si>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</si>
  <si>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</si>
  <si>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</si>
  <si>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</si>
  <si>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</si>
  <si>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</si>
  <si>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</si>
  <si>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</si>
  <si>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</si>
  <si>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</si>
  <si>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</si>
  <si>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</si>
  <si>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</si>
  <si>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</si>
  <si>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</si>
  <si>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</si>
  <si>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</si>
  <si>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</si>
  <si>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</si>
  <si>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</si>
  <si>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</si>
  <si>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</si>
  <si>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</si>
  <si>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</si>
  <si>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</si>
  <si>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</si>
  <si>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</si>
  <si>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</si>
  <si>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</si>
  <si>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</si>
  <si>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</si>
  <si>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</si>
  <si>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</si>
  <si>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</si>
  <si>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</si>
  <si>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</si>
  <si>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</si>
  <si>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</si>
  <si>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</si>
  <si>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</si>
  <si>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</si>
  <si>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</si>
  <si>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</si>
  <si>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</si>
  <si>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</si>
  <si>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</si>
  <si>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</si>
  <si>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</si>
  <si>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</si>
  <si>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</si>
  <si>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</si>
  <si>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</si>
  <si>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</si>
  <si>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</si>
  <si>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</si>
  <si>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</si>
  <si>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</si>
  <si>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</si>
  <si>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</si>
  <si>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</si>
  <si>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</si>
  <si>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</si>
  <si>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</si>
  <si>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</si>
  <si>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</si>
  <si>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</si>
  <si>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</si>
  <si>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</si>
  <si>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</si>
  <si>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</si>
  <si>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</si>
  <si>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</si>
  <si>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</si>
  <si>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</si>
  <si>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</si>
  <si>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</si>
  <si>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</si>
  <si>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</si>
  <si>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</si>
  <si>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</si>
  <si>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</si>
  <si>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</si>
  <si>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</si>
  <si>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</si>
  <si>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</si>
  <si>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</si>
  <si>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</si>
  <si>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</si>
  <si>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</si>
  <si>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</si>
  <si>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</si>
  <si>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</si>
  <si>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</si>
  <si>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</si>
  <si>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</si>
  <si>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</si>
  <si>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</si>
  <si>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</si>
  <si>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</si>
  <si>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</si>
  <si>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</si>
  <si>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</si>
  <si>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</si>
  <si>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</si>
  <si>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</si>
  <si>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</si>
  <si>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</si>
  <si>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</si>
  <si>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</si>
  <si>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</si>
  <si>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</si>
  <si>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</si>
  <si>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</si>
  <si>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</si>
  <si>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</si>
  <si>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</si>
  <si>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</si>
  <si>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</si>
  <si>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</si>
  <si>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</si>
  <si>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</si>
  <si>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</si>
  <si>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</si>
  <si>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</si>
  <si>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</si>
  <si>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</si>
  <si>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</si>
  <si>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</si>
  <si>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</si>
  <si>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</si>
  <si>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</si>
  <si>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</si>
  <si>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</si>
  <si>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</si>
  <si>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</si>
  <si>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</si>
  <si>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</si>
  <si>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</si>
  <si>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</si>
  <si>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</si>
  <si>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</si>
  <si>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</si>
  <si>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</si>
  <si>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</si>
  <si>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</si>
  <si>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</si>
  <si>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</si>
  <si>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</si>
  <si>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</si>
  <si>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</si>
  <si>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</si>
  <si>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</si>
  <si>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</si>
  <si>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</si>
  <si>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</si>
  <si>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</si>
  <si>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</si>
  <si>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</si>
  <si>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</si>
  <si>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</si>
  <si>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</si>
  <si>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</si>
  <si>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</si>
  <si>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</si>
  <si>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</si>
  <si>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</si>
  <si>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</si>
  <si>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</si>
  <si>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</si>
  <si>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</si>
  <si>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</si>
  <si>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</si>
  <si>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</si>
  <si>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</si>
  <si>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</si>
  <si>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</si>
  <si>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</si>
  <si>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</si>
  <si>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</si>
  <si>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</si>
  <si>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</si>
  <si>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</si>
  <si>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</si>
  <si>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</si>
  <si>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</si>
  <si>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</si>
  <si>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</si>
  <si>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</si>
  <si>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</si>
  <si>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</si>
  <si>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</si>
  <si>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</si>
  <si>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</si>
  <si>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</si>
  <si>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</si>
  <si>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</si>
  <si>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</si>
  <si>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</si>
  <si>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</si>
  <si>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</si>
  <si>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</si>
  <si>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</si>
  <si>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</si>
  <si>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</si>
  <si>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</si>
  <si>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</si>
  <si>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</si>
  <si>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</si>
  <si>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</si>
  <si>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</si>
  <si>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</si>
  <si>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</si>
  <si>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</si>
  <si>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</si>
  <si>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</si>
  <si>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</si>
  <si>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</si>
  <si>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</si>
  <si>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</si>
  <si>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</si>
  <si>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</si>
  <si>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</si>
  <si>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</si>
  <si>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</si>
  <si>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</si>
  <si>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</si>
  <si>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</si>
  <si>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</si>
  <si>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</si>
  <si>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</si>
  <si>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</si>
  <si>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</si>
  <si>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</si>
  <si>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</si>
  <si>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</si>
  <si>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</si>
  <si>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</si>
  <si>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</si>
  <si>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</si>
  <si>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</si>
  <si>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</si>
  <si>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</si>
  <si>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</si>
  <si>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</si>
  <si>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</si>
  <si>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</si>
  <si>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</si>
  <si>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</si>
  <si>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</si>
  <si>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</si>
  <si>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</si>
  <si>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</si>
  <si>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</si>
  <si>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</si>
  <si>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</si>
  <si>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</si>
  <si>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</si>
  <si>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</si>
  <si>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</si>
  <si>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</si>
  <si>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</si>
  <si>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</si>
  <si>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</si>
  <si>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</si>
  <si>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</si>
  <si>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</si>
  <si>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</si>
  <si>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</si>
  <si>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</si>
  <si>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</si>
  <si>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</si>
  <si>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</si>
  <si>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</si>
  <si>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</si>
  <si>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</si>
  <si>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</si>
  <si>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</si>
  <si>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</si>
  <si>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</si>
  <si>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</si>
  <si>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</si>
  <si>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</si>
  <si>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</si>
  <si>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</si>
  <si>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</si>
  <si>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</si>
  <si>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</si>
  <si>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</si>
  <si>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</si>
  <si>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</si>
  <si>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</si>
  <si>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</si>
  <si>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</si>
  <si>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</si>
  <si>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</si>
  <si>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</si>
  <si>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</si>
  <si>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</si>
  <si>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</si>
  <si>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</si>
  <si>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</si>
  <si>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</si>
  <si>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</si>
  <si>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</si>
  <si>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</si>
  <si>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</si>
  <si>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</si>
  <si>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</si>
  <si>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</si>
  <si>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</si>
  <si>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</si>
  <si>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</si>
  <si>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</si>
  <si>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</si>
  <si>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</si>
  <si>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</si>
  <si>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</si>
  <si>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</si>
  <si>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</si>
  <si>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</si>
  <si>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</si>
  <si>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</si>
  <si>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</si>
  <si>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</si>
  <si>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</si>
  <si>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</si>
  <si>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</si>
  <si>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</si>
  <si>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</si>
  <si>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</si>
  <si>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</si>
  <si>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</si>
  <si>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</si>
  <si>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</si>
  <si>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</si>
  <si>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</si>
  <si>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</si>
  <si>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</si>
  <si>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</si>
  <si>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</si>
  <si>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</si>
  <si>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</si>
  <si>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</si>
  <si>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</si>
  <si>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</si>
  <si>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</si>
  <si>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</si>
  <si>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</si>
  <si>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</si>
  <si>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</si>
  <si>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</si>
  <si>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</si>
  <si>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</si>
  <si>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</si>
  <si>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</si>
  <si>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</si>
  <si>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</si>
  <si>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</si>
  <si>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</si>
  <si>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</si>
  <si>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</si>
  <si>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</si>
  <si>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</si>
  <si>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</si>
  <si>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</si>
  <si>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</si>
  <si>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</si>
  <si>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</si>
  <si>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</si>
  <si>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</si>
  <si>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</si>
  <si>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</si>
  <si>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</si>
  <si>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</si>
  <si>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</si>
  <si>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</si>
  <si>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</si>
  <si>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</si>
  <si>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</si>
  <si>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</si>
  <si>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</si>
  <si>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</si>
  <si>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</si>
  <si>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</si>
  <si>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</si>
  <si>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</si>
  <si>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</si>
  <si>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</si>
  <si>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</si>
  <si>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</si>
  <si>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</si>
  <si>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</si>
  <si>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</si>
  <si>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</si>
  <si>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</si>
  <si>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</si>
  <si>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</si>
  <si>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</si>
  <si>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</si>
  <si>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</si>
  <si>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</si>
  <si>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</si>
  <si>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</si>
  <si>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</si>
  <si>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</si>
  <si>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</si>
  <si>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</si>
  <si>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</si>
  <si>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</si>
  <si>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</si>
  <si>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</si>
  <si>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</si>
  <si>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</si>
  <si>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</si>
  <si>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</si>
  <si>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</si>
  <si>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</si>
  <si>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</si>
  <si>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</si>
  <si>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</si>
  <si>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</si>
  <si>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</si>
  <si>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</si>
  <si>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</si>
  <si>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</si>
  <si>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</si>
  <si>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</si>
  <si>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</si>
  <si>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</si>
  <si>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</si>
  <si>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</si>
  <si>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</si>
  <si>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</si>
  <si>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</si>
  <si>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</si>
  <si>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</si>
  <si>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</si>
  <si>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</si>
  <si>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</si>
  <si>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</si>
  <si>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</si>
  <si>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</si>
  <si>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</si>
  <si>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</si>
  <si>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</si>
  <si>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</si>
  <si>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</si>
  <si>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</si>
  <si>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</si>
  <si>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</si>
  <si>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</si>
  <si>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</si>
  <si>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</si>
  <si>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</si>
  <si>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</si>
  <si>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</si>
  <si>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</si>
  <si>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</si>
  <si>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</si>
  <si>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</si>
  <si>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</si>
  <si>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</si>
  <si>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</si>
  <si>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</si>
  <si>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</si>
  <si>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</si>
  <si>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</si>
  <si>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</si>
  <si>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</si>
  <si>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</si>
  <si>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</si>
  <si>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</si>
  <si>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</si>
  <si>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</si>
  <si>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</si>
  <si>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</si>
  <si>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</si>
  <si>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</si>
  <si>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</si>
  <si>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</si>
  <si>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</si>
  <si>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</si>
  <si>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</si>
  <si>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</si>
  <si>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</si>
  <si>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</si>
  <si>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</si>
  <si>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</si>
  <si>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</si>
  <si>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</si>
  <si>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</si>
  <si>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</si>
  <si>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</si>
  <si>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</si>
  <si>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</si>
  <si>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</si>
  <si>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</si>
  <si>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</si>
  <si>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</si>
  <si>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</si>
  <si>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</si>
  <si>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</si>
  <si>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</si>
  <si>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</si>
  <si>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</si>
  <si>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</si>
  <si>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</si>
  <si>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</si>
  <si>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</si>
  <si>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</si>
  <si>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</si>
  <si>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</si>
  <si>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</si>
  <si>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</si>
  <si>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</si>
  <si>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</si>
  <si>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</si>
  <si>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</si>
  <si>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</si>
  <si>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</si>
  <si>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</si>
  <si>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</si>
  <si>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</si>
  <si>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</si>
  <si>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</si>
  <si>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</si>
  <si>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</si>
  <si>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</si>
  <si>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</si>
  <si>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</si>
  <si>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</si>
  <si>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</si>
  <si>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</si>
  <si>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</si>
  <si>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</si>
  <si>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</si>
  <si>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</si>
  <si>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</si>
  <si>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</si>
  <si>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</si>
  <si>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</si>
  <si>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</si>
  <si>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</si>
  <si>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</si>
  <si>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</si>
  <si>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</si>
  <si>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</si>
  <si>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</si>
  <si>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</si>
  <si>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</si>
  <si>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</si>
  <si>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</si>
  <si>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</si>
  <si>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</si>
  <si>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</si>
  <si>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</si>
  <si>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</si>
  <si>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</si>
  <si>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</si>
  <si>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</si>
  <si>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</si>
  <si>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</si>
  <si>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</si>
  <si>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</si>
  <si>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</si>
  <si>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</si>
  <si>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</si>
  <si>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</si>
  <si>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</si>
  <si>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</si>
  <si>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</si>
  <si>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</si>
  <si>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</si>
  <si>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</si>
  <si>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</si>
  <si>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</si>
  <si>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</si>
  <si>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</si>
  <si>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</si>
  <si>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</si>
  <si>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</si>
  <si>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</si>
  <si>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</si>
  <si>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</si>
  <si>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</si>
  <si>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</si>
  <si>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</si>
  <si>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</si>
  <si>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</si>
  <si>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</si>
  <si>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</si>
  <si>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</si>
  <si>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</si>
  <si>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</si>
  <si>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</si>
  <si>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</si>
  <si>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</si>
  <si>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</si>
  <si>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</si>
  <si>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</si>
  <si>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</si>
  <si>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</si>
  <si>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</si>
  <si>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</si>
  <si>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</si>
  <si>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</si>
  <si>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</si>
  <si>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</si>
  <si>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</si>
  <si>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</si>
  <si>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</si>
  <si>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</si>
  <si>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</si>
  <si>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</si>
  <si>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</si>
  <si>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</si>
  <si>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</si>
  <si>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</si>
  <si>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</si>
  <si>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</si>
  <si>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</si>
  <si>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</si>
  <si>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</si>
  <si>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</si>
  <si>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</si>
  <si>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</si>
  <si>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</si>
  <si>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</si>
  <si>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</si>
  <si>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</si>
  <si>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</si>
  <si>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</si>
  <si>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</si>
  <si>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</si>
  <si>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</si>
  <si>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</si>
  <si>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</si>
  <si>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</si>
  <si>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</si>
  <si>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</si>
  <si>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</si>
  <si>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</si>
  <si>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</si>
  <si>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</si>
  <si>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</si>
  <si>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</si>
  <si>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</si>
  <si>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</si>
  <si>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</si>
  <si>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</si>
  <si>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</si>
  <si>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</si>
  <si>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</si>
  <si>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</si>
  <si>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</si>
  <si>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</si>
  <si>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</si>
  <si>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</si>
  <si>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</si>
  <si>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</si>
  <si>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</si>
  <si>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</si>
  <si>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</si>
  <si>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</si>
  <si>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</si>
  <si>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</si>
  <si>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</si>
  <si>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</si>
  <si>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</si>
  <si>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</si>
  <si>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</si>
  <si>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</si>
  <si>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</si>
  <si>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</si>
  <si>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</si>
  <si>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</si>
  <si>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</si>
  <si>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</si>
  <si>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</si>
  <si>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</si>
  <si>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</si>
  <si>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</si>
  <si>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</si>
  <si>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</si>
  <si>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</si>
  <si>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</si>
  <si>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</si>
  <si>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</si>
  <si>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</si>
  <si>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</si>
  <si>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</si>
  <si>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</si>
  <si>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</si>
  <si>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</si>
  <si>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</si>
  <si>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</si>
  <si>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</si>
  <si>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</si>
  <si>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</si>
  <si>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</si>
  <si>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</si>
  <si>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</si>
  <si>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</si>
  <si>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</si>
  <si>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</si>
  <si>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</si>
  <si>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</si>
  <si>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</si>
  <si>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</si>
  <si>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</si>
  <si>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</si>
  <si>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</si>
  <si>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</si>
  <si>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</si>
  <si>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</si>
  <si>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</si>
  <si>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</si>
  <si>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</si>
  <si>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</si>
  <si>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</si>
  <si>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</si>
  <si>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</si>
  <si>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</si>
  <si>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</si>
  <si>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</si>
  <si>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</si>
  <si>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</si>
  <si>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</si>
  <si>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</si>
  <si>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</si>
  <si>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</si>
  <si>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</si>
  <si>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</si>
  <si>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</si>
  <si>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</si>
  <si>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</si>
  <si>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</si>
  <si>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</si>
  <si>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</si>
  <si>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</si>
  <si>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</si>
  <si>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</si>
  <si>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</si>
  <si>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</si>
  <si>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</si>
  <si>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</si>
  <si>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</si>
  <si>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</si>
  <si>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</si>
  <si>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</si>
  <si>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</si>
  <si>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</si>
  <si>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</si>
  <si>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</si>
  <si>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</si>
  <si>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</si>
  <si>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</si>
  <si>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</si>
  <si>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</si>
  <si>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</si>
  <si>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</si>
  <si>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</si>
  <si>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</si>
  <si>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</si>
  <si>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</si>
  <si>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</si>
  <si>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</si>
  <si>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</si>
  <si>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</si>
  <si>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</si>
  <si>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</si>
  <si>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</si>
  <si>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</si>
  <si>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</si>
  <si>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</si>
  <si>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</si>
  <si>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</si>
  <si>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</si>
  <si>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</si>
  <si>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</si>
  <si>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</si>
  <si>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</si>
  <si>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</si>
  <si>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</si>
  <si>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</si>
  <si>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</si>
  <si>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</si>
  <si>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</si>
  <si>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</si>
  <si>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</si>
  <si>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</si>
  <si>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</si>
  <si>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</si>
  <si>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</si>
  <si>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</si>
  <si>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</si>
  <si>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</si>
  <si>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</si>
  <si>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</si>
  <si>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</si>
  <si>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</si>
  <si>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</si>
  <si>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</si>
  <si>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</si>
  <si>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</si>
  <si>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</si>
  <si>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</si>
  <si>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</si>
  <si>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</si>
  <si>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</si>
  <si>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</si>
  <si>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</si>
  <si>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</si>
  <si>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</si>
  <si>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</si>
  <si>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</si>
  <si>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</si>
  <si>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</si>
  <si>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</si>
  <si>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</si>
  <si>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</si>
  <si>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</si>
  <si>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</si>
  <si>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</si>
  <si>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</si>
  <si>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</si>
  <si>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</si>
  <si>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</si>
  <si>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</si>
  <si>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</si>
  <si>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</si>
  <si>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</si>
  <si>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</si>
  <si>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</si>
  <si>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</si>
  <si>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</si>
  <si>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</si>
  <si>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</si>
  <si>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</si>
  <si>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</si>
  <si>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</si>
  <si>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</si>
  <si>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</si>
  <si>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</si>
  <si>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</si>
  <si>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</si>
  <si>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</si>
  <si>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</si>
  <si>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</si>
  <si>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</si>
  <si>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</si>
  <si>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</si>
  <si>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</si>
  <si>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</si>
  <si>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</si>
  <si>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</si>
  <si>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</si>
  <si>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</si>
  <si>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</si>
  <si>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</si>
  <si>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</si>
  <si>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</si>
  <si>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</si>
  <si>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</si>
  <si>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</si>
  <si>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</si>
  <si>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</si>
  <si>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</si>
  <si>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</si>
  <si>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</si>
  <si>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</si>
  <si>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</si>
  <si>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</si>
  <si>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</si>
  <si>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</si>
  <si>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</si>
  <si>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</si>
  <si>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</si>
  <si>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</si>
  <si>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</si>
  <si>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</si>
  <si>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</si>
  <si>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</si>
  <si>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</si>
  <si>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</si>
  <si>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</si>
  <si>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</si>
  <si>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</si>
  <si>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</si>
  <si>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</si>
  <si>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</si>
  <si>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</si>
  <si>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</si>
  <si>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</si>
  <si>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</si>
  <si>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</si>
  <si>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</si>
  <si>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</si>
  <si>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</si>
  <si>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</si>
  <si>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</si>
  <si>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</si>
  <si>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</si>
  <si>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</si>
  <si>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</si>
  <si>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</si>
  <si>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</si>
  <si>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</si>
  <si>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</si>
  <si>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</si>
  <si>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</si>
  <si>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</si>
  <si>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</si>
  <si>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</si>
  <si>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</si>
  <si>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</si>
  <si>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</si>
  <si>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</si>
  <si>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</si>
  <si>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</si>
  <si>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</si>
  <si>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</si>
  <si>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</si>
  <si>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</si>
  <si>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</si>
  <si>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</si>
  <si>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</si>
  <si>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</si>
  <si>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</si>
  <si>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</si>
  <si>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</si>
  <si>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</si>
  <si>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</si>
  <si>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</si>
  <si>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</si>
  <si>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</si>
  <si>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</si>
  <si>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</si>
  <si>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</si>
  <si>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</si>
  <si>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</si>
  <si>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</si>
  <si>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</si>
  <si>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</si>
  <si>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</si>
  <si>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</si>
  <si>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</si>
  <si>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</si>
  <si>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</si>
  <si>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</si>
  <si>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</si>
  <si>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</si>
  <si>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</si>
  <si>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</si>
  <si>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</si>
  <si>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</si>
  <si>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</si>
  <si>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</si>
  <si>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</si>
  <si>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</si>
  <si>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</si>
  <si>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</si>
  <si>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</si>
  <si>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</si>
  <si>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</si>
  <si>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</si>
  <si>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</si>
  <si>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</si>
  <si>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</si>
  <si>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</si>
  <si>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</si>
  <si>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</si>
  <si>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</si>
  <si>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</si>
  <si>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</si>
  <si>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</si>
  <si>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</si>
  <si>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</si>
  <si>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</si>
  <si>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</si>
  <si>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</si>
  <si>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</si>
  <si>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</si>
  <si>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</si>
  <si>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</si>
  <si>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</si>
  <si>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</si>
  <si>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</si>
  <si>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</si>
  <si>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</si>
  <si>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</si>
  <si>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</si>
  <si>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</si>
  <si>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</si>
  <si>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</si>
  <si>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</si>
  <si>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</si>
  <si>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</si>
  <si>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</si>
  <si>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</si>
  <si>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</si>
  <si>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</si>
  <si>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</si>
  <si>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</si>
  <si>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</si>
  <si>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</si>
  <si>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</si>
  <si>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</si>
  <si>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</si>
  <si>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</si>
  <si>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</si>
  <si>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</si>
  <si>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</si>
  <si>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</si>
  <si>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</si>
  <si>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</si>
  <si>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</si>
  <si>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</si>
  <si>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</si>
  <si>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</si>
  <si>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</si>
  <si>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</si>
  <si>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</si>
  <si>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</si>
  <si>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</si>
  <si>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</si>
  <si>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</si>
  <si>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</si>
  <si>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</si>
  <si>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</si>
  <si>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</si>
  <si>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</si>
  <si>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</si>
  <si>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</si>
  <si>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</si>
  <si>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</si>
  <si>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</si>
  <si>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</si>
  <si>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</si>
  <si>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</si>
  <si>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</si>
  <si>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</si>
  <si>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</si>
  <si>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</si>
  <si>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</si>
  <si>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</si>
  <si>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</si>
  <si>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</si>
  <si>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</si>
  <si>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</si>
  <si>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</si>
  <si>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</si>
  <si>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</si>
  <si>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</si>
  <si>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</si>
  <si>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</si>
  <si>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</si>
  <si>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</si>
  <si>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</si>
  <si>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</si>
  <si>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</si>
  <si>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</si>
  <si>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</si>
  <si>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</si>
  <si>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</si>
  <si>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</si>
  <si>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</si>
  <si>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</si>
  <si>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</si>
  <si>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</si>
  <si>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</si>
  <si>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</si>
  <si>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</si>
  <si>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</si>
  <si>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</si>
  <si>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</si>
  <si>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</si>
  <si>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</si>
  <si>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</si>
  <si>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</si>
  <si>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</si>
  <si>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</si>
  <si>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</si>
  <si>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</si>
  <si>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</si>
  <si>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</si>
  <si>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</si>
  <si>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</si>
  <si>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</si>
  <si>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</si>
  <si>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</si>
  <si>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</si>
  <si>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</si>
  <si>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</si>
  <si>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</si>
  <si>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</si>
  <si>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</si>
  <si>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</si>
  <si>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</si>
  <si>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</si>
  <si>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</si>
  <si>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</si>
  <si>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</si>
  <si>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</si>
  <si>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</si>
  <si>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</si>
  <si>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</si>
  <si>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</si>
  <si>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</si>
  <si>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</si>
  <si>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</si>
  <si>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</si>
  <si>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</si>
  <si>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</si>
  <si>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</si>
  <si>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</si>
  <si>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</si>
  <si>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</si>
  <si>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</si>
  <si>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</si>
  <si>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</si>
  <si>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</si>
  <si>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</si>
  <si>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</si>
  <si>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</si>
  <si>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</si>
  <si>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</si>
  <si>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</si>
  <si>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</si>
  <si>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</si>
  <si>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</si>
  <si>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</si>
  <si>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</si>
  <si>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</si>
  <si>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</si>
  <si>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</si>
  <si>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</si>
  <si>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</si>
  <si>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</si>
  <si>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</si>
  <si>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</si>
  <si>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</si>
  <si>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</si>
  <si>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</si>
  <si>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</si>
  <si>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</si>
  <si>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</si>
  <si>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</si>
  <si>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</si>
  <si>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</si>
  <si>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</si>
  <si>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</si>
  <si>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</si>
  <si>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</si>
  <si>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</si>
  <si>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</si>
  <si>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</si>
  <si>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</si>
  <si>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</si>
  <si>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</si>
  <si>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</si>
  <si>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</si>
  <si>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</si>
  <si>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</si>
  <si>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</si>
  <si>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</si>
  <si>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</si>
  <si>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</si>
  <si>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</si>
  <si>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</si>
  <si>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</si>
  <si>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</si>
  <si>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</si>
  <si>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</si>
  <si>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</si>
  <si>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</si>
  <si>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</si>
  <si>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</si>
  <si>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</si>
  <si>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</si>
  <si>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</si>
  <si>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</si>
  <si>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</si>
  <si>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</si>
  <si>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</si>
  <si>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</si>
  <si>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</si>
  <si>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</si>
  <si>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</si>
  <si>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</si>
  <si>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</si>
  <si>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</si>
  <si>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</si>
  <si>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</si>
  <si>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</si>
  <si>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</si>
  <si>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</si>
  <si>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</si>
  <si>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</si>
  <si>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</si>
  <si>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</si>
  <si>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</si>
  <si>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</si>
  <si>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</si>
  <si>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</si>
  <si>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</si>
  <si>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</si>
  <si>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</si>
  <si>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</si>
  <si>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</si>
  <si>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</si>
  <si>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</si>
  <si>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</si>
  <si>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</si>
  <si>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</si>
  <si>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</si>
  <si>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</si>
  <si>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</si>
  <si>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</si>
  <si>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</si>
  <si>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</si>
  <si>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</si>
  <si>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</si>
  <si>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</si>
  <si>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</si>
  <si>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</si>
  <si>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</si>
  <si>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</si>
  <si>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</si>
  <si>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</si>
  <si>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</si>
  <si>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</si>
  <si>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</si>
  <si>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</si>
  <si>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</si>
  <si>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</si>
  <si>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</si>
  <si>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</si>
  <si>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</si>
  <si>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</si>
  <si>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</si>
  <si>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</si>
  <si>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</si>
  <si>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</si>
  <si>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</si>
  <si>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</si>
  <si>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</si>
  <si>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</si>
  <si>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</si>
  <si>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</si>
  <si>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</si>
  <si>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</si>
  <si>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</si>
  <si>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</si>
  <si>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</si>
  <si>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</si>
  <si>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</si>
  <si>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</si>
  <si>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</si>
  <si>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</si>
  <si>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</si>
  <si>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</si>
  <si>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</si>
  <si>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</si>
  <si>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</si>
  <si>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</si>
  <si>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</si>
  <si>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</si>
  <si>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</si>
  <si>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</si>
  <si>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</si>
  <si>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</si>
  <si>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</si>
  <si>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</si>
  <si>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</si>
  <si>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</si>
  <si>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</si>
  <si>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</si>
  <si>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</si>
  <si>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</si>
  <si>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</si>
  <si>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</si>
  <si>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</si>
  <si>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</si>
  <si>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</si>
  <si>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</si>
  <si>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</si>
  <si>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</si>
  <si>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</si>
  <si>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</si>
  <si>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</si>
  <si>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</si>
  <si>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</si>
  <si>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</si>
  <si>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</si>
  <si>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</si>
  <si>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</si>
  <si>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</si>
  <si>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</si>
  <si>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</si>
  <si>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</si>
  <si>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</si>
  <si>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</si>
  <si>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</si>
  <si>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</si>
  <si>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</si>
  <si>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</si>
  <si>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</si>
  <si>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</si>
  <si>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</si>
  <si>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</si>
  <si>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</si>
  <si>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</si>
  <si>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</si>
  <si>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</si>
  <si>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</si>
  <si>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</si>
  <si>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</si>
  <si>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</si>
  <si>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</si>
  <si>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</si>
  <si>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</si>
  <si>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</si>
  <si>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</si>
  <si>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</si>
  <si>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</si>
  <si>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</si>
  <si>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</si>
  <si>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</si>
  <si>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</si>
  <si>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</si>
  <si>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</si>
  <si>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</si>
  <si>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</si>
  <si>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</si>
  <si>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</si>
  <si>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</si>
  <si>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</si>
  <si>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</si>
  <si>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</si>
  <si>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</si>
  <si>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</si>
  <si>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</si>
  <si>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</si>
  <si>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</si>
  <si>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</si>
  <si>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</si>
  <si>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</si>
  <si>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</si>
  <si>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</si>
  <si>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</si>
  <si>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</si>
  <si>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</si>
  <si>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</si>
  <si>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</si>
  <si>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</si>
  <si>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</si>
  <si>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</si>
  <si>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</si>
  <si>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</si>
  <si>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</si>
  <si>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</si>
  <si>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</si>
  <si>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</si>
  <si>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</si>
  <si>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</si>
  <si>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</si>
  <si>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</si>
  <si>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</si>
  <si>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</si>
  <si>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</si>
  <si>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</si>
  <si>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</si>
  <si>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</si>
  <si>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</si>
  <si>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</si>
  <si>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</si>
  <si>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</si>
  <si>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</si>
  <si>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</si>
  <si>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</si>
  <si>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</si>
  <si>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</si>
  <si>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</si>
  <si>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</si>
  <si>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</si>
  <si>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</si>
  <si>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</si>
  <si>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</si>
  <si>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</si>
  <si>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</si>
  <si>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</si>
  <si>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</si>
  <si>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</si>
  <si>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</si>
  <si>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</si>
  <si>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</si>
  <si>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</si>
  <si>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</si>
  <si>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</si>
  <si>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</si>
  <si>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</si>
  <si>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</si>
  <si>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</si>
  <si>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</si>
  <si>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</si>
  <si>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</si>
  <si>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</si>
  <si>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</si>
  <si>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</si>
  <si>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</si>
  <si>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</si>
  <si>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</si>
  <si>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</si>
  <si>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</si>
  <si>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</si>
  <si>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</si>
  <si>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</si>
  <si>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</si>
  <si>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</si>
  <si>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</si>
  <si>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</si>
  <si>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</si>
  <si>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</si>
  <si>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</si>
  <si>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</si>
  <si>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</si>
  <si>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</si>
  <si>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</si>
  <si>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</si>
  <si>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</si>
  <si>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</si>
  <si>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</si>
  <si>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</si>
  <si>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</si>
  <si>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</si>
  <si>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</si>
  <si>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</si>
  <si>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</si>
  <si>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</si>
  <si>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</si>
  <si>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</si>
  <si>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</si>
  <si>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</si>
  <si>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</si>
  <si>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</si>
  <si>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</si>
  <si>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</si>
  <si>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</si>
  <si>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</si>
  <si>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</si>
  <si>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</si>
  <si>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</si>
  <si>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</si>
  <si>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</si>
  <si>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</si>
  <si>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</si>
  <si>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</si>
  <si>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</si>
  <si>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</si>
  <si>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</si>
  <si>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</si>
  <si>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</si>
  <si>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</si>
  <si>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</si>
  <si>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</si>
  <si>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</si>
  <si>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</si>
  <si>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</si>
  <si>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</si>
  <si>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</si>
  <si>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</si>
  <si>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</si>
  <si>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</si>
  <si>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</si>
  <si>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</si>
  <si>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</si>
  <si>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</si>
  <si>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</si>
  <si>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</si>
  <si>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</si>
  <si>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</si>
  <si>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</si>
  <si>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</si>
  <si>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</si>
  <si>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</si>
  <si>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</si>
  <si>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</si>
  <si>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</si>
  <si>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</si>
  <si>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</si>
  <si>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</si>
  <si>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</si>
  <si>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</si>
  <si>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</si>
  <si>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</si>
  <si>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</si>
  <si>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</si>
  <si>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</si>
  <si>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</si>
  <si>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</si>
  <si>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</si>
  <si>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</si>
  <si>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</si>
  <si>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</si>
  <si>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</si>
  <si>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</si>
  <si>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</si>
  <si>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</si>
  <si>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</si>
  <si>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</si>
  <si>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</si>
  <si>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</si>
  <si>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</si>
  <si>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</si>
  <si>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</si>
  <si>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</si>
  <si>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</si>
  <si>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</si>
  <si>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</si>
  <si>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</si>
  <si>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</si>
  <si>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</si>
  <si>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</si>
  <si>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</si>
  <si>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</si>
  <si>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</si>
  <si>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</si>
  <si>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</si>
  <si>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</si>
  <si>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</si>
  <si>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</si>
  <si>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</si>
  <si>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</si>
  <si>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</si>
  <si>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</si>
  <si>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</si>
  <si>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</si>
  <si>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</si>
  <si>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</si>
  <si>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</si>
  <si>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</si>
  <si>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</si>
  <si>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</si>
  <si>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</si>
  <si>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</si>
  <si>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</si>
  <si>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</si>
  <si>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</si>
  <si>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</si>
  <si>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</si>
  <si>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</si>
  <si>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</si>
  <si>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</si>
  <si>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</si>
  <si>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</si>
  <si>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</si>
  <si>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</si>
  <si>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</si>
  <si>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</si>
  <si>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</si>
  <si>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</si>
  <si>
    <t>markets retreated expectedly</t>
    <phoneticPr fontId="1" type="noConversion"/>
  </si>
  <si>
    <t>moutai down 4% as a result of media attention on the stock. 150% of today's stock ptf loss (losing -11k)</t>
    <phoneticPr fontId="1" type="noConversion"/>
  </si>
  <si>
    <t>ptf struggled hard to break even.  Icbc and changjiang elec cost 6k, all three biggies losing</t>
    <phoneticPr fontId="1" type="noConversion"/>
  </si>
  <si>
    <t>hard fought day - unlikely to be so lucky going forward. Keep positioning light here for more fluctuations.</t>
    <phoneticPr fontId="1" type="noConversion"/>
  </si>
  <si>
    <t>markets weak again, overall adjustment</t>
    <phoneticPr fontId="1" type="noConversion"/>
  </si>
  <si>
    <t>still holding 1.3m delta on stocks. Adjustment continue</t>
    <phoneticPr fontId="1" type="noConversion"/>
  </si>
  <si>
    <t>this week is quite weak in general</t>
    <phoneticPr fontId="1" type="noConversion"/>
  </si>
  <si>
    <t>weakness continues. Top sharpe stocks remain strong like 华大基因 and 海康 and 恒瑞.沪深. Overall still in adjustment.</t>
    <phoneticPr fontId="1" type="noConversion"/>
  </si>
  <si>
    <t>flat week, markets rattle. Moutai was heading down big and recovered to close down -0.5%. ICBC down, cjdl down. Position in smaller caps helped save the day. 海康威视</t>
    <phoneticPr fontId="1" type="noConversion"/>
  </si>
  <si>
    <t>flat week with 0 pnl, 1.5 trade cancelled with -1.5k mtm</t>
    <phoneticPr fontId="1" type="noConversion"/>
  </si>
  <si>
    <t>markets strong.</t>
    <phoneticPr fontId="1" type="noConversion"/>
  </si>
  <si>
    <t>bullish market. Most stocks break their historical highs. Cut 今世缘 due to low ytd sharpe.</t>
    <phoneticPr fontId="1" type="noConversion"/>
  </si>
  <si>
    <t>stocks stagnant. Futures outperformed.</t>
    <phoneticPr fontId="1" type="noConversion"/>
  </si>
  <si>
    <t>moutai, hengrui, retreated to flat. Famous blue chips are stagnant, trade less well known blue chips</t>
    <phoneticPr fontId="1" type="noConversion"/>
  </si>
  <si>
    <t>market topped at 10:50 and crashed straight to close. Tmr pm good rebound opportunity. PM dropped 10k.</t>
    <phoneticPr fontId="1" type="noConversion"/>
  </si>
  <si>
    <t>Crashing in pm. Tomorrow pm some trading opportunites for futures.</t>
    <phoneticPr fontId="1" type="noConversion"/>
  </si>
  <si>
    <t>futs rebounded as a result of pmcoy, buying ytd and today pm was well done</t>
    <phoneticPr fontId="1" type="noConversion"/>
  </si>
  <si>
    <t>stocks rebounded in the pm as expected. Trades were well done， returning 2.3% on the delta bought.</t>
    <phoneticPr fontId="1" type="noConversion"/>
  </si>
  <si>
    <t>strong futs closing at week highs. Waiting out last week was good to see which way markets decide to move. Once it starts moving up, you can start trading the asset again. If down, don't bother.</t>
    <phoneticPr fontId="1" type="noConversion"/>
  </si>
  <si>
    <t>strong market. ICBC failed to rebound and it is negative in the book - stop trading this. Stocks that are making money can be assumed to continue the strength and if stocks are losing money then stay out. 晨鸣，凯乐，方大碳素 not tradable.</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</si>
</sst>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 numFmtId="183" formatCode="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70">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xf numFmtId="183" fontId="0" fillId="0" borderId="0" xfId="0" applyNumberFormat="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72986624"/>
        <c:axId val="42696000"/>
      </c:lineChart>
      <c:dateAx>
        <c:axId val="72986624"/>
        <c:scaling>
          <c:orientation val="minMax"/>
        </c:scaling>
        <c:delete val="0"/>
        <c:axPos val="b"/>
        <c:numFmt formatCode="m/d/yyyy" sourceLinked="1"/>
        <c:majorTickMark val="out"/>
        <c:minorTickMark val="none"/>
        <c:tickLblPos val="nextTo"/>
        <c:crossAx val="42696000"/>
        <c:crosses val="autoZero"/>
        <c:auto val="1"/>
        <c:lblOffset val="100"/>
        <c:baseTimeUnit val="days"/>
      </c:dateAx>
      <c:valAx>
        <c:axId val="42696000"/>
        <c:scaling>
          <c:orientation val="minMax"/>
        </c:scaling>
        <c:delete val="0"/>
        <c:axPos val="l"/>
        <c:majorGridlines/>
        <c:numFmt formatCode="General" sourceLinked="1"/>
        <c:majorTickMark val="out"/>
        <c:minorTickMark val="none"/>
        <c:tickLblPos val="nextTo"/>
        <c:crossAx val="7298662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58"/>
  <sheetViews>
    <sheetView zoomScaleNormal="100" workbookViewId="0">
      <pane xSplit="1" ySplit="3" topLeftCell="P234" activePane="bottomRight" state="frozen"/>
      <selection pane="topRight" activeCell="B1" sqref="B1"/>
      <selection pane="bottomLeft" activeCell="A4" sqref="A4"/>
      <selection pane="bottomRight" activeCell="U245" sqref="U245"/>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1.625" bestFit="1" customWidth="1"/>
    <col min="22" max="22" width="18.375" style="30" bestFit="1" customWidth="1"/>
    <col min="23" max="23" width="14.75" customWidth="1"/>
    <col min="24" max="24" width="13.875" style="30" customWidth="1"/>
    <col min="25" max="25" width="80.125" customWidth="1"/>
  </cols>
  <sheetData>
    <row r="1" spans="1:26" x14ac:dyDescent="0.15">
      <c r="T1" t="s">
        <v>1380</v>
      </c>
      <c r="U1">
        <v>1.1100000000000001</v>
      </c>
    </row>
    <row r="2" spans="1:26" x14ac:dyDescent="0.15">
      <c r="O2" t="s">
        <v>1387</v>
      </c>
      <c r="P2" t="s">
        <v>1388</v>
      </c>
    </row>
    <row r="3" spans="1:26"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row>
    <row r="4" spans="1:26"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6"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6"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6"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6"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6"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6"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6"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6"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6"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6"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6"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6"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7" x14ac:dyDescent="0.1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40.5" x14ac:dyDescent="0.1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4"/>
    </row>
    <row r="26" spans="1:27" x14ac:dyDescent="0.1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row>
    <row r="27" spans="1:27"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row>
    <row r="28" spans="1:27" s="30" customFormat="1" x14ac:dyDescent="0.1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row>
    <row r="29" spans="1:27" s="30" customFormat="1" ht="40.5" x14ac:dyDescent="0.1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row>
    <row r="30" spans="1:27" s="30" customFormat="1" ht="27" x14ac:dyDescent="0.1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1">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row>
    <row r="31" spans="1:27" s="30" customFormat="1" ht="19.5" customHeight="1" x14ac:dyDescent="0.1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1"/>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row>
    <row r="32" spans="1:27" s="30" customFormat="1" x14ac:dyDescent="0.1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1"/>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row>
    <row r="33" spans="1:26" s="30" customFormat="1"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1"/>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row>
    <row r="34" spans="1:26" s="30" customFormat="1" x14ac:dyDescent="0.1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1"/>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row>
    <row r="35" spans="1:26" s="30" customFormat="1"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1"/>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row>
    <row r="36" spans="1:26"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2">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3">IF(O36&lt;&gt;0,+H36/O36,"")</f>
        <v/>
      </c>
      <c r="R36" s="40">
        <f t="shared" ref="R36:R67" ca="1" si="14">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row>
    <row r="37" spans="1:26" s="30" customFormat="1"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2"/>
        <v>151.13999999999999</v>
      </c>
      <c r="M37" s="37">
        <f t="shared" si="6"/>
        <v>151.14000000013039</v>
      </c>
      <c r="N37" s="17" t="s">
        <v>1419</v>
      </c>
      <c r="O37" s="41">
        <f ca="1">SUMIFS(Stock!$O:$O,Stock!$A:$A,'Asset Line A share'!$A37,Stock!$I:$I,O$2)</f>
        <v>0</v>
      </c>
      <c r="P37" s="41">
        <f ca="1">SUMIFS(Stock!$O:$O,Stock!$A:$A,'Asset Line A share'!$A37,Stock!$I:$I,P$2)</f>
        <v>0</v>
      </c>
      <c r="Q37" s="40" t="str">
        <f t="shared" ca="1" si="13"/>
        <v/>
      </c>
      <c r="R37" s="40" t="str">
        <f t="shared" ca="1" si="14"/>
        <v/>
      </c>
      <c r="S37" s="41">
        <f t="shared" ca="1" si="3"/>
        <v>193573.45019998855</v>
      </c>
      <c r="T37" s="30">
        <v>863100</v>
      </c>
      <c r="U37" s="20">
        <f t="shared" si="8"/>
        <v>2178476.9679661016</v>
      </c>
      <c r="V37" s="20"/>
      <c r="W37" s="4">
        <f t="shared" si="9"/>
        <v>6.9383559640145975E-5</v>
      </c>
      <c r="X37" s="20">
        <f t="shared" si="10"/>
        <v>151.14000000013039</v>
      </c>
      <c r="Y37" s="17"/>
    </row>
    <row r="38" spans="1:26"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2"/>
        <v>-4104.92</v>
      </c>
      <c r="M38" s="37">
        <f t="shared" si="6"/>
        <v>-4104.9299999999348</v>
      </c>
      <c r="N38" s="17" t="s">
        <v>1431</v>
      </c>
      <c r="O38" s="41">
        <f ca="1">SUMIFS(Stock!$O:$O,Stock!$A:$A,'Asset Line A share'!$A38,Stock!$I:$I,O$2)</f>
        <v>346127</v>
      </c>
      <c r="P38" s="41">
        <f ca="1">SUMIFS(Stock!$O:$O,Stock!$A:$A,'Asset Line A share'!$A38,Stock!$I:$I,P$2)</f>
        <v>0</v>
      </c>
      <c r="Q38" s="40">
        <f t="shared" ca="1" si="13"/>
        <v>-1.2594047849488772E-2</v>
      </c>
      <c r="R38" s="40" t="str">
        <f t="shared" ca="1" si="14"/>
        <v/>
      </c>
      <c r="S38" s="41">
        <f t="shared" ca="1" si="3"/>
        <v>539700.45019998855</v>
      </c>
      <c r="T38" s="30">
        <v>863100</v>
      </c>
      <c r="U38" s="20">
        <f t="shared" si="8"/>
        <v>2174372.0379661019</v>
      </c>
      <c r="V38" s="20"/>
      <c r="W38" s="4">
        <f t="shared" si="9"/>
        <v>-1.8843118657491109E-3</v>
      </c>
      <c r="X38" s="20">
        <f t="shared" si="10"/>
        <v>-4104.929999999702</v>
      </c>
      <c r="Y38" s="17"/>
    </row>
    <row r="39" spans="1:26"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2"/>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3"/>
        <v/>
      </c>
      <c r="R39" s="40">
        <f t="shared" ca="1" si="14"/>
        <v>-5.1452987931739748E-3</v>
      </c>
      <c r="S39" s="41">
        <f t="shared" ca="1" si="3"/>
        <v>199883.45019998867</v>
      </c>
      <c r="T39" s="30">
        <v>863100</v>
      </c>
      <c r="U39" s="20">
        <f t="shared" si="8"/>
        <v>2172016.9079661015</v>
      </c>
      <c r="V39" s="20"/>
      <c r="W39" s="4">
        <v>0</v>
      </c>
      <c r="X39" s="20">
        <f t="shared" si="10"/>
        <v>-2355.1300000003539</v>
      </c>
      <c r="Y39" s="17"/>
    </row>
    <row r="40" spans="1:26" s="30" customFormat="1"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2"/>
        <v>142.51</v>
      </c>
      <c r="M40" s="37">
        <f t="shared" si="6"/>
        <v>142.51000000000931</v>
      </c>
      <c r="N40" s="17" t="s">
        <v>1435</v>
      </c>
      <c r="O40" s="41">
        <f ca="1">SUMIFS(Stock!$O:$O,Stock!$A:$A,'Asset Line A share'!$A40,Stock!$I:$I,O$2)</f>
        <v>0</v>
      </c>
      <c r="P40" s="41">
        <f ca="1">SUMIFS(Stock!$O:$O,Stock!$A:$A,'Asset Line A share'!$A40,Stock!$I:$I,P$2)</f>
        <v>0</v>
      </c>
      <c r="Q40" s="40" t="str">
        <f t="shared" ca="1" si="13"/>
        <v/>
      </c>
      <c r="R40" s="40" t="str">
        <f t="shared" ca="1" si="14"/>
        <v/>
      </c>
      <c r="S40" s="41">
        <f t="shared" ca="1" si="3"/>
        <v>199883.45019998867</v>
      </c>
      <c r="T40" s="30">
        <v>863100</v>
      </c>
      <c r="U40" s="20">
        <f t="shared" si="8"/>
        <v>2172159.4179661018</v>
      </c>
      <c r="V40" s="20"/>
      <c r="W40" s="4">
        <f t="shared" si="9"/>
        <v>6.5611828102163372E-5</v>
      </c>
      <c r="X40" s="20">
        <f t="shared" si="10"/>
        <v>142.51000000024214</v>
      </c>
      <c r="Y40" s="17"/>
    </row>
    <row r="41" spans="1:26"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2"/>
        <v>-75.789999999999992</v>
      </c>
      <c r="M41" s="37">
        <f>+E41-E40-400000</f>
        <v>-75.790000000037253</v>
      </c>
      <c r="N41" s="17" t="s">
        <v>1437</v>
      </c>
      <c r="O41" s="41">
        <f ca="1">SUMIFS(Stock!$O:$O,Stock!$A:$A,'Asset Line A share'!$A41,Stock!$I:$I,O$2)</f>
        <v>34152</v>
      </c>
      <c r="P41" s="41">
        <f ca="1">SUMIFS(Stock!$O:$O,Stock!$A:$A,'Asset Line A share'!$A41,Stock!$I:$I,P$2)</f>
        <v>0</v>
      </c>
      <c r="Q41" s="40">
        <f t="shared" ca="1" si="13"/>
        <v>-7.0859686109159053E-3</v>
      </c>
      <c r="R41" s="40" t="str">
        <f t="shared" ca="1" si="14"/>
        <v/>
      </c>
      <c r="S41" s="41">
        <f t="shared" ca="1" si="3"/>
        <v>234035.45019998867</v>
      </c>
      <c r="T41" s="30">
        <v>863100</v>
      </c>
      <c r="U41" s="20">
        <f t="shared" si="8"/>
        <v>2572083.6279661017</v>
      </c>
      <c r="V41" s="20">
        <v>400000</v>
      </c>
      <c r="W41" s="4">
        <v>0</v>
      </c>
      <c r="X41" s="20">
        <f t="shared" si="10"/>
        <v>-75.790000000037253</v>
      </c>
      <c r="Y41" s="17"/>
    </row>
    <row r="42" spans="1:26" ht="27" x14ac:dyDescent="0.15">
      <c r="A42" s="1">
        <v>42733</v>
      </c>
      <c r="B42" s="30">
        <f t="shared" si="5"/>
        <v>4</v>
      </c>
      <c r="C42" s="30">
        <v>0</v>
      </c>
      <c r="D42" s="20">
        <v>1840695.37</v>
      </c>
      <c r="E42" s="20">
        <v>1840695.37</v>
      </c>
      <c r="F42" s="4">
        <f t="shared" ref="F42:F61" si="15">+E42/(E41)-1</f>
        <v>2.8479178973972452E-5</v>
      </c>
      <c r="G42" s="30">
        <v>19.37</v>
      </c>
      <c r="H42" s="30">
        <v>-210.23</v>
      </c>
      <c r="I42" s="30">
        <v>229.6</v>
      </c>
      <c r="J42" s="30">
        <v>-367</v>
      </c>
      <c r="K42" s="30">
        <f>418.0555555-18</f>
        <v>400.05555550000003</v>
      </c>
      <c r="L42" s="18">
        <f t="shared" ref="L42:L47" si="16">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3"/>
        <v>-1.1885459068294888E-2</v>
      </c>
      <c r="R42" s="40">
        <f t="shared" ca="1" si="14"/>
        <v>1.3199195171026157E-2</v>
      </c>
      <c r="S42" s="41">
        <f t="shared" ca="1" si="3"/>
        <v>234328.45019998867</v>
      </c>
      <c r="T42" s="30">
        <v>863100</v>
      </c>
      <c r="U42" s="20">
        <f t="shared" si="8"/>
        <v>2572136.0479661017</v>
      </c>
      <c r="V42" s="20"/>
      <c r="W42" s="4">
        <f t="shared" si="9"/>
        <v>2.0380363775940324E-5</v>
      </c>
      <c r="X42" s="20">
        <f t="shared" si="10"/>
        <v>52.419999999925494</v>
      </c>
      <c r="Y42" s="17"/>
    </row>
    <row r="43" spans="1:26" x14ac:dyDescent="0.15">
      <c r="A43" s="1">
        <v>42734</v>
      </c>
      <c r="B43" s="30">
        <f t="shared" si="5"/>
        <v>5</v>
      </c>
      <c r="C43" s="30">
        <v>0</v>
      </c>
      <c r="D43" s="20">
        <v>1841834.37</v>
      </c>
      <c r="E43" s="20">
        <v>1841834.37</v>
      </c>
      <c r="F43" s="4">
        <f t="shared" si="15"/>
        <v>6.1878788775349136E-4</v>
      </c>
      <c r="G43">
        <v>0</v>
      </c>
      <c r="H43">
        <v>0</v>
      </c>
      <c r="I43">
        <v>0</v>
      </c>
      <c r="J43">
        <v>-43</v>
      </c>
      <c r="K43" s="30">
        <f>1200-18</f>
        <v>1182</v>
      </c>
      <c r="L43" s="18">
        <f t="shared" si="16"/>
        <v>1139</v>
      </c>
      <c r="M43" s="37">
        <f t="shared" ref="M43:M73" si="17">+E43-E42</f>
        <v>1139</v>
      </c>
      <c r="N43" s="17" t="s">
        <v>1458</v>
      </c>
      <c r="O43" s="41">
        <f ca="1">SUMIFS(Stock!$O:$O,Stock!$A:$A,'Asset Line A share'!$A43,Stock!$I:$I,O$2)</f>
        <v>0</v>
      </c>
      <c r="P43" s="41">
        <f ca="1">SUMIFS(Stock!$O:$O,Stock!$A:$A,'Asset Line A share'!$A43,Stock!$I:$I,P$2)</f>
        <v>0</v>
      </c>
      <c r="Q43" s="40" t="str">
        <f t="shared" ca="1" si="13"/>
        <v/>
      </c>
      <c r="R43" s="40" t="str">
        <f t="shared" ca="1" si="14"/>
        <v/>
      </c>
      <c r="S43" s="41">
        <f t="shared" ca="1" si="3"/>
        <v>234328.45019998867</v>
      </c>
      <c r="T43" s="30">
        <v>863100</v>
      </c>
      <c r="U43" s="20">
        <f t="shared" si="8"/>
        <v>2573275.0479661017</v>
      </c>
      <c r="V43" s="20"/>
      <c r="W43" s="4">
        <f t="shared" si="9"/>
        <v>4.4282261076378227E-4</v>
      </c>
      <c r="X43" s="20">
        <f t="shared" si="10"/>
        <v>1139</v>
      </c>
      <c r="Y43" s="17"/>
    </row>
    <row r="44" spans="1:26" x14ac:dyDescent="0.15">
      <c r="A44" s="1">
        <v>42738</v>
      </c>
      <c r="B44">
        <f t="shared" si="5"/>
        <v>2</v>
      </c>
      <c r="C44" s="30">
        <v>0</v>
      </c>
      <c r="D44" s="20">
        <v>1842078.32</v>
      </c>
      <c r="E44" s="20">
        <v>1842078.32</v>
      </c>
      <c r="F44" s="4">
        <f t="shared" si="15"/>
        <v>1.324494775281071E-4</v>
      </c>
      <c r="G44">
        <v>-9.2200000000000006</v>
      </c>
      <c r="H44">
        <v>0</v>
      </c>
      <c r="I44">
        <v>0</v>
      </c>
      <c r="J44">
        <v>87</v>
      </c>
      <c r="K44" s="30">
        <f>184.17-18</f>
        <v>166.17</v>
      </c>
      <c r="L44" s="18">
        <f t="shared" si="16"/>
        <v>243.95</v>
      </c>
      <c r="M44" s="37">
        <f t="shared" si="17"/>
        <v>243.94999999995343</v>
      </c>
      <c r="N44" s="17" t="s">
        <v>1457</v>
      </c>
      <c r="O44" s="41">
        <f ca="1">SUMIFS(Stock!$O:$O,Stock!$A:$A,'Asset Line A share'!$A44,Stock!$I:$I,O$2)</f>
        <v>4650</v>
      </c>
      <c r="P44" s="41">
        <f ca="1">SUMIFS(Stock!$O:$O,Stock!$A:$A,'Asset Line A share'!$A44,Stock!$I:$I,P$2)</f>
        <v>33992</v>
      </c>
      <c r="Q44" s="40">
        <f t="shared" ca="1" si="13"/>
        <v>0</v>
      </c>
      <c r="R44" s="40">
        <f t="shared" ca="1" si="14"/>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row>
    <row r="45" spans="1:26" x14ac:dyDescent="0.15">
      <c r="A45" s="1">
        <v>42739</v>
      </c>
      <c r="B45">
        <f t="shared" si="5"/>
        <v>3</v>
      </c>
      <c r="C45" s="30">
        <v>0</v>
      </c>
      <c r="D45" s="20">
        <v>1844516.12</v>
      </c>
      <c r="E45" s="20">
        <v>1844516.12</v>
      </c>
      <c r="F45" s="4">
        <f t="shared" si="15"/>
        <v>1.3233964992325209E-3</v>
      </c>
      <c r="G45">
        <v>220.3</v>
      </c>
      <c r="H45" s="30">
        <v>220.3</v>
      </c>
      <c r="I45">
        <v>0</v>
      </c>
      <c r="J45">
        <v>2045</v>
      </c>
      <c r="K45" s="30">
        <v>172.5</v>
      </c>
      <c r="L45" s="18">
        <f t="shared" si="16"/>
        <v>2437.8000000000002</v>
      </c>
      <c r="M45" s="37">
        <f t="shared" si="17"/>
        <v>2437.8000000000466</v>
      </c>
      <c r="N45" s="17" t="s">
        <v>1466</v>
      </c>
      <c r="O45" s="41">
        <f ca="1">SUMIFS(Stock!$O:$O,Stock!$A:$A,'Asset Line A share'!$A45,Stock!$I:$I,O$2)</f>
        <v>141760</v>
      </c>
      <c r="P45" s="41">
        <f ca="1">SUMIFS(Stock!$O:$O,Stock!$A:$A,'Asset Line A share'!$A45,Stock!$I:$I,P$2)</f>
        <v>0</v>
      </c>
      <c r="Q45" s="40">
        <f t="shared" ca="1" si="13"/>
        <v>1.5540349887133184E-3</v>
      </c>
      <c r="R45" s="40" t="str">
        <f t="shared" ca="1" si="14"/>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row>
    <row r="46" spans="1:26" ht="27" x14ac:dyDescent="0.15">
      <c r="A46" s="1">
        <v>42740</v>
      </c>
      <c r="B46">
        <f t="shared" si="5"/>
        <v>4</v>
      </c>
      <c r="C46" s="30">
        <v>0</v>
      </c>
      <c r="D46" s="20">
        <v>1844666.85</v>
      </c>
      <c r="E46" s="20">
        <v>1844666.85</v>
      </c>
      <c r="F46" s="4">
        <f t="shared" si="15"/>
        <v>8.1717908759770808E-5</v>
      </c>
      <c r="G46">
        <v>551.63</v>
      </c>
      <c r="H46">
        <v>292.45999999999998</v>
      </c>
      <c r="I46">
        <v>259.17</v>
      </c>
      <c r="J46">
        <v>-550</v>
      </c>
      <c r="K46" s="30">
        <f>166.097222-17</f>
        <v>149.09722199999999</v>
      </c>
      <c r="L46" s="18">
        <f t="shared" si="16"/>
        <v>150.72722199999998</v>
      </c>
      <c r="M46" s="37">
        <f t="shared" si="17"/>
        <v>150.72999999998137</v>
      </c>
      <c r="N46" s="17" t="s">
        <v>1469</v>
      </c>
      <c r="O46" s="41">
        <f ca="1">SUMIFS(Stock!$O:$O,Stock!$A:$A,'Asset Line A share'!$A46,Stock!$I:$I,O$2)</f>
        <v>37700</v>
      </c>
      <c r="P46" s="41">
        <f ca="1">SUMIFS(Stock!$O:$O,Stock!$A:$A,'Asset Line A share'!$A46,Stock!$I:$I,P$2)</f>
        <v>141220</v>
      </c>
      <c r="Q46" s="40">
        <f t="shared" ca="1" si="13"/>
        <v>7.7575596816976122E-3</v>
      </c>
      <c r="R46" s="40">
        <f t="shared" ca="1" si="14"/>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8">Z45*(1+W46)</f>
        <v>1.0014959260400809</v>
      </c>
    </row>
    <row r="47" spans="1:26" x14ac:dyDescent="0.15">
      <c r="A47" s="1">
        <v>42741</v>
      </c>
      <c r="B47">
        <f t="shared" si="5"/>
        <v>5</v>
      </c>
      <c r="C47" s="30">
        <v>0</v>
      </c>
      <c r="D47" s="20">
        <v>1846435.05</v>
      </c>
      <c r="E47" s="20">
        <v>1846435.05</v>
      </c>
      <c r="F47" s="4">
        <f t="shared" si="15"/>
        <v>9.5854706772668941E-4</v>
      </c>
      <c r="G47">
        <v>195.8</v>
      </c>
      <c r="H47">
        <v>641.64</v>
      </c>
      <c r="I47">
        <v>-445.84</v>
      </c>
      <c r="J47">
        <v>1335</v>
      </c>
      <c r="K47" s="30">
        <f>245.611111-14</f>
        <v>231.61111099999999</v>
      </c>
      <c r="L47" s="18">
        <f t="shared" si="16"/>
        <v>1762.4111109999999</v>
      </c>
      <c r="M47" s="37">
        <f t="shared" si="17"/>
        <v>1768.1999999999534</v>
      </c>
      <c r="O47" s="41">
        <f ca="1">SUMIFS(Stock!$O:$O,Stock!$A:$A,'Asset Line A share'!$A47,Stock!$I:$I,O$2)</f>
        <v>265890</v>
      </c>
      <c r="P47" s="41">
        <f ca="1">SUMIFS(Stock!$O:$O,Stock!$A:$A,'Asset Line A share'!$A47,Stock!$I:$I,P$2)</f>
        <v>38200</v>
      </c>
      <c r="Q47" s="40">
        <f t="shared" ca="1" si="13"/>
        <v>2.4131783820376847E-3</v>
      </c>
      <c r="R47" s="40">
        <f t="shared" ca="1" si="14"/>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8"/>
        <v>1.0022489320302315</v>
      </c>
    </row>
    <row r="48" spans="1:26" ht="27" x14ac:dyDescent="0.15">
      <c r="A48" s="1">
        <v>42744</v>
      </c>
      <c r="B48">
        <f t="shared" si="5"/>
        <v>1</v>
      </c>
      <c r="C48" s="30">
        <v>0</v>
      </c>
      <c r="D48" s="20">
        <v>1839518.25</v>
      </c>
      <c r="E48" s="20">
        <v>1839518.25</v>
      </c>
      <c r="F48" s="4">
        <f t="shared" si="15"/>
        <v>-3.7460294094828761E-3</v>
      </c>
      <c r="G48">
        <v>-7280.15</v>
      </c>
      <c r="H48">
        <v>-6001.5</v>
      </c>
      <c r="I48">
        <v>-1278.6500000000001</v>
      </c>
      <c r="J48">
        <v>270</v>
      </c>
      <c r="K48" s="30">
        <f>106.43055555-14</f>
        <v>92.430555549999994</v>
      </c>
      <c r="L48" s="18">
        <f t="shared" ref="L48:L55" si="19">G48+J48+K48</f>
        <v>-6917.7194444500001</v>
      </c>
      <c r="M48" s="37">
        <f t="shared" si="17"/>
        <v>-6916.8000000000466</v>
      </c>
      <c r="N48" s="17" t="s">
        <v>1479</v>
      </c>
      <c r="O48" s="41">
        <f ca="1">SUMIFS(Stock!$O:$O,Stock!$A:$A,'Asset Line A share'!$A48,Stock!$I:$I,O$2)</f>
        <v>299120</v>
      </c>
      <c r="P48" s="41">
        <f ca="1">SUMIFS(Stock!$O:$O,Stock!$A:$A,'Asset Line A share'!$A48,Stock!$I:$I,P$2)</f>
        <v>265090</v>
      </c>
      <c r="Q48" s="40">
        <f t="shared" ca="1" si="13"/>
        <v>-2.0063853971650173E-2</v>
      </c>
      <c r="R48" s="40">
        <f t="shared" ca="1" si="14"/>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8"/>
        <v>0.99956099550146171</v>
      </c>
    </row>
    <row r="49" spans="1:26" x14ac:dyDescent="0.15">
      <c r="A49" s="1">
        <v>42745</v>
      </c>
      <c r="B49">
        <f t="shared" si="5"/>
        <v>2</v>
      </c>
      <c r="C49" s="30">
        <v>0</v>
      </c>
      <c r="D49" s="20">
        <v>1827904.77</v>
      </c>
      <c r="E49" s="20">
        <v>1827904.77</v>
      </c>
      <c r="F49" s="4">
        <f t="shared" si="15"/>
        <v>-6.3133268724026026E-3</v>
      </c>
      <c r="G49">
        <v>-638.79</v>
      </c>
      <c r="H49">
        <v>0</v>
      </c>
      <c r="I49">
        <v>0</v>
      </c>
      <c r="J49">
        <v>-11050</v>
      </c>
      <c r="K49" s="30">
        <v>74.638887999999994</v>
      </c>
      <c r="L49" s="18">
        <f t="shared" si="19"/>
        <v>-11614.151112000001</v>
      </c>
      <c r="M49" s="37">
        <f t="shared" si="17"/>
        <v>-11613.479999999981</v>
      </c>
      <c r="N49" s="17" t="s">
        <v>1480</v>
      </c>
      <c r="O49" s="41">
        <f ca="1">SUMIFS(Stock!$O:$O,Stock!$A:$A,'Asset Line A share'!$A49,Stock!$I:$I,O$2)</f>
        <v>0</v>
      </c>
      <c r="P49" s="41">
        <f ca="1">SUMIFS(Stock!$O:$O,Stock!$A:$A,'Asset Line A share'!$A49,Stock!$I:$I,P$2)</f>
        <v>280940</v>
      </c>
      <c r="Q49" s="40" t="str">
        <f t="shared" ca="1" si="13"/>
        <v/>
      </c>
      <c r="R49" s="40">
        <f t="shared" ca="1" si="14"/>
        <v>0</v>
      </c>
      <c r="S49" s="41">
        <f t="shared" ca="1" si="3"/>
        <v>224006.45019998867</v>
      </c>
      <c r="T49" s="30">
        <v>864500</v>
      </c>
      <c r="U49" s="20">
        <f t="shared" si="8"/>
        <v>2560531.8886440676</v>
      </c>
      <c r="V49" s="20"/>
      <c r="W49" s="4">
        <f t="shared" si="9"/>
        <v>-4.5150947304827271E-3</v>
      </c>
      <c r="X49" s="20">
        <f t="shared" si="10"/>
        <v>-11613.480000000447</v>
      </c>
      <c r="Y49" s="17"/>
      <c r="Z49" s="30">
        <f t="shared" si="18"/>
        <v>0.99504788291787705</v>
      </c>
    </row>
    <row r="50" spans="1:26" x14ac:dyDescent="0.15">
      <c r="A50" s="1">
        <v>42746</v>
      </c>
      <c r="B50">
        <f t="shared" si="5"/>
        <v>3</v>
      </c>
      <c r="C50" s="30">
        <v>0</v>
      </c>
      <c r="D50" s="20">
        <v>1828975.41</v>
      </c>
      <c r="E50" s="20">
        <v>1828975.41</v>
      </c>
      <c r="F50" s="4">
        <f t="shared" si="15"/>
        <v>5.8571979108079653E-4</v>
      </c>
      <c r="G50" s="30">
        <v>0</v>
      </c>
      <c r="H50">
        <v>0</v>
      </c>
      <c r="I50">
        <v>0</v>
      </c>
      <c r="J50">
        <v>980</v>
      </c>
      <c r="K50" s="30">
        <f>108.63888-18</f>
        <v>90.63888</v>
      </c>
      <c r="L50" s="18">
        <f t="shared" si="19"/>
        <v>1070.63888</v>
      </c>
      <c r="M50" s="37">
        <f t="shared" si="17"/>
        <v>1070.6399999998976</v>
      </c>
      <c r="N50" s="17" t="s">
        <v>1481</v>
      </c>
      <c r="O50" s="41">
        <f ca="1">SUMIFS(Stock!$O:$O,Stock!$A:$A,'Asset Line A share'!$A50,Stock!$I:$I,O$2)</f>
        <v>0</v>
      </c>
      <c r="P50" s="41">
        <f ca="1">SUMIFS(Stock!$O:$O,Stock!$A:$A,'Asset Line A share'!$A50,Stock!$I:$I,P$2)</f>
        <v>0</v>
      </c>
      <c r="Q50" s="40" t="str">
        <f t="shared" ca="1" si="13"/>
        <v/>
      </c>
      <c r="R50" s="40" t="str">
        <f t="shared" ca="1" si="14"/>
        <v/>
      </c>
      <c r="S50" s="41">
        <f t="shared" ca="1" si="3"/>
        <v>224006.45019998867</v>
      </c>
      <c r="T50" s="30">
        <v>864500</v>
      </c>
      <c r="U50" s="20">
        <f t="shared" si="8"/>
        <v>2561602.5286440677</v>
      </c>
      <c r="V50" s="20"/>
      <c r="W50" s="4">
        <f t="shared" si="9"/>
        <v>4.1813187515771233E-4</v>
      </c>
      <c r="X50" s="20">
        <f t="shared" si="10"/>
        <v>1070.6400000001304</v>
      </c>
      <c r="Y50" s="17"/>
      <c r="Z50" s="30">
        <f t="shared" si="18"/>
        <v>0.99546394415503325</v>
      </c>
    </row>
    <row r="51" spans="1:26" x14ac:dyDescent="0.15">
      <c r="A51" s="1">
        <v>42747</v>
      </c>
      <c r="B51">
        <f t="shared" si="5"/>
        <v>4</v>
      </c>
      <c r="C51" s="30">
        <v>0</v>
      </c>
      <c r="D51" s="20">
        <v>1818139.95</v>
      </c>
      <c r="E51" s="20">
        <v>1818139.95</v>
      </c>
      <c r="F51" s="4">
        <f t="shared" si="15"/>
        <v>-5.924333340271648E-3</v>
      </c>
      <c r="G51">
        <v>-12025.71</v>
      </c>
      <c r="H51">
        <v>-12025.71</v>
      </c>
      <c r="I51">
        <v>0</v>
      </c>
      <c r="J51">
        <v>1080</v>
      </c>
      <c r="K51" s="30">
        <f>119-9</f>
        <v>110</v>
      </c>
      <c r="L51" s="18">
        <f t="shared" si="19"/>
        <v>-10835.71</v>
      </c>
      <c r="M51" s="37">
        <f t="shared" si="17"/>
        <v>-10835.459999999963</v>
      </c>
      <c r="N51" s="17" t="s">
        <v>1489</v>
      </c>
      <c r="O51" s="41">
        <f ca="1">SUMIFS(Stock!$O:$O,Stock!$A:$A,'Asset Line A share'!$A51,Stock!$I:$I,O$2)</f>
        <v>864970</v>
      </c>
      <c r="P51" s="41">
        <f ca="1">SUMIFS(Stock!$O:$O,Stock!$A:$A,'Asset Line A share'!$A51,Stock!$I:$I,P$2)</f>
        <v>0</v>
      </c>
      <c r="Q51" s="40">
        <f t="shared" ca="1" si="13"/>
        <v>-1.3903037099552585E-2</v>
      </c>
      <c r="R51" s="40" t="str">
        <f t="shared" ca="1" si="14"/>
        <v/>
      </c>
      <c r="S51" s="41">
        <f t="shared" ca="1" si="3"/>
        <v>1088976.4501999887</v>
      </c>
      <c r="T51" s="30">
        <v>864500</v>
      </c>
      <c r="U51" s="20">
        <f t="shared" si="8"/>
        <v>2550767.0686440677</v>
      </c>
      <c r="V51" s="20"/>
      <c r="W51" s="4">
        <f t="shared" si="9"/>
        <v>-4.2299536633169099E-3</v>
      </c>
      <c r="X51" s="20">
        <f t="shared" si="10"/>
        <v>-10835.459999999963</v>
      </c>
      <c r="Y51" s="17"/>
      <c r="Z51" s="30">
        <f t="shared" si="18"/>
        <v>0.99125317779775479</v>
      </c>
    </row>
    <row r="52" spans="1:26" x14ac:dyDescent="0.15">
      <c r="A52" s="1">
        <v>42748</v>
      </c>
      <c r="B52">
        <f t="shared" si="5"/>
        <v>5</v>
      </c>
      <c r="C52" s="30">
        <v>0</v>
      </c>
      <c r="D52" s="20">
        <v>1807516.47</v>
      </c>
      <c r="E52" s="20">
        <v>1807516.47</v>
      </c>
      <c r="F52" s="4">
        <f t="shared" si="15"/>
        <v>-5.8430485508005336E-3</v>
      </c>
      <c r="G52">
        <v>1428.79</v>
      </c>
      <c r="H52">
        <v>0</v>
      </c>
      <c r="I52">
        <v>1428.79</v>
      </c>
      <c r="J52">
        <v>-12135</v>
      </c>
      <c r="K52" s="30">
        <f>99.722222-17</f>
        <v>82.722222000000002</v>
      </c>
      <c r="L52" s="18">
        <f t="shared" si="19"/>
        <v>-10623.487777999999</v>
      </c>
      <c r="M52" s="37">
        <f t="shared" si="17"/>
        <v>-10623.479999999981</v>
      </c>
      <c r="N52" s="17" t="s">
        <v>1491</v>
      </c>
      <c r="O52" s="41">
        <f ca="1">SUMIFS(Stock!$O:$O,Stock!$A:$A,'Asset Line A share'!$A52,Stock!$I:$I,O$2)</f>
        <v>0</v>
      </c>
      <c r="P52" s="41">
        <f ca="1">SUMIFS(Stock!$O:$O,Stock!$A:$A,'Asset Line A share'!$A52,Stock!$I:$I,P$2)</f>
        <v>842270</v>
      </c>
      <c r="Q52" s="40" t="str">
        <f t="shared" ca="1" si="13"/>
        <v/>
      </c>
      <c r="R52" s="40">
        <f t="shared" ca="1" si="14"/>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8"/>
        <v>0.98712478895397504</v>
      </c>
    </row>
    <row r="53" spans="1:26" x14ac:dyDescent="0.15">
      <c r="A53" s="1">
        <v>42751</v>
      </c>
      <c r="B53">
        <f t="shared" si="5"/>
        <v>1</v>
      </c>
      <c r="C53" s="30">
        <v>0</v>
      </c>
      <c r="D53" s="20">
        <v>1808932.58</v>
      </c>
      <c r="E53" s="20">
        <v>1808932.58</v>
      </c>
      <c r="F53" s="4">
        <f t="shared" si="15"/>
        <v>7.8345620828557117E-4</v>
      </c>
      <c r="G53">
        <v>0</v>
      </c>
      <c r="H53">
        <v>0</v>
      </c>
      <c r="I53">
        <v>0</v>
      </c>
      <c r="J53">
        <v>1305</v>
      </c>
      <c r="K53" s="30">
        <f>127.90277778-17</f>
        <v>110.90277777999999</v>
      </c>
      <c r="L53" s="18">
        <f t="shared" si="19"/>
        <v>1415.90277778</v>
      </c>
      <c r="M53" s="37">
        <f t="shared" si="17"/>
        <v>1416.1100000001024</v>
      </c>
      <c r="N53" s="17" t="s">
        <v>1492</v>
      </c>
      <c r="O53" s="41">
        <f ca="1">SUMIFS(Stock!$O:$O,Stock!$A:$A,'Asset Line A share'!$A53,Stock!$I:$I,O$2)</f>
        <v>0</v>
      </c>
      <c r="P53" s="41">
        <f ca="1">SUMIFS(Stock!$O:$O,Stock!$A:$A,'Asset Line A share'!$A53,Stock!$I:$I,P$2)</f>
        <v>0</v>
      </c>
      <c r="Q53" s="40" t="str">
        <f t="shared" ca="1" si="13"/>
        <v/>
      </c>
      <c r="R53" s="40" t="str">
        <f t="shared" ca="1" si="14"/>
        <v/>
      </c>
      <c r="S53" s="41">
        <f t="shared" ca="1" si="3"/>
        <v>246706.45019998867</v>
      </c>
      <c r="T53" s="30">
        <v>864500</v>
      </c>
      <c r="U53" s="20">
        <f t="shared" si="8"/>
        <v>2541559.6986440681</v>
      </c>
      <c r="V53" s="20"/>
      <c r="W53" s="4">
        <f t="shared" si="9"/>
        <v>5.574921064821492E-4</v>
      </c>
      <c r="X53" s="20">
        <f t="shared" si="10"/>
        <v>1416.1100000003353</v>
      </c>
      <c r="Y53" s="17"/>
      <c r="Z53" s="30">
        <f t="shared" si="18"/>
        <v>0.98767510323192975</v>
      </c>
    </row>
    <row r="54" spans="1:26" x14ac:dyDescent="0.15">
      <c r="A54" s="1">
        <v>42752</v>
      </c>
      <c r="B54">
        <f t="shared" si="5"/>
        <v>2</v>
      </c>
      <c r="C54" s="30">
        <v>0</v>
      </c>
      <c r="D54" s="20">
        <v>1810504.66</v>
      </c>
      <c r="E54" s="20">
        <v>1810504.66</v>
      </c>
      <c r="F54" s="4">
        <f t="shared" si="15"/>
        <v>8.6906500406991327E-4</v>
      </c>
      <c r="G54" s="30">
        <v>0</v>
      </c>
      <c r="H54" s="30">
        <v>0</v>
      </c>
      <c r="I54" s="30">
        <v>0</v>
      </c>
      <c r="J54">
        <v>1435</v>
      </c>
      <c r="K54" s="30">
        <f>153.5694-17</f>
        <v>136.5694</v>
      </c>
      <c r="L54" s="18">
        <f t="shared" si="19"/>
        <v>1571.5694000000001</v>
      </c>
      <c r="M54" s="37">
        <f t="shared" si="17"/>
        <v>1572.0799999998417</v>
      </c>
      <c r="O54" s="41">
        <f ca="1">SUMIFS(Stock!$O:$O,Stock!$A:$A,'Asset Line A share'!$A54,Stock!$I:$I,O$2)</f>
        <v>0</v>
      </c>
      <c r="P54" s="41">
        <f ca="1">SUMIFS(Stock!$O:$O,Stock!$A:$A,'Asset Line A share'!$A54,Stock!$I:$I,P$2)</f>
        <v>0</v>
      </c>
      <c r="Q54" s="40" t="str">
        <f t="shared" ca="1" si="13"/>
        <v/>
      </c>
      <c r="R54" s="40" t="str">
        <f t="shared" ca="1" si="14"/>
        <v/>
      </c>
      <c r="S54" s="41">
        <f t="shared" ca="1" si="3"/>
        <v>246706.45019998867</v>
      </c>
      <c r="T54" s="30">
        <v>864500</v>
      </c>
      <c r="U54" s="20">
        <f t="shared" si="8"/>
        <v>2543131.7786440677</v>
      </c>
      <c r="V54" s="20"/>
      <c r="W54" s="4">
        <f t="shared" si="9"/>
        <v>6.1854931081817277E-4</v>
      </c>
      <c r="X54" s="20">
        <f t="shared" si="10"/>
        <v>1572.0799999996088</v>
      </c>
      <c r="Y54" s="17"/>
      <c r="Z54" s="30">
        <f t="shared" si="18"/>
        <v>0.9882860289863461</v>
      </c>
    </row>
    <row r="55" spans="1:26" x14ac:dyDescent="0.15">
      <c r="A55" s="1">
        <v>42753</v>
      </c>
      <c r="B55">
        <f t="shared" si="5"/>
        <v>3</v>
      </c>
      <c r="C55" s="30">
        <v>0</v>
      </c>
      <c r="D55" s="20">
        <v>1812314.63</v>
      </c>
      <c r="E55" s="20">
        <v>1812314.63</v>
      </c>
      <c r="F55" s="4">
        <f t="shared" si="15"/>
        <v>9.997046900724893E-4</v>
      </c>
      <c r="G55" s="30">
        <v>0</v>
      </c>
      <c r="H55" s="30">
        <v>0</v>
      </c>
      <c r="I55" s="30">
        <v>0</v>
      </c>
      <c r="J55">
        <v>1580</v>
      </c>
      <c r="K55" s="30">
        <v>229.97221999999999</v>
      </c>
      <c r="L55" s="18">
        <f t="shared" si="19"/>
        <v>1809.9722200000001</v>
      </c>
      <c r="M55" s="37">
        <f t="shared" si="17"/>
        <v>1809.9699999999721</v>
      </c>
      <c r="O55" s="41">
        <f ca="1">SUMIFS(Stock!$O:$O,Stock!$A:$A,'Asset Line A share'!$A55,Stock!$I:$I,O$2)</f>
        <v>0</v>
      </c>
      <c r="P55" s="41">
        <f ca="1">SUMIFS(Stock!$O:$O,Stock!$A:$A,'Asset Line A share'!$A55,Stock!$I:$I,P$2)</f>
        <v>0</v>
      </c>
      <c r="Q55" s="40" t="str">
        <f t="shared" ca="1" si="13"/>
        <v/>
      </c>
      <c r="R55" s="40" t="str">
        <f t="shared" ca="1" si="14"/>
        <v/>
      </c>
      <c r="S55" s="41">
        <f t="shared" ca="1" si="3"/>
        <v>246706.45019998867</v>
      </c>
      <c r="T55" s="30">
        <v>864500</v>
      </c>
      <c r="U55" s="20">
        <f t="shared" si="8"/>
        <v>2544941.7486440679</v>
      </c>
      <c r="V55" s="20"/>
      <c r="W55" s="4">
        <f t="shared" si="9"/>
        <v>7.1170908845519243E-4</v>
      </c>
      <c r="X55" s="20">
        <f t="shared" si="10"/>
        <v>1809.9700000002049</v>
      </c>
      <c r="Y55" s="17"/>
      <c r="Z55" s="30">
        <f t="shared" si="18"/>
        <v>0.98898940113516898</v>
      </c>
    </row>
    <row r="56" spans="1:26" x14ac:dyDescent="0.15">
      <c r="A56" s="1">
        <v>42754</v>
      </c>
      <c r="B56">
        <f t="shared" si="5"/>
        <v>4</v>
      </c>
      <c r="C56" s="30">
        <v>0</v>
      </c>
      <c r="D56" s="20">
        <v>1811494.1</v>
      </c>
      <c r="E56" s="20">
        <v>1811494.1</v>
      </c>
      <c r="F56" s="4">
        <f t="shared" si="15"/>
        <v>-4.5275251130083571E-4</v>
      </c>
      <c r="G56" s="30">
        <v>253.72</v>
      </c>
      <c r="H56" s="30">
        <v>0</v>
      </c>
      <c r="I56" s="30">
        <v>253.72</v>
      </c>
      <c r="J56" s="30">
        <v>-1365</v>
      </c>
      <c r="K56" s="30">
        <f>308.75-18</f>
        <v>290.75</v>
      </c>
      <c r="L56" s="18">
        <f t="shared" ref="L56:L59" si="20">G56+J56+K56</f>
        <v>-820.53</v>
      </c>
      <c r="M56" s="37">
        <f t="shared" si="17"/>
        <v>-820.52999999979511</v>
      </c>
      <c r="N56" s="17" t="s">
        <v>1494</v>
      </c>
      <c r="O56" s="41">
        <f ca="1">SUMIFS(Stock!$O:$O,Stock!$A:$A,'Asset Line A share'!$A56,Stock!$I:$I,O$2)</f>
        <v>0</v>
      </c>
      <c r="P56" s="41">
        <f ca="1">SUMIFS(Stock!$O:$O,Stock!$A:$A,'Asset Line A share'!$A56,Stock!$I:$I,P$2)</f>
        <v>16274.999999999998</v>
      </c>
      <c r="Q56" s="40" t="str">
        <f t="shared" ca="1" si="13"/>
        <v/>
      </c>
      <c r="R56" s="40">
        <f t="shared" ca="1" si="14"/>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8"/>
        <v>0.98867053510464153</v>
      </c>
    </row>
    <row r="57" spans="1:26" x14ac:dyDescent="0.15">
      <c r="A57" s="1">
        <v>42755</v>
      </c>
      <c r="B57">
        <f t="shared" si="5"/>
        <v>5</v>
      </c>
      <c r="C57" s="30">
        <v>0</v>
      </c>
      <c r="D57" s="20">
        <v>1811986.37778</v>
      </c>
      <c r="E57" s="20">
        <v>1811986.37778</v>
      </c>
      <c r="F57" s="4">
        <f t="shared" si="15"/>
        <v>2.7175235072518511E-4</v>
      </c>
      <c r="G57">
        <v>-156.02000000000001</v>
      </c>
      <c r="H57" s="30">
        <v>-156.02000000000001</v>
      </c>
      <c r="I57" s="30">
        <v>253.72</v>
      </c>
      <c r="J57">
        <v>0</v>
      </c>
      <c r="K57" s="30">
        <f>659.05-17</f>
        <v>642.04999999999995</v>
      </c>
      <c r="L57" s="18">
        <f t="shared" si="20"/>
        <v>486.03</v>
      </c>
      <c r="M57" s="37">
        <f t="shared" si="17"/>
        <v>492.27777999988757</v>
      </c>
      <c r="N57" s="17" t="s">
        <v>1496</v>
      </c>
      <c r="O57" s="41">
        <f ca="1">SUMIFS(Stock!$O:$O,Stock!$A:$A,'Asset Line A share'!$A57,Stock!$I:$I,O$2)</f>
        <v>27350</v>
      </c>
      <c r="P57" s="41">
        <f ca="1">SUMIFS(Stock!$O:$O,Stock!$A:$A,'Asset Line A share'!$A57,Stock!$I:$I,P$2)</f>
        <v>0</v>
      </c>
      <c r="Q57" s="40">
        <f t="shared" ca="1" si="13"/>
        <v>-5.7045703839122492E-3</v>
      </c>
      <c r="R57" s="40" t="str">
        <f t="shared" ca="1" si="14"/>
        <v/>
      </c>
      <c r="S57" s="41">
        <f t="shared" ca="1" si="3"/>
        <v>257781.45019998867</v>
      </c>
      <c r="T57" s="30">
        <v>864500</v>
      </c>
      <c r="U57" s="20">
        <f t="shared" si="8"/>
        <v>2544613.4964240678</v>
      </c>
      <c r="V57" s="20"/>
      <c r="W57" s="4">
        <f t="shared" si="9"/>
        <v>1.9349619679775998E-4</v>
      </c>
      <c r="X57" s="20">
        <f t="shared" si="10"/>
        <v>492.2777800001204</v>
      </c>
      <c r="Y57" s="17"/>
      <c r="Z57" s="30">
        <f t="shared" si="18"/>
        <v>0.98886183909307024</v>
      </c>
    </row>
    <row r="58" spans="1:26" s="30" customFormat="1" x14ac:dyDescent="0.15">
      <c r="A58" s="1">
        <v>42758</v>
      </c>
      <c r="B58" s="30">
        <f t="shared" si="5"/>
        <v>1</v>
      </c>
      <c r="C58" s="30">
        <v>0</v>
      </c>
      <c r="D58" s="20">
        <v>1813561.72</v>
      </c>
      <c r="E58" s="20">
        <v>1813561.72</v>
      </c>
      <c r="F58" s="4">
        <f t="shared" si="15"/>
        <v>8.6940069711238799E-4</v>
      </c>
      <c r="G58" s="30">
        <v>1102.6199999999999</v>
      </c>
      <c r="H58" s="30">
        <v>1102.6199999999999</v>
      </c>
      <c r="I58" s="30">
        <v>0</v>
      </c>
      <c r="J58" s="30">
        <v>150</v>
      </c>
      <c r="K58" s="30">
        <f>336.722222-14</f>
        <v>322.72222199999999</v>
      </c>
      <c r="L58" s="18">
        <f t="shared" si="20"/>
        <v>1575.3422219999998</v>
      </c>
      <c r="M58" s="37">
        <f t="shared" si="17"/>
        <v>1575.3422199999914</v>
      </c>
      <c r="N58" s="17"/>
      <c r="O58" s="41">
        <f ca="1">SUMIFS(Stock!$O:$O,Stock!$A:$A,'Asset Line A share'!$A58,Stock!$I:$I,O$2)</f>
        <v>362114</v>
      </c>
      <c r="P58" s="41">
        <f ca="1">SUMIFS(Stock!$O:$O,Stock!$A:$A,'Asset Line A share'!$A58,Stock!$I:$I,P$2)</f>
        <v>0</v>
      </c>
      <c r="Q58" s="40">
        <f t="shared" ca="1" si="13"/>
        <v>3.0449526944553371E-3</v>
      </c>
      <c r="R58" s="40" t="str">
        <f t="shared" ca="1" si="14"/>
        <v/>
      </c>
      <c r="S58" s="41">
        <f t="shared" ca="1" si="3"/>
        <v>619895.45019998867</v>
      </c>
      <c r="T58" s="30">
        <v>864500</v>
      </c>
      <c r="U58" s="20">
        <f t="shared" si="8"/>
        <v>2546188.8386440678</v>
      </c>
      <c r="V58" s="20"/>
      <c r="W58" s="4">
        <f t="shared" si="9"/>
        <v>6.1908899807927575E-4</v>
      </c>
      <c r="X58" s="20">
        <f t="shared" si="10"/>
        <v>1575.3422199999914</v>
      </c>
      <c r="Y58" s="17"/>
      <c r="Z58" s="30">
        <f t="shared" si="18"/>
        <v>0.98947403257827315</v>
      </c>
    </row>
    <row r="59" spans="1:26" x14ac:dyDescent="0.15">
      <c r="A59" s="1">
        <v>42759</v>
      </c>
      <c r="B59" s="30">
        <f t="shared" si="5"/>
        <v>2</v>
      </c>
      <c r="C59" s="30">
        <v>0</v>
      </c>
      <c r="D59" s="20">
        <v>1813696.5</v>
      </c>
      <c r="E59" s="20">
        <v>1813696.5</v>
      </c>
      <c r="F59" s="4">
        <f t="shared" si="15"/>
        <v>7.431784565903321E-5</v>
      </c>
      <c r="G59">
        <v>-524.86</v>
      </c>
      <c r="H59">
        <v>38.229999999999997</v>
      </c>
      <c r="I59">
        <v>-563.09</v>
      </c>
      <c r="J59">
        <v>457</v>
      </c>
      <c r="K59" s="30">
        <f>222.5-20</f>
        <v>202.5</v>
      </c>
      <c r="L59" s="18">
        <f t="shared" si="20"/>
        <v>134.63999999999999</v>
      </c>
      <c r="M59" s="37">
        <f t="shared" si="17"/>
        <v>134.78000000002794</v>
      </c>
      <c r="N59" s="17" t="s">
        <v>1517</v>
      </c>
      <c r="O59" s="41">
        <f ca="1">SUMIFS(Stock!$O:$O,Stock!$A:$A,'Asset Line A share'!$A59,Stock!$I:$I,O$2)</f>
        <v>212161</v>
      </c>
      <c r="P59" s="41">
        <f ca="1">SUMIFS(Stock!$O:$O,Stock!$A:$A,'Asset Line A share'!$A59,Stock!$I:$I,P$2)</f>
        <v>226767</v>
      </c>
      <c r="Q59" s="40">
        <f t="shared" ca="1" si="13"/>
        <v>1.8019334373423955E-4</v>
      </c>
      <c r="R59" s="40">
        <f t="shared" ca="1" si="14"/>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8"/>
        <v>0.989526409412264</v>
      </c>
    </row>
    <row r="60" spans="1:26" x14ac:dyDescent="0.15">
      <c r="A60" s="1">
        <v>42760</v>
      </c>
      <c r="B60" s="30">
        <f t="shared" si="5"/>
        <v>3</v>
      </c>
      <c r="C60" s="30">
        <v>0</v>
      </c>
      <c r="D60" s="20">
        <v>1812665.98</v>
      </c>
      <c r="E60" s="20">
        <v>1812665.98</v>
      </c>
      <c r="F60" s="4">
        <f t="shared" si="15"/>
        <v>-5.6818767638355805E-4</v>
      </c>
      <c r="G60">
        <v>-456.6</v>
      </c>
      <c r="H60">
        <v>-291.87</v>
      </c>
      <c r="I60">
        <v>-164.73</v>
      </c>
      <c r="J60">
        <v>-671</v>
      </c>
      <c r="K60" s="30">
        <f>108.0833333-11</f>
        <v>97.083333300000007</v>
      </c>
      <c r="L60" s="18">
        <f t="shared" ref="L60" si="21">G60+J60+K60</f>
        <v>-1030.5166666999999</v>
      </c>
      <c r="M60" s="37">
        <f t="shared" si="17"/>
        <v>-1030.5200000000186</v>
      </c>
      <c r="N60" s="45" t="s">
        <v>1516</v>
      </c>
      <c r="O60" s="41">
        <f ca="1">SUMIFS(Stock!$O:$O,Stock!$A:$A,'Asset Line A share'!$A60,Stock!$I:$I,O$2)</f>
        <v>78568</v>
      </c>
      <c r="P60" s="41">
        <f ca="1">SUMIFS(Stock!$O:$O,Stock!$A:$A,'Asset Line A share'!$A60,Stock!$I:$I,P$2)</f>
        <v>358606</v>
      </c>
      <c r="Q60" s="40">
        <f t="shared" ca="1" si="13"/>
        <v>-3.7148711943793913E-3</v>
      </c>
      <c r="R60" s="40">
        <f t="shared" ca="1" si="14"/>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8"/>
        <v>0.98912593920181557</v>
      </c>
    </row>
    <row r="61" spans="1:26" x14ac:dyDescent="0.15">
      <c r="A61" s="1">
        <v>42761</v>
      </c>
      <c r="B61" s="30">
        <f t="shared" si="5"/>
        <v>4</v>
      </c>
      <c r="C61" s="30">
        <v>0</v>
      </c>
      <c r="D61" s="20">
        <v>1814117.05</v>
      </c>
      <c r="E61" s="20">
        <v>1814117.05</v>
      </c>
      <c r="F61" s="4">
        <f t="shared" si="15"/>
        <v>8.0051703734196344E-4</v>
      </c>
      <c r="G61" s="30">
        <v>-25.82</v>
      </c>
      <c r="H61">
        <v>0</v>
      </c>
      <c r="I61" s="30">
        <v>-25.82</v>
      </c>
      <c r="J61">
        <v>584</v>
      </c>
      <c r="K61" s="30">
        <f>907.875-15</f>
        <v>892.875</v>
      </c>
      <c r="L61" s="18">
        <f t="shared" ref="L61:L68" si="22">G61+J61+K61</f>
        <v>1451.0549999999998</v>
      </c>
      <c r="M61" s="37">
        <f t="shared" si="17"/>
        <v>1451.0700000000652</v>
      </c>
      <c r="N61" s="17" t="s">
        <v>1518</v>
      </c>
      <c r="O61" s="41">
        <f ca="1">SUMIFS(Stock!$O:$O,Stock!$A:$A,'Asset Line A share'!$A61,Stock!$I:$I,O$2)</f>
        <v>0</v>
      </c>
      <c r="P61" s="41">
        <f ca="1">SUMIFS(Stock!$O:$O,Stock!$A:$A,'Asset Line A share'!$A61,Stock!$I:$I,P$2)</f>
        <v>82754</v>
      </c>
      <c r="Q61" s="40" t="str">
        <f t="shared" ca="1" si="13"/>
        <v/>
      </c>
      <c r="R61" s="40">
        <f t="shared" ca="1" si="14"/>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8"/>
        <v>0.98968983927971332</v>
      </c>
    </row>
    <row r="62" spans="1:26" ht="27" x14ac:dyDescent="0.15">
      <c r="A62" s="1">
        <v>42769</v>
      </c>
      <c r="B62">
        <f>WEEKDAY(A62,2)</f>
        <v>5</v>
      </c>
      <c r="C62" s="30">
        <v>0</v>
      </c>
      <c r="D62" s="20">
        <v>1813764.99</v>
      </c>
      <c r="E62" s="20">
        <v>1813764.99</v>
      </c>
      <c r="F62" s="4">
        <f t="shared" ref="F62:F73" si="23">+E62/(E61)-1</f>
        <v>-1.9406686023926145E-4</v>
      </c>
      <c r="G62" s="30">
        <v>-655.99</v>
      </c>
      <c r="H62" s="30">
        <v>-637.55999999999995</v>
      </c>
      <c r="I62" s="30">
        <v>-18.43</v>
      </c>
      <c r="J62" s="30">
        <v>-180</v>
      </c>
      <c r="K62" s="30">
        <f>499.93-16</f>
        <v>483.93</v>
      </c>
      <c r="L62" s="18">
        <f t="shared" si="22"/>
        <v>-352.06</v>
      </c>
      <c r="M62" s="37">
        <f t="shared" si="17"/>
        <v>-352.06000000005588</v>
      </c>
      <c r="N62" s="17" t="s">
        <v>1738</v>
      </c>
      <c r="O62" s="41">
        <f ca="1">SUMIFS(Stock!$O:$O,Stock!$A:$A,'Asset Line A share'!$A62,Stock!$I:$I,O$2)</f>
        <v>157345</v>
      </c>
      <c r="P62" s="41">
        <f ca="1">SUMIFS(Stock!$O:$O,Stock!$A:$A,'Asset Line A share'!$A62,Stock!$I:$I,P$2)</f>
        <v>13430</v>
      </c>
      <c r="Q62" s="40">
        <f t="shared" ca="1" si="13"/>
        <v>-4.0519876704057959E-3</v>
      </c>
      <c r="R62" s="40">
        <f t="shared" ca="1" si="14"/>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8"/>
        <v>0.98955302530008127</v>
      </c>
    </row>
    <row r="63" spans="1:26" ht="27" x14ac:dyDescent="0.15">
      <c r="A63" s="1">
        <v>42772</v>
      </c>
      <c r="B63">
        <f t="shared" si="5"/>
        <v>1</v>
      </c>
      <c r="C63" s="30">
        <v>0</v>
      </c>
      <c r="D63" s="20">
        <v>1815281.57</v>
      </c>
      <c r="E63" s="20">
        <v>1815281.57</v>
      </c>
      <c r="F63" s="4">
        <f t="shared" si="23"/>
        <v>8.3615022252692128E-4</v>
      </c>
      <c r="G63">
        <v>418.9</v>
      </c>
      <c r="H63">
        <v>650</v>
      </c>
      <c r="I63">
        <v>-231.1</v>
      </c>
      <c r="J63">
        <v>735</v>
      </c>
      <c r="K63" s="30">
        <f>378.66667-16</f>
        <v>362.66667000000001</v>
      </c>
      <c r="L63" s="18">
        <f t="shared" si="22"/>
        <v>1516.5666700000002</v>
      </c>
      <c r="M63" s="37">
        <f t="shared" si="17"/>
        <v>1516.5800000000745</v>
      </c>
      <c r="N63" s="17" t="s">
        <v>1741</v>
      </c>
      <c r="O63" s="41">
        <f ca="1">SUMIFS(Stock!$O:$O,Stock!$A:$A,'Asset Line A share'!$A63,Stock!$I:$I,O$2)</f>
        <v>40280</v>
      </c>
      <c r="P63" s="41">
        <f ca="1">SUMIFS(Stock!$O:$O,Stock!$A:$A,'Asset Line A share'!$A63,Stock!$I:$I,P$2)</f>
        <v>90560</v>
      </c>
      <c r="Q63" s="40">
        <f t="shared" ca="1" si="13"/>
        <v>1.6137040714995034E-2</v>
      </c>
      <c r="R63" s="40">
        <f t="shared" ca="1" si="14"/>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8"/>
        <v>0.99014238320847847</v>
      </c>
    </row>
    <row r="64" spans="1:26" x14ac:dyDescent="0.15">
      <c r="A64" s="1">
        <v>42773</v>
      </c>
      <c r="B64">
        <f t="shared" si="5"/>
        <v>2</v>
      </c>
      <c r="C64" s="30">
        <v>0</v>
      </c>
      <c r="D64" s="20">
        <v>1815191.4</v>
      </c>
      <c r="E64" s="20">
        <v>1815191.4</v>
      </c>
      <c r="F64" s="4">
        <f t="shared" si="23"/>
        <v>-4.9672734792394202E-5</v>
      </c>
      <c r="G64">
        <v>725</v>
      </c>
      <c r="H64">
        <v>725</v>
      </c>
      <c r="I64">
        <v>0</v>
      </c>
      <c r="J64">
        <v>-975</v>
      </c>
      <c r="K64" s="30">
        <f>175.8333-17</f>
        <v>158.83330000000001</v>
      </c>
      <c r="L64" s="18">
        <f t="shared" si="22"/>
        <v>-91.166699999999992</v>
      </c>
      <c r="M64" s="37">
        <f t="shared" si="17"/>
        <v>-90.170000000158325</v>
      </c>
      <c r="N64" s="17" t="s">
        <v>1743</v>
      </c>
      <c r="O64" s="62">
        <f ca="1">SUMIFS(Stock!$O:$O,Stock!$A:$A,'Asset Line A share'!$A64,Stock!$I:$I,O$2)</f>
        <v>0</v>
      </c>
      <c r="P64" s="41">
        <f ca="1">SUMIFS(Stock!$O:$O,Stock!$A:$A,'Asset Line A share'!$A64,Stock!$I:$I,P$2)</f>
        <v>0</v>
      </c>
      <c r="Q64" s="40" t="str">
        <f ca="1">IF(O64&lt;&gt;0,+H64/O64,"")</f>
        <v/>
      </c>
      <c r="R64" s="40" t="str">
        <f t="shared" ca="1" si="14"/>
        <v/>
      </c>
      <c r="S64" s="41">
        <f t="shared" ca="1" si="3"/>
        <v>336132.45019998867</v>
      </c>
      <c r="T64" s="30">
        <v>864500</v>
      </c>
      <c r="U64" s="20">
        <f t="shared" si="8"/>
        <v>2547818.5186440675</v>
      </c>
      <c r="V64" s="20"/>
      <c r="W64" s="4">
        <f t="shared" si="9"/>
        <v>-3.5389808277774826E-5</v>
      </c>
      <c r="X64" s="20">
        <f t="shared" si="10"/>
        <v>-90.170000000391155</v>
      </c>
      <c r="Y64" s="17"/>
      <c r="Z64" s="30">
        <f t="shared" si="18"/>
        <v>0.99010734225936903</v>
      </c>
    </row>
    <row r="65" spans="1:26" ht="27" x14ac:dyDescent="0.15">
      <c r="A65" s="1">
        <v>42774</v>
      </c>
      <c r="B65">
        <f t="shared" si="5"/>
        <v>3</v>
      </c>
      <c r="C65" s="30">
        <v>0</v>
      </c>
      <c r="D65" s="20">
        <v>1816009.53</v>
      </c>
      <c r="E65" s="20">
        <v>1816009.53</v>
      </c>
      <c r="F65" s="4">
        <f t="shared" si="23"/>
        <v>4.5071280086506071E-4</v>
      </c>
      <c r="G65" s="30">
        <v>836.12</v>
      </c>
      <c r="H65">
        <v>906.9</v>
      </c>
      <c r="I65">
        <v>-70.78</v>
      </c>
      <c r="J65">
        <v>-110</v>
      </c>
      <c r="K65" s="30">
        <f>107.9027777-16</f>
        <v>91.902777700000001</v>
      </c>
      <c r="L65" s="18">
        <f t="shared" si="22"/>
        <v>818.02277770000001</v>
      </c>
      <c r="M65" s="37">
        <f t="shared" si="17"/>
        <v>818.13000000012107</v>
      </c>
      <c r="N65" s="17" t="s">
        <v>1744</v>
      </c>
      <c r="O65" s="41">
        <f ca="1">SUMIFS(Stock!$O:$O,Stock!$A:$A,'Asset Line A share'!$A65,Stock!$I:$I,O$2)</f>
        <v>64060</v>
      </c>
      <c r="P65" s="41">
        <f ca="1">SUMIFS(Stock!$O:$O,Stock!$A:$A,'Asset Line A share'!$A65,Stock!$I:$I,P$2)</f>
        <v>86025</v>
      </c>
      <c r="Q65" s="40">
        <f t="shared" ca="1" si="13"/>
        <v>1.4157040274742429E-2</v>
      </c>
      <c r="R65" s="40">
        <f t="shared" ca="1" si="14"/>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8"/>
        <v>0.99042527562628491</v>
      </c>
    </row>
    <row r="66" spans="1:26" x14ac:dyDescent="0.15">
      <c r="A66" s="1">
        <v>42775</v>
      </c>
      <c r="B66">
        <f t="shared" si="5"/>
        <v>4</v>
      </c>
      <c r="C66" s="30">
        <v>0</v>
      </c>
      <c r="D66" s="20">
        <v>1816866.4633299999</v>
      </c>
      <c r="E66" s="20">
        <v>1816866.4633299999</v>
      </c>
      <c r="F66" s="4">
        <f t="shared" si="23"/>
        <v>4.718771106888564E-4</v>
      </c>
      <c r="G66">
        <v>-396.4</v>
      </c>
      <c r="H66">
        <v>0</v>
      </c>
      <c r="I66" s="30">
        <v>-396.4</v>
      </c>
      <c r="J66">
        <v>1180</v>
      </c>
      <c r="K66" s="30">
        <f>91.33333-18</f>
        <v>73.333330000000004</v>
      </c>
      <c r="L66" s="18">
        <f t="shared" si="22"/>
        <v>856.93333000000007</v>
      </c>
      <c r="M66" s="37">
        <f t="shared" si="17"/>
        <v>856.93332999991253</v>
      </c>
      <c r="O66" s="41">
        <f ca="1">SUMIFS(Stock!$O:$O,Stock!$A:$A,'Asset Line A share'!$A66,Stock!$I:$I,O$2)</f>
        <v>0</v>
      </c>
      <c r="P66" s="41">
        <f ca="1">SUMIFS(Stock!$O:$O,Stock!$A:$A,'Asset Line A share'!$A66,Stock!$I:$I,P$2)</f>
        <v>86040</v>
      </c>
      <c r="Q66" s="40" t="str">
        <f t="shared" ca="1" si="13"/>
        <v/>
      </c>
      <c r="R66" s="40">
        <f t="shared" ca="1" si="14"/>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8"/>
        <v>0.99075828834899293</v>
      </c>
    </row>
    <row r="67" spans="1:26" s="30" customFormat="1" x14ac:dyDescent="0.15">
      <c r="A67" s="1">
        <v>42776</v>
      </c>
      <c r="B67" s="30">
        <f t="shared" si="5"/>
        <v>5</v>
      </c>
      <c r="C67" s="30">
        <v>0</v>
      </c>
      <c r="D67" s="20">
        <v>1817293.85</v>
      </c>
      <c r="E67" s="20">
        <v>1817293.85</v>
      </c>
      <c r="F67" s="4">
        <f t="shared" si="23"/>
        <v>2.3523284656645771E-4</v>
      </c>
      <c r="G67" s="30">
        <v>0</v>
      </c>
      <c r="H67" s="30">
        <v>0</v>
      </c>
      <c r="I67" s="30">
        <v>0</v>
      </c>
      <c r="J67" s="30">
        <v>285</v>
      </c>
      <c r="K67" s="30">
        <f>160.38888-18</f>
        <v>142.38888</v>
      </c>
      <c r="L67" s="18">
        <f t="shared" si="22"/>
        <v>427.38887999999997</v>
      </c>
      <c r="M67" s="37">
        <f t="shared" si="17"/>
        <v>427.38667000015266</v>
      </c>
      <c r="N67" s="17"/>
      <c r="O67" s="41">
        <f ca="1">SUMIFS(Stock!$O:$O,Stock!$A:$A,'Asset Line A share'!$A67,Stock!$I:$I,O$2)</f>
        <v>0</v>
      </c>
      <c r="P67" s="41">
        <f ca="1">SUMIFS(Stock!$O:$O,Stock!$A:$A,'Asset Line A share'!$A67,Stock!$I:$I,P$2)</f>
        <v>0</v>
      </c>
      <c r="Q67" s="40" t="str">
        <f t="shared" ca="1" si="13"/>
        <v/>
      </c>
      <c r="R67" s="40" t="str">
        <f t="shared" ca="1" si="14"/>
        <v/>
      </c>
      <c r="S67" s="41">
        <f t="shared" ca="1" si="3"/>
        <v>228127.45019998867</v>
      </c>
      <c r="T67" s="30">
        <v>864500</v>
      </c>
      <c r="U67" s="20">
        <f t="shared" si="8"/>
        <v>2549920.9686440676</v>
      </c>
      <c r="V67" s="20"/>
      <c r="W67" s="4">
        <f t="shared" si="9"/>
        <v>1.6763590739032885E-4</v>
      </c>
      <c r="X67" s="20">
        <f t="shared" si="10"/>
        <v>427.38666999991983</v>
      </c>
      <c r="Y67" s="17"/>
      <c r="Z67" s="30">
        <f t="shared" si="18"/>
        <v>0.99092437501366482</v>
      </c>
    </row>
    <row r="68" spans="1:26" s="30" customFormat="1" x14ac:dyDescent="0.15">
      <c r="A68" s="1">
        <v>42779</v>
      </c>
      <c r="B68" s="30">
        <f t="shared" si="5"/>
        <v>1</v>
      </c>
      <c r="C68" s="30">
        <v>0</v>
      </c>
      <c r="D68" s="20">
        <v>1817520.66</v>
      </c>
      <c r="E68" s="20">
        <v>1817520.66</v>
      </c>
      <c r="F68" s="4">
        <f t="shared" si="23"/>
        <v>1.2480645328749596E-4</v>
      </c>
      <c r="G68" s="30">
        <v>-200.71</v>
      </c>
      <c r="H68" s="30">
        <v>-200.71</v>
      </c>
      <c r="I68" s="30">
        <v>0</v>
      </c>
      <c r="J68" s="30">
        <v>315</v>
      </c>
      <c r="K68" s="30">
        <f>127.5-15</f>
        <v>112.5</v>
      </c>
      <c r="L68" s="18">
        <f t="shared" si="22"/>
        <v>226.79</v>
      </c>
      <c r="M68" s="37">
        <f t="shared" si="17"/>
        <v>226.80999999982305</v>
      </c>
      <c r="N68" s="17"/>
      <c r="O68" s="41">
        <f ca="1">SUMIFS(Stock!$O:$O,Stock!$A:$A,'Asset Line A share'!$A68,Stock!$I:$I,O$2)</f>
        <v>220763</v>
      </c>
      <c r="P68" s="41">
        <f ca="1">SUMIFS(Stock!$O:$O,Stock!$A:$A,'Asset Line A share'!$A68,Stock!$I:$I,P$2)</f>
        <v>0</v>
      </c>
      <c r="Q68" s="40">
        <f t="shared" ref="Q68:Q99" ca="1" si="24">IF(O68&lt;&gt;0,+H68/O68,"")</f>
        <v>-9.0916503218383521E-4</v>
      </c>
      <c r="R68" s="40" t="str">
        <f t="shared" ref="R68:R99" ca="1" si="25">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8"/>
        <v>0.99101251561106385</v>
      </c>
    </row>
    <row r="69" spans="1:26" s="30" customFormat="1" x14ac:dyDescent="0.15">
      <c r="A69" s="1">
        <v>42780</v>
      </c>
      <c r="B69" s="30">
        <f t="shared" si="5"/>
        <v>2</v>
      </c>
      <c r="C69" s="30">
        <v>0</v>
      </c>
      <c r="D69" s="20">
        <v>1816963.9</v>
      </c>
      <c r="E69" s="20">
        <v>1816963.9</v>
      </c>
      <c r="F69" s="4">
        <f t="shared" si="23"/>
        <v>-3.063293927013655E-4</v>
      </c>
      <c r="G69" s="30">
        <v>-38.53</v>
      </c>
      <c r="H69" s="30">
        <v>0</v>
      </c>
      <c r="I69" s="30">
        <v>-38.53</v>
      </c>
      <c r="J69" s="30">
        <v>-628</v>
      </c>
      <c r="K69" s="30">
        <f>125.77778-16</f>
        <v>109.77778000000001</v>
      </c>
      <c r="L69" s="18">
        <f t="shared" ref="L69:L74" si="26">G69+J69+K69</f>
        <v>-556.75221999999997</v>
      </c>
      <c r="M69" s="37">
        <f t="shared" si="17"/>
        <v>-556.76000000000931</v>
      </c>
      <c r="N69" s="17" t="s">
        <v>1788</v>
      </c>
      <c r="O69" s="41">
        <f ca="1">SUMIFS(Stock!$O:$O,Stock!$A:$A,'Asset Line A share'!$A69,Stock!$I:$I,O$2)</f>
        <v>0</v>
      </c>
      <c r="P69" s="41">
        <f ca="1">SUMIFS(Stock!$O:$O,Stock!$A:$A,'Asset Line A share'!$A69,Stock!$I:$I,P$2)</f>
        <v>27970</v>
      </c>
      <c r="Q69" s="40" t="str">
        <f t="shared" ca="1" si="24"/>
        <v/>
      </c>
      <c r="R69" s="40">
        <f t="shared" ca="1" si="25"/>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8"/>
        <v>0.99079615319755499</v>
      </c>
    </row>
    <row r="70" spans="1:26" s="30" customFormat="1" x14ac:dyDescent="0.15">
      <c r="A70" s="1">
        <v>42781</v>
      </c>
      <c r="B70" s="30">
        <f t="shared" si="5"/>
        <v>3</v>
      </c>
      <c r="C70" s="30">
        <v>0</v>
      </c>
      <c r="D70" s="20">
        <v>1815582.09</v>
      </c>
      <c r="E70" s="20">
        <v>1815582.09</v>
      </c>
      <c r="F70" s="4">
        <f t="shared" si="23"/>
        <v>-7.6050492802848257E-4</v>
      </c>
      <c r="G70" s="30">
        <v>-1746.89</v>
      </c>
      <c r="H70" s="30">
        <v>-1746.89</v>
      </c>
      <c r="I70" s="30">
        <v>0</v>
      </c>
      <c r="J70" s="30">
        <v>106</v>
      </c>
      <c r="K70" s="30">
        <f>158.033333-11</f>
        <v>147.033333</v>
      </c>
      <c r="L70" s="18">
        <f t="shared" si="26"/>
        <v>-1493.856667</v>
      </c>
      <c r="M70" s="37">
        <f t="shared" si="17"/>
        <v>-1381.809999999823</v>
      </c>
      <c r="N70" s="17" t="s">
        <v>1795</v>
      </c>
      <c r="O70" s="41">
        <f ca="1">SUMIFS(Stock!$O:$O,Stock!$A:$A,'Asset Line A share'!$A70,Stock!$I:$I,O$2)</f>
        <v>440400</v>
      </c>
      <c r="P70" s="41">
        <f ca="1">SUMIFS(Stock!$O:$O,Stock!$A:$A,'Asset Line A share'!$A70,Stock!$I:$I,P$2)</f>
        <v>0</v>
      </c>
      <c r="Q70" s="40">
        <f t="shared" ca="1" si="24"/>
        <v>-3.9665985467756586E-3</v>
      </c>
      <c r="R70" s="40" t="str">
        <f t="shared" ca="1" si="25"/>
        <v/>
      </c>
      <c r="S70" s="41">
        <f t="shared" ref="S70:S133" ca="1" si="27">+S71+P71-O71</f>
        <v>861320.45019998867</v>
      </c>
      <c r="T70" s="30">
        <v>864500</v>
      </c>
      <c r="U70" s="20">
        <f t="shared" si="8"/>
        <v>2548209.2086440679</v>
      </c>
      <c r="V70" s="20"/>
      <c r="W70" s="4">
        <f t="shared" si="9"/>
        <v>-5.4197319879734085E-4</v>
      </c>
      <c r="X70" s="20">
        <f t="shared" si="10"/>
        <v>-1381.8099999995902</v>
      </c>
      <c r="Y70" s="17"/>
      <c r="Z70" s="30">
        <f t="shared" si="18"/>
        <v>0.9902591682370504</v>
      </c>
    </row>
    <row r="71" spans="1:26" s="30" customFormat="1" x14ac:dyDescent="0.15">
      <c r="A71" s="1">
        <v>42782</v>
      </c>
      <c r="B71" s="30">
        <f t="shared" si="5"/>
        <v>4</v>
      </c>
      <c r="C71" s="30">
        <v>0</v>
      </c>
      <c r="D71" s="20">
        <v>1818441.23</v>
      </c>
      <c r="E71" s="20">
        <v>1818441.23</v>
      </c>
      <c r="F71" s="4">
        <f t="shared" si="23"/>
        <v>1.5747786981088474E-3</v>
      </c>
      <c r="G71" s="30">
        <v>86.64</v>
      </c>
      <c r="H71" s="30">
        <v>0</v>
      </c>
      <c r="I71" s="30">
        <v>86.64</v>
      </c>
      <c r="J71" s="30">
        <v>2701</v>
      </c>
      <c r="K71" s="30">
        <f>82.5-11</f>
        <v>71.5</v>
      </c>
      <c r="L71" s="18">
        <f t="shared" si="26"/>
        <v>2859.14</v>
      </c>
      <c r="M71" s="37">
        <f t="shared" si="17"/>
        <v>2859.1399999998976</v>
      </c>
      <c r="N71" s="17"/>
      <c r="O71" s="41">
        <f ca="1">SUMIFS(Stock!$O:$O,Stock!$A:$A,'Asset Line A share'!$A71,Stock!$I:$I,O$2)</f>
        <v>0</v>
      </c>
      <c r="P71" s="41">
        <f ca="1">SUMIFS(Stock!$O:$O,Stock!$A:$A,'Asset Line A share'!$A71,Stock!$I:$I,P$2)</f>
        <v>57910</v>
      </c>
      <c r="Q71" s="40" t="str">
        <f t="shared" ca="1" si="24"/>
        <v/>
      </c>
      <c r="R71" s="40">
        <f t="shared" ca="1" si="25"/>
        <v>1.4961146606803661E-3</v>
      </c>
      <c r="S71" s="41">
        <f t="shared" ca="1" si="27"/>
        <v>803410.45019998867</v>
      </c>
      <c r="T71" s="30">
        <v>864500</v>
      </c>
      <c r="U71" s="20">
        <f t="shared" si="8"/>
        <v>2551068.3486440675</v>
      </c>
      <c r="V71" s="20"/>
      <c r="W71" s="4">
        <f t="shared" si="9"/>
        <v>1.1220193343235429E-3</v>
      </c>
      <c r="X71" s="20">
        <f t="shared" si="10"/>
        <v>2859.1399999996647</v>
      </c>
      <c r="Y71" s="17"/>
      <c r="Z71" s="30">
        <f t="shared" si="18"/>
        <v>0.99137025816980351</v>
      </c>
    </row>
    <row r="72" spans="1:26" s="30" customFormat="1" ht="27" x14ac:dyDescent="0.15">
      <c r="A72" s="1">
        <v>42783</v>
      </c>
      <c r="B72" s="30">
        <f t="shared" si="5"/>
        <v>5</v>
      </c>
      <c r="C72" s="30">
        <v>0</v>
      </c>
      <c r="D72" s="20">
        <v>1824613.71</v>
      </c>
      <c r="E72" s="20">
        <v>1824613.71</v>
      </c>
      <c r="F72" s="4">
        <f t="shared" si="23"/>
        <v>3.3943797017845778E-3</v>
      </c>
      <c r="G72" s="30">
        <v>-2319.06</v>
      </c>
      <c r="H72" s="30">
        <v>-2377.0100000000002</v>
      </c>
      <c r="I72" s="30">
        <v>57.95</v>
      </c>
      <c r="J72" s="30">
        <v>8319</v>
      </c>
      <c r="K72" s="30">
        <f>188.5139-16</f>
        <v>172.51390000000001</v>
      </c>
      <c r="L72" s="18">
        <f t="shared" si="26"/>
        <v>6172.4539000000004</v>
      </c>
      <c r="M72" s="37">
        <f t="shared" si="17"/>
        <v>6172.4799999999814</v>
      </c>
      <c r="N72" s="17" t="s">
        <v>1819</v>
      </c>
      <c r="O72" s="41">
        <f ca="1">SUMIFS(Stock!$O:$O,Stock!$A:$A,'Asset Line A share'!$A72,Stock!$I:$I,O$2)</f>
        <v>122800.00000000001</v>
      </c>
      <c r="P72" s="41">
        <f ca="1">SUMIFS(Stock!$O:$O,Stock!$A:$A,'Asset Line A share'!$A72,Stock!$I:$I,P$2)</f>
        <v>583454</v>
      </c>
      <c r="Q72" s="40">
        <f t="shared" ca="1" si="24"/>
        <v>-1.9356758957654721E-2</v>
      </c>
      <c r="R72" s="40">
        <f t="shared" ca="1" si="25"/>
        <v>9.9322311613254862E-5</v>
      </c>
      <c r="S72" s="41">
        <f t="shared" ca="1" si="27"/>
        <v>342756.45019998867</v>
      </c>
      <c r="T72" s="30">
        <v>864500</v>
      </c>
      <c r="U72" s="20">
        <f t="shared" si="8"/>
        <v>2557240.828644068</v>
      </c>
      <c r="V72" s="20"/>
      <c r="W72" s="4">
        <f t="shared" si="9"/>
        <v>2.4195666898854107E-3</v>
      </c>
      <c r="X72" s="20">
        <f t="shared" si="10"/>
        <v>6172.480000000447</v>
      </c>
      <c r="Y72" s="17"/>
      <c r="Z72" s="30">
        <f t="shared" si="18"/>
        <v>0.99376894462381427</v>
      </c>
    </row>
    <row r="73" spans="1:26" s="30" customFormat="1" x14ac:dyDescent="0.15">
      <c r="A73" s="1">
        <v>42786</v>
      </c>
      <c r="B73" s="30">
        <f t="shared" si="5"/>
        <v>1</v>
      </c>
      <c r="C73" s="30">
        <v>0</v>
      </c>
      <c r="D73" s="20">
        <v>1826097.02</v>
      </c>
      <c r="E73" s="20">
        <v>1826097.02</v>
      </c>
      <c r="F73" s="4">
        <f t="shared" si="23"/>
        <v>8.129446752869196E-4</v>
      </c>
      <c r="G73" s="30">
        <v>63.95</v>
      </c>
      <c r="H73" s="30">
        <v>511.45</v>
      </c>
      <c r="I73" s="30">
        <v>-447.5</v>
      </c>
      <c r="J73" s="30">
        <v>1255</v>
      </c>
      <c r="K73" s="30">
        <f>181.736111-17</f>
        <v>164.73611099999999</v>
      </c>
      <c r="L73" s="18">
        <f t="shared" si="26"/>
        <v>1483.686111</v>
      </c>
      <c r="M73" s="37">
        <f t="shared" si="17"/>
        <v>1483.3100000000559</v>
      </c>
      <c r="N73" s="17" t="s">
        <v>1830</v>
      </c>
      <c r="O73" s="41">
        <f ca="1">SUMIFS(Stock!$O:$O,Stock!$A:$A,'Asset Line A share'!$A73,Stock!$I:$I,O$2)</f>
        <v>119406</v>
      </c>
      <c r="P73" s="41">
        <f ca="1">SUMIFS(Stock!$O:$O,Stock!$A:$A,'Asset Line A share'!$A73,Stock!$I:$I,P$2)</f>
        <v>120900.00000000001</v>
      </c>
      <c r="Q73" s="40">
        <f t="shared" ca="1" si="24"/>
        <v>4.283285597038675E-3</v>
      </c>
      <c r="R73" s="40">
        <f t="shared" ca="1" si="25"/>
        <v>-3.7014061207609589E-3</v>
      </c>
      <c r="S73" s="41">
        <f t="shared" ca="1" si="27"/>
        <v>341262.45019998867</v>
      </c>
      <c r="T73" s="30">
        <v>864500</v>
      </c>
      <c r="U73" s="20">
        <f t="shared" si="8"/>
        <v>2558724.1386440676</v>
      </c>
      <c r="V73" s="20"/>
      <c r="W73" s="4">
        <f t="shared" si="9"/>
        <v>5.8004314000648094E-4</v>
      </c>
      <c r="X73" s="20">
        <f t="shared" si="10"/>
        <v>1483.3099999995902</v>
      </c>
      <c r="Y73" s="17"/>
      <c r="Z73" s="30">
        <f t="shared" si="18"/>
        <v>0.99434537348289476</v>
      </c>
    </row>
    <row r="74" spans="1:26" s="30" customFormat="1" x14ac:dyDescent="0.15">
      <c r="A74" s="1">
        <v>42787</v>
      </c>
      <c r="B74" s="30">
        <f t="shared" si="5"/>
        <v>2</v>
      </c>
      <c r="C74" s="30">
        <v>0</v>
      </c>
      <c r="D74" s="20">
        <v>1826729.76</v>
      </c>
      <c r="E74" s="20">
        <v>1826729.76</v>
      </c>
      <c r="F74" s="4">
        <f t="shared" ref="F74:F106" si="28">+E74/(E73)-1</f>
        <v>3.4649856665347478E-4</v>
      </c>
      <c r="G74" s="30">
        <v>-210.8</v>
      </c>
      <c r="H74" s="30">
        <v>-145</v>
      </c>
      <c r="I74" s="30">
        <v>-65.8</v>
      </c>
      <c r="J74" s="30">
        <v>650</v>
      </c>
      <c r="K74" s="30">
        <f>210.5416666-17</f>
        <v>193.54166660000001</v>
      </c>
      <c r="L74" s="18">
        <f t="shared" si="26"/>
        <v>632.74166660000003</v>
      </c>
      <c r="M74" s="37">
        <f t="shared" ref="M74:M105" si="29">+E74-E73</f>
        <v>632.73999999999069</v>
      </c>
      <c r="N74" s="17" t="s">
        <v>1840</v>
      </c>
      <c r="O74" s="41">
        <f ca="1">SUMIFS(Stock!$O:$O,Stock!$A:$A,'Asset Line A share'!$A74,Stock!$I:$I,O$2)</f>
        <v>45250</v>
      </c>
      <c r="P74" s="41">
        <f ca="1">SUMIFS(Stock!$O:$O,Stock!$A:$A,'Asset Line A share'!$A74,Stock!$I:$I,P$2)</f>
        <v>120135</v>
      </c>
      <c r="Q74" s="40">
        <f t="shared" ca="1" si="24"/>
        <v>-3.2044198895027623E-3</v>
      </c>
      <c r="R74" s="40">
        <f t="shared" ca="1" si="25"/>
        <v>-5.477171515378532E-4</v>
      </c>
      <c r="S74" s="41">
        <f t="shared" ca="1" si="27"/>
        <v>266377.45019998867</v>
      </c>
      <c r="T74" s="30">
        <v>864500</v>
      </c>
      <c r="U74" s="20">
        <f t="shared" si="8"/>
        <v>2559356.8786440678</v>
      </c>
      <c r="V74" s="20"/>
      <c r="W74" s="4">
        <f t="shared" si="9"/>
        <v>2.4728730637435525E-4</v>
      </c>
      <c r="X74" s="20">
        <f t="shared" si="10"/>
        <v>632.74000000022352</v>
      </c>
      <c r="Y74" s="17"/>
      <c r="Z74" s="30">
        <f t="shared" si="18"/>
        <v>0.9945912624719091</v>
      </c>
    </row>
    <row r="75" spans="1:26" s="30" customFormat="1" x14ac:dyDescent="0.15">
      <c r="A75" s="1">
        <v>42788</v>
      </c>
      <c r="B75" s="30">
        <f t="shared" si="5"/>
        <v>3</v>
      </c>
      <c r="C75" s="30">
        <v>0</v>
      </c>
      <c r="D75" s="20">
        <v>1827152.20888889</v>
      </c>
      <c r="E75" s="20">
        <v>1827152.20888889</v>
      </c>
      <c r="F75" s="4">
        <f t="shared" si="28"/>
        <v>2.3125965216119759E-4</v>
      </c>
      <c r="G75" s="30">
        <v>-26.94</v>
      </c>
      <c r="H75" s="30">
        <v>-26.94</v>
      </c>
      <c r="I75" s="30">
        <v>0</v>
      </c>
      <c r="J75" s="30">
        <v>235</v>
      </c>
      <c r="K75" s="30">
        <f>231.388888888889-17</f>
        <v>214.388888888889</v>
      </c>
      <c r="L75" s="18">
        <f t="shared" ref="L75:L81" si="30">G75+J75+K75</f>
        <v>422.44888888888897</v>
      </c>
      <c r="M75" s="37">
        <f t="shared" si="29"/>
        <v>422.44888888997957</v>
      </c>
      <c r="N75" s="17"/>
      <c r="O75" s="41">
        <f ca="1">SUMIFS(Stock!$O:$O,Stock!$A:$A,'Asset Line A share'!$A75,Stock!$I:$I,O$2)</f>
        <v>0</v>
      </c>
      <c r="P75" s="41">
        <f ca="1">SUMIFS(Stock!$O:$O,Stock!$A:$A,'Asset Line A share'!$A75,Stock!$I:$I,P$2)</f>
        <v>21940</v>
      </c>
      <c r="Q75" s="40" t="str">
        <f t="shared" ca="1" si="24"/>
        <v/>
      </c>
      <c r="R75" s="40">
        <f t="shared" ca="1" si="25"/>
        <v>0</v>
      </c>
      <c r="S75" s="41">
        <f t="shared" ca="1" si="27"/>
        <v>244437.45019998867</v>
      </c>
      <c r="T75" s="30">
        <v>864500</v>
      </c>
      <c r="U75" s="20">
        <f t="shared" si="8"/>
        <v>2559779.3275329578</v>
      </c>
      <c r="V75" s="20"/>
      <c r="W75" s="4">
        <f t="shared" si="9"/>
        <v>1.6506056361853538E-4</v>
      </c>
      <c r="X75" s="20">
        <f t="shared" si="10"/>
        <v>422.44888888997957</v>
      </c>
      <c r="Y75" s="17"/>
      <c r="Z75" s="30">
        <f t="shared" si="18"/>
        <v>0.99475543026626279</v>
      </c>
    </row>
    <row r="76" spans="1:26" s="30" customFormat="1" x14ac:dyDescent="0.15">
      <c r="A76" s="1">
        <v>42789</v>
      </c>
      <c r="B76" s="30">
        <f t="shared" si="5"/>
        <v>4</v>
      </c>
      <c r="C76" s="30">
        <v>0</v>
      </c>
      <c r="D76" s="20">
        <v>1827565.37</v>
      </c>
      <c r="E76" s="20">
        <v>1827565.37</v>
      </c>
      <c r="F76" s="4">
        <f t="shared" si="28"/>
        <v>2.2612298477375781E-4</v>
      </c>
      <c r="G76" s="30">
        <v>-195.69</v>
      </c>
      <c r="H76" s="30">
        <v>-108.21</v>
      </c>
      <c r="I76" s="30">
        <v>-87.48</v>
      </c>
      <c r="J76" s="30">
        <v>415</v>
      </c>
      <c r="K76" s="30">
        <f>209.666667-17</f>
        <v>192.66666699999999</v>
      </c>
      <c r="L76" s="18">
        <f t="shared" si="30"/>
        <v>411.97666700000002</v>
      </c>
      <c r="M76" s="37">
        <f t="shared" si="29"/>
        <v>413.16111111012287</v>
      </c>
      <c r="N76" s="52"/>
      <c r="O76" s="41">
        <f ca="1">SUMIFS(Stock!$O:$O,Stock!$A:$A,'Asset Line A share'!$A76,Stock!$I:$I,O$2)</f>
        <v>16648</v>
      </c>
      <c r="P76" s="41">
        <f ca="1">SUMIFS(Stock!$O:$O,Stock!$A:$A,'Asset Line A share'!$A76,Stock!$I:$I,P$2)</f>
        <v>22480</v>
      </c>
      <c r="Q76" s="40">
        <f t="shared" ca="1" si="24"/>
        <v>-6.4998798654493026E-3</v>
      </c>
      <c r="R76" s="40">
        <f t="shared" ca="1" si="25"/>
        <v>-3.8914590747330963E-3</v>
      </c>
      <c r="S76" s="41">
        <f t="shared" ca="1" si="27"/>
        <v>238605.45019998867</v>
      </c>
      <c r="T76" s="30">
        <v>871900</v>
      </c>
      <c r="U76" s="20">
        <f t="shared" si="8"/>
        <v>2566463.675084746</v>
      </c>
      <c r="V76" s="20"/>
      <c r="W76" s="4">
        <f t="shared" si="9"/>
        <v>2.611298356812064E-3</v>
      </c>
      <c r="X76" s="20">
        <f t="shared" si="10"/>
        <v>6684.3475517882034</v>
      </c>
      <c r="Y76" s="17"/>
      <c r="Z76" s="30">
        <f t="shared" si="18"/>
        <v>0.99735303348674698</v>
      </c>
    </row>
    <row r="77" spans="1:26" s="30" customFormat="1" x14ac:dyDescent="0.15">
      <c r="A77" s="1">
        <v>42790</v>
      </c>
      <c r="B77" s="30">
        <f t="shared" si="5"/>
        <v>5</v>
      </c>
      <c r="C77" s="30">
        <v>0</v>
      </c>
      <c r="D77" s="20">
        <v>1829244.89</v>
      </c>
      <c r="E77" s="20">
        <v>1829244.89</v>
      </c>
      <c r="F77" s="4">
        <f t="shared" si="28"/>
        <v>9.1899311924459326E-4</v>
      </c>
      <c r="G77" s="30">
        <v>838.21</v>
      </c>
      <c r="H77" s="30">
        <v>869.79</v>
      </c>
      <c r="I77" s="30">
        <v>-31.58</v>
      </c>
      <c r="J77" s="30">
        <v>565</v>
      </c>
      <c r="K77" s="30">
        <f>290.61111-16</f>
        <v>274.61111</v>
      </c>
      <c r="L77" s="18">
        <f t="shared" si="30"/>
        <v>1677.8211100000001</v>
      </c>
      <c r="M77" s="37">
        <f t="shared" si="29"/>
        <v>1679.5199999997858</v>
      </c>
      <c r="N77" s="17" t="s">
        <v>1857</v>
      </c>
      <c r="O77" s="41">
        <f ca="1">SUMIFS(Stock!$O:$O,Stock!$A:$A,'Asset Line A share'!$A77,Stock!$I:$I,O$2)</f>
        <v>157648</v>
      </c>
      <c r="P77" s="41">
        <f ca="1">SUMIFS(Stock!$O:$O,Stock!$A:$A,'Asset Line A share'!$A77,Stock!$I:$I,P$2)</f>
        <v>16365</v>
      </c>
      <c r="Q77" s="40">
        <f t="shared" ca="1" si="24"/>
        <v>5.5172916878108184E-3</v>
      </c>
      <c r="R77" s="40">
        <f t="shared" ca="1" si="25"/>
        <v>-1.9297280782157042E-3</v>
      </c>
      <c r="S77" s="41">
        <f t="shared" ca="1" si="27"/>
        <v>379888.45019998867</v>
      </c>
      <c r="T77" s="30">
        <v>871600</v>
      </c>
      <c r="U77" s="20">
        <f t="shared" si="8"/>
        <v>2567888.95779661</v>
      </c>
      <c r="V77" s="20"/>
      <c r="W77" s="4">
        <f t="shared" si="9"/>
        <v>5.5534887390007448E-4</v>
      </c>
      <c r="X77" s="20">
        <f t="shared" si="10"/>
        <v>1425.2827118639834</v>
      </c>
      <c r="Y77" s="17"/>
      <c r="Z77" s="30">
        <f t="shared" si="18"/>
        <v>0.99790691237077467</v>
      </c>
    </row>
    <row r="78" spans="1:26" x14ac:dyDescent="0.15">
      <c r="A78" s="1">
        <v>42793</v>
      </c>
      <c r="B78">
        <f t="shared" si="5"/>
        <v>1</v>
      </c>
      <c r="C78" s="30">
        <v>0</v>
      </c>
      <c r="D78" s="20">
        <v>1827585.62</v>
      </c>
      <c r="E78" s="20">
        <v>1827585.62</v>
      </c>
      <c r="F78" s="4">
        <f t="shared" si="28"/>
        <v>-9.070792046874665E-4</v>
      </c>
      <c r="G78">
        <v>-131.69</v>
      </c>
      <c r="H78">
        <v>-139.30000000000001</v>
      </c>
      <c r="I78">
        <v>7.61</v>
      </c>
      <c r="J78">
        <v>-1715</v>
      </c>
      <c r="K78" s="30">
        <f>202.416666-15</f>
        <v>187.41666599999999</v>
      </c>
      <c r="L78" s="18">
        <f t="shared" si="30"/>
        <v>-1659.273334</v>
      </c>
      <c r="M78" s="37">
        <f t="shared" si="29"/>
        <v>-1659.2699999997858</v>
      </c>
      <c r="N78" s="17" t="s">
        <v>1863</v>
      </c>
      <c r="O78" s="41">
        <f ca="1">SUMIFS(Stock!$O:$O,Stock!$A:$A,'Asset Line A share'!$A78,Stock!$I:$I,O$2)</f>
        <v>189760</v>
      </c>
      <c r="P78" s="41">
        <f ca="1">SUMIFS(Stock!$O:$O,Stock!$A:$A,'Asset Line A share'!$A78,Stock!$I:$I,P$2)</f>
        <v>43660</v>
      </c>
      <c r="Q78" s="40">
        <f t="shared" ca="1" si="24"/>
        <v>-7.3408516020236091E-4</v>
      </c>
      <c r="R78" s="40">
        <f t="shared" ca="1" si="25"/>
        <v>1.7430142006413194E-4</v>
      </c>
      <c r="S78" s="41">
        <f t="shared" ca="1" si="27"/>
        <v>525988.45019998867</v>
      </c>
      <c r="T78" s="30">
        <v>869600</v>
      </c>
      <c r="U78" s="20">
        <f t="shared" si="8"/>
        <v>2564534.7725423733</v>
      </c>
      <c r="V78" s="20"/>
      <c r="W78" s="4">
        <f t="shared" si="9"/>
        <v>-1.3062033870477885E-3</v>
      </c>
      <c r="X78" s="20">
        <f t="shared" si="10"/>
        <v>-3354.1852542366832</v>
      </c>
      <c r="Y78" s="17"/>
      <c r="Z78" s="30">
        <f t="shared" si="18"/>
        <v>0.99660344298187753</v>
      </c>
    </row>
    <row r="79" spans="1:26" x14ac:dyDescent="0.15">
      <c r="A79" s="1">
        <v>42794</v>
      </c>
      <c r="B79">
        <f t="shared" si="5"/>
        <v>2</v>
      </c>
      <c r="C79" s="30">
        <v>0</v>
      </c>
      <c r="D79" s="20">
        <v>1838048.45</v>
      </c>
      <c r="E79" s="20">
        <v>1838048.45</v>
      </c>
      <c r="F79" s="4">
        <f t="shared" si="28"/>
        <v>5.7249465554449763E-3</v>
      </c>
      <c r="G79">
        <v>7472.93</v>
      </c>
      <c r="H79">
        <v>7899.57</v>
      </c>
      <c r="I79">
        <v>-426.64</v>
      </c>
      <c r="J79">
        <v>2810</v>
      </c>
      <c r="K79" s="30">
        <f>183.902777-4</f>
        <v>179.90277699999999</v>
      </c>
      <c r="L79" s="18">
        <f t="shared" si="30"/>
        <v>10462.832777</v>
      </c>
      <c r="M79" s="37">
        <f t="shared" si="29"/>
        <v>10462.829999999842</v>
      </c>
      <c r="N79" s="17" t="s">
        <v>1890</v>
      </c>
      <c r="O79" s="41">
        <f ca="1">SUMIFS(Stock!$O:$O,Stock!$A:$A,'Asset Line A share'!$A79,Stock!$I:$I,O$2)</f>
        <v>1251092</v>
      </c>
      <c r="P79" s="41">
        <f ca="1">SUMIFS(Stock!$O:$O,Stock!$A:$A,'Asset Line A share'!$A79,Stock!$I:$I,P$2)</f>
        <v>145500</v>
      </c>
      <c r="Q79" s="40">
        <f t="shared" ca="1" si="24"/>
        <v>6.314139967324545E-3</v>
      </c>
      <c r="R79" s="40">
        <f t="shared" ca="1" si="25"/>
        <v>-2.9322336769759447E-3</v>
      </c>
      <c r="S79" s="41">
        <f t="shared" ca="1" si="27"/>
        <v>1631580.4501999887</v>
      </c>
      <c r="T79" s="30">
        <v>869200</v>
      </c>
      <c r="U79" s="20">
        <f t="shared" si="8"/>
        <v>2574658.6194915255</v>
      </c>
      <c r="V79" s="20"/>
      <c r="W79" s="4">
        <f t="shared" si="9"/>
        <v>3.9476348917335535E-3</v>
      </c>
      <c r="X79" s="20">
        <f t="shared" si="10"/>
        <v>10123.846949152183</v>
      </c>
      <c r="Y79" s="17"/>
      <c r="Z79" s="30">
        <f t="shared" si="18"/>
        <v>1.0005376695066146</v>
      </c>
    </row>
    <row r="80" spans="1:26" x14ac:dyDescent="0.15">
      <c r="A80" s="1">
        <v>42795</v>
      </c>
      <c r="B80">
        <f t="shared" si="5"/>
        <v>3</v>
      </c>
      <c r="C80" s="30">
        <v>0</v>
      </c>
      <c r="D80" s="20">
        <v>1843085.66</v>
      </c>
      <c r="E80" s="20">
        <v>1843085.66</v>
      </c>
      <c r="F80" s="4">
        <f t="shared" si="28"/>
        <v>2.7405207953032917E-3</v>
      </c>
      <c r="G80">
        <v>-715.71</v>
      </c>
      <c r="H80">
        <v>0</v>
      </c>
      <c r="I80">
        <v>-715.71</v>
      </c>
      <c r="J80">
        <v>5728</v>
      </c>
      <c r="K80" s="30">
        <f>37.9166666-13</f>
        <v>24.916666599999999</v>
      </c>
      <c r="L80" s="18">
        <f t="shared" si="30"/>
        <v>5037.2066666000001</v>
      </c>
      <c r="M80" s="37">
        <f t="shared" si="29"/>
        <v>5037.2099999999627</v>
      </c>
      <c r="N80" s="17" t="s">
        <v>1911</v>
      </c>
      <c r="O80" s="41">
        <f ca="1">SUMIFS(Stock!$O:$O,Stock!$A:$A,'Asset Line A share'!$A80,Stock!$I:$I,O$2)</f>
        <v>0</v>
      </c>
      <c r="P80" s="41">
        <f ca="1">SUMIFS(Stock!$O:$O,Stock!$A:$A,'Asset Line A share'!$A80,Stock!$I:$I,P$2)</f>
        <v>943063</v>
      </c>
      <c r="Q80" s="40" t="str">
        <f t="shared" ca="1" si="24"/>
        <v/>
      </c>
      <c r="R80" s="40">
        <f t="shared" ca="1" si="25"/>
        <v>-7.589206659576296E-4</v>
      </c>
      <c r="S80" s="41">
        <f t="shared" ca="1" si="27"/>
        <v>688517.45019998855</v>
      </c>
      <c r="T80" s="30">
        <v>869700</v>
      </c>
      <c r="U80" s="20">
        <f t="shared" si="8"/>
        <v>2580119.5583050847</v>
      </c>
      <c r="V80" s="20"/>
      <c r="W80" s="4">
        <f t="shared" si="9"/>
        <v>2.1210341333088856E-3</v>
      </c>
      <c r="X80" s="20">
        <f t="shared" si="10"/>
        <v>5460.9388135592453</v>
      </c>
      <c r="Y80" s="17"/>
      <c r="Z80" s="30">
        <f t="shared" si="18"/>
        <v>1.0026598440552994</v>
      </c>
    </row>
    <row r="81" spans="1:26" ht="27" x14ac:dyDescent="0.15">
      <c r="A81" s="1">
        <v>42796</v>
      </c>
      <c r="B81">
        <f t="shared" si="5"/>
        <v>4</v>
      </c>
      <c r="C81" s="30">
        <v>0</v>
      </c>
      <c r="D81" s="20">
        <v>1843196.7</v>
      </c>
      <c r="E81" s="20">
        <v>1843196.7</v>
      </c>
      <c r="F81" s="4">
        <f t="shared" si="28"/>
        <v>6.0246792870088939E-5</v>
      </c>
      <c r="G81">
        <v>1775.5</v>
      </c>
      <c r="H81" s="30">
        <v>214.59</v>
      </c>
      <c r="I81" s="30">
        <v>1560.91</v>
      </c>
      <c r="J81">
        <v>-1754</v>
      </c>
      <c r="K81" s="30">
        <f>103.541666-14</f>
        <v>89.541666000000006</v>
      </c>
      <c r="L81" s="18">
        <f t="shared" si="30"/>
        <v>111.04166600000001</v>
      </c>
      <c r="M81" s="37">
        <f t="shared" si="29"/>
        <v>111.04000000003725</v>
      </c>
      <c r="N81" s="17" t="s">
        <v>1923</v>
      </c>
      <c r="O81" s="41">
        <f ca="1">SUMIFS(Stock!$O:$O,Stock!$A:$A,'Asset Line A share'!$A81,Stock!$I:$I,O$2)</f>
        <v>77510</v>
      </c>
      <c r="P81" s="41">
        <f ca="1">SUMIFS(Stock!$O:$O,Stock!$A:$A,'Asset Line A share'!$A81,Stock!$I:$I,P$2)</f>
        <v>144317</v>
      </c>
      <c r="Q81" s="40">
        <f t="shared" ca="1" si="24"/>
        <v>2.7685459940652818E-3</v>
      </c>
      <c r="R81" s="40">
        <f t="shared" ca="1" si="25"/>
        <v>1.0815842901390689E-2</v>
      </c>
      <c r="S81" s="41">
        <f t="shared" ca="1" si="27"/>
        <v>621710.45019998855</v>
      </c>
      <c r="T81" s="30">
        <v>869700</v>
      </c>
      <c r="U81" s="20">
        <f t="shared" si="8"/>
        <v>2580230.5983050847</v>
      </c>
      <c r="V81" s="20"/>
      <c r="W81" s="4">
        <f t="shared" si="9"/>
        <v>4.3036765347892469E-5</v>
      </c>
      <c r="X81" s="20">
        <f t="shared" si="10"/>
        <v>111.04000000003725</v>
      </c>
      <c r="Y81" s="17"/>
      <c r="Z81" s="30">
        <f t="shared" si="18"/>
        <v>1.0027029952917317</v>
      </c>
    </row>
    <row r="82" spans="1:26" x14ac:dyDescent="0.15">
      <c r="A82" s="1">
        <v>42797</v>
      </c>
      <c r="B82">
        <f t="shared" si="5"/>
        <v>5</v>
      </c>
      <c r="C82" s="30">
        <v>0</v>
      </c>
      <c r="D82" s="20">
        <v>1840099.52</v>
      </c>
      <c r="E82" s="20">
        <v>1840099.52</v>
      </c>
      <c r="F82" s="4">
        <f t="shared" si="28"/>
        <v>-1.6803306993767864E-3</v>
      </c>
      <c r="G82">
        <v>-1426.37</v>
      </c>
      <c r="H82" s="30">
        <v>-322.14999999999998</v>
      </c>
      <c r="I82">
        <v>-1104.22</v>
      </c>
      <c r="J82">
        <v>-1816</v>
      </c>
      <c r="K82" s="30">
        <f>157.3888888-13</f>
        <v>144.38888879999999</v>
      </c>
      <c r="L82" s="18">
        <f t="shared" ref="L82:L92" si="31">G82+J82+K82</f>
        <v>-3097.9811111999998</v>
      </c>
      <c r="M82" s="37">
        <f t="shared" si="29"/>
        <v>-3097.1799999999348</v>
      </c>
      <c r="N82" s="17" t="s">
        <v>1943</v>
      </c>
      <c r="O82" s="41">
        <f ca="1">SUMIFS(Stock!$O:$O,Stock!$A:$A,'Asset Line A share'!$A82,Stock!$I:$I,O$2)</f>
        <v>327910</v>
      </c>
      <c r="P82" s="41">
        <f ca="1">SUMIFS(Stock!$O:$O,Stock!$A:$A,'Asset Line A share'!$A82,Stock!$I:$I,P$2)</f>
        <v>410612</v>
      </c>
      <c r="Q82" s="40">
        <f t="shared" ca="1" si="24"/>
        <v>-9.8243420450733416E-4</v>
      </c>
      <c r="R82" s="40">
        <f t="shared" ca="1" si="25"/>
        <v>-2.6892053812358138E-3</v>
      </c>
      <c r="S82" s="41">
        <f t="shared" ca="1" si="27"/>
        <v>539008.45019998855</v>
      </c>
      <c r="T82" s="30">
        <v>869700</v>
      </c>
      <c r="U82" s="20">
        <f t="shared" si="8"/>
        <v>2577133.418305085</v>
      </c>
      <c r="V82" s="20"/>
      <c r="W82" s="4">
        <f t="shared" si="9"/>
        <v>-1.2003500780256582E-3</v>
      </c>
      <c r="X82" s="20">
        <f t="shared" si="10"/>
        <v>-3097.179999999702</v>
      </c>
      <c r="Y82" s="17"/>
      <c r="Z82" s="30">
        <f t="shared" si="18"/>
        <v>1.0014994006730966</v>
      </c>
    </row>
    <row r="83" spans="1:26" x14ac:dyDescent="0.15">
      <c r="A83" s="1">
        <v>42800</v>
      </c>
      <c r="B83">
        <f t="shared" si="5"/>
        <v>1</v>
      </c>
      <c r="C83" s="30">
        <v>0</v>
      </c>
      <c r="D83" s="20">
        <v>1838819.36</v>
      </c>
      <c r="E83" s="20">
        <v>1838819.36</v>
      </c>
      <c r="F83" s="4">
        <f t="shared" si="28"/>
        <v>-6.9570150205788828E-4</v>
      </c>
      <c r="G83">
        <v>-32.6</v>
      </c>
      <c r="H83" s="30">
        <v>0</v>
      </c>
      <c r="I83">
        <v>-32.6</v>
      </c>
      <c r="J83">
        <v>-1340</v>
      </c>
      <c r="K83" s="30">
        <f>104.4444-12</f>
        <v>92.444400000000002</v>
      </c>
      <c r="L83" s="18">
        <f t="shared" si="31"/>
        <v>-1280.1555999999998</v>
      </c>
      <c r="M83" s="37">
        <f t="shared" si="29"/>
        <v>-1280.1599999999162</v>
      </c>
      <c r="N83" s="17" t="s">
        <v>1946</v>
      </c>
      <c r="O83" s="41">
        <f ca="1">SUMIFS(Stock!$O:$O,Stock!$A:$A,'Asset Line A share'!$A83,Stock!$I:$I,O$2)</f>
        <v>0</v>
      </c>
      <c r="P83" s="41">
        <f ca="1">SUMIFS(Stock!$O:$O,Stock!$A:$A,'Asset Line A share'!$A83,Stock!$I:$I,P$2)</f>
        <v>75900</v>
      </c>
      <c r="Q83" s="40" t="str">
        <f t="shared" ca="1" si="24"/>
        <v/>
      </c>
      <c r="R83" s="40">
        <f t="shared" ca="1" si="25"/>
        <v>-4.2951251646903822E-4</v>
      </c>
      <c r="S83" s="41">
        <f t="shared" ca="1" si="27"/>
        <v>463108.45019998855</v>
      </c>
      <c r="T83" s="30">
        <v>869700</v>
      </c>
      <c r="U83" s="20">
        <f t="shared" si="8"/>
        <v>2575853.2583050849</v>
      </c>
      <c r="V83" s="20"/>
      <c r="W83" s="4">
        <f t="shared" si="9"/>
        <v>-4.9673796121973979E-4</v>
      </c>
      <c r="X83" s="20">
        <f t="shared" si="10"/>
        <v>-1280.160000000149</v>
      </c>
      <c r="Y83" s="17"/>
      <c r="Z83" s="30">
        <f t="shared" si="18"/>
        <v>1.0010019179026435</v>
      </c>
    </row>
    <row r="84" spans="1:26" x14ac:dyDescent="0.15">
      <c r="A84" s="1">
        <f>+A83+1</f>
        <v>42801</v>
      </c>
      <c r="B84" s="30">
        <f t="shared" si="5"/>
        <v>2</v>
      </c>
      <c r="C84" s="30">
        <v>0</v>
      </c>
      <c r="D84" s="20">
        <v>1840920.51</v>
      </c>
      <c r="E84" s="20">
        <v>1840920.51</v>
      </c>
      <c r="F84" s="4">
        <f t="shared" si="28"/>
        <v>1.1426625397286116E-3</v>
      </c>
      <c r="G84">
        <v>-1093.8599999999999</v>
      </c>
      <c r="H84">
        <v>0</v>
      </c>
      <c r="I84">
        <v>-1093.8599999999999</v>
      </c>
      <c r="J84">
        <v>3120</v>
      </c>
      <c r="K84" s="30">
        <f>93-18</f>
        <v>75</v>
      </c>
      <c r="L84" s="18">
        <f t="shared" si="31"/>
        <v>2101.1400000000003</v>
      </c>
      <c r="M84" s="37">
        <f t="shared" si="29"/>
        <v>2101.1499999999069</v>
      </c>
      <c r="N84" s="17" t="s">
        <v>1953</v>
      </c>
      <c r="O84" s="41">
        <f ca="1">SUMIFS(Stock!$O:$O,Stock!$A:$A,'Asset Line A share'!$A84,Stock!$I:$I,O$2)</f>
        <v>0</v>
      </c>
      <c r="P84" s="41">
        <f ca="1">SUMIFS(Stock!$O:$O,Stock!$A:$A,'Asset Line A share'!$A84,Stock!$I:$I,P$2)</f>
        <v>220437</v>
      </c>
      <c r="Q84" s="40" t="str">
        <f t="shared" ca="1" si="24"/>
        <v/>
      </c>
      <c r="R84" s="40">
        <f t="shared" ca="1" si="25"/>
        <v>-4.9622341077042416E-3</v>
      </c>
      <c r="S84" s="41">
        <f t="shared" ca="1" si="27"/>
        <v>242671.45019998855</v>
      </c>
      <c r="T84" s="30">
        <v>869700</v>
      </c>
      <c r="U84" s="20">
        <f t="shared" si="8"/>
        <v>2577954.4083050848</v>
      </c>
      <c r="V84" s="20"/>
      <c r="W84" s="4">
        <f t="shared" si="9"/>
        <v>8.1571028676630242E-4</v>
      </c>
      <c r="X84" s="20">
        <f t="shared" si="10"/>
        <v>2101.1499999999069</v>
      </c>
      <c r="Y84" s="17"/>
      <c r="Z84" s="30">
        <f t="shared" si="18"/>
        <v>1.0018184454641494</v>
      </c>
    </row>
    <row r="85" spans="1:26" x14ac:dyDescent="0.15">
      <c r="A85" s="1">
        <f t="shared" ref="A85:A87" si="32">+A84+1</f>
        <v>42802</v>
      </c>
      <c r="B85" s="30">
        <f t="shared" ref="B85:B193" si="33">WEEKDAY(A85,2)</f>
        <v>3</v>
      </c>
      <c r="C85" s="30">
        <v>0</v>
      </c>
      <c r="D85" s="20">
        <v>1840881.66</v>
      </c>
      <c r="E85" s="20">
        <v>1840881.66</v>
      </c>
      <c r="F85" s="4">
        <f t="shared" si="28"/>
        <v>-2.1103572799052728E-5</v>
      </c>
      <c r="G85">
        <v>-36.630000000000003</v>
      </c>
      <c r="H85">
        <v>0</v>
      </c>
      <c r="I85" s="30">
        <v>-36.630000000000003</v>
      </c>
      <c r="J85">
        <v>-124</v>
      </c>
      <c r="K85" s="30">
        <f>139.777777-18</f>
        <v>121.77777699999999</v>
      </c>
      <c r="L85" s="18">
        <f t="shared" si="31"/>
        <v>-38.852223000000009</v>
      </c>
      <c r="M85" s="37">
        <f t="shared" si="29"/>
        <v>-38.850000000093132</v>
      </c>
      <c r="N85" s="17" t="s">
        <v>1956</v>
      </c>
      <c r="O85" s="41">
        <f ca="1">SUMIFS(Stock!$O:$O,Stock!$A:$A,'Asset Line A share'!$A85,Stock!$I:$I,O$2)</f>
        <v>0</v>
      </c>
      <c r="P85" s="41">
        <f ca="1">SUMIFS(Stock!$O:$O,Stock!$A:$A,'Asset Line A share'!$A85,Stock!$I:$I,P$2)</f>
        <v>27083</v>
      </c>
      <c r="Q85" s="40" t="str">
        <f t="shared" ca="1" si="24"/>
        <v/>
      </c>
      <c r="R85" s="40">
        <f t="shared" ca="1" si="25"/>
        <v>-1.3525089539563565E-3</v>
      </c>
      <c r="S85" s="41">
        <f t="shared" ca="1" si="27"/>
        <v>215588.45019998855</v>
      </c>
      <c r="T85" s="30">
        <v>869700</v>
      </c>
      <c r="U85" s="20">
        <f t="shared" si="8"/>
        <v>2577915.5583050847</v>
      </c>
      <c r="V85" s="20"/>
      <c r="W85" s="4">
        <f t="shared" si="9"/>
        <v>-1.5070088080326727E-5</v>
      </c>
      <c r="X85" s="20">
        <f t="shared" si="10"/>
        <v>-38.850000000093132</v>
      </c>
      <c r="Y85" s="17"/>
      <c r="Z85" s="30">
        <f t="shared" si="18"/>
        <v>1.0018033479719357</v>
      </c>
    </row>
    <row r="86" spans="1:26" x14ac:dyDescent="0.15">
      <c r="A86" s="1">
        <f t="shared" si="32"/>
        <v>42803</v>
      </c>
      <c r="B86" s="30">
        <f t="shared" si="33"/>
        <v>4</v>
      </c>
      <c r="C86" s="30">
        <v>0</v>
      </c>
      <c r="D86" s="20">
        <v>1840917.66</v>
      </c>
      <c r="E86" s="20">
        <v>1840917.66</v>
      </c>
      <c r="F86" s="4">
        <f t="shared" si="28"/>
        <v>1.9555846952235001E-5</v>
      </c>
      <c r="G86">
        <v>0</v>
      </c>
      <c r="H86">
        <v>0</v>
      </c>
      <c r="I86">
        <v>0</v>
      </c>
      <c r="J86">
        <v>-86</v>
      </c>
      <c r="K86" s="30">
        <f>140-18</f>
        <v>122</v>
      </c>
      <c r="L86" s="18">
        <f t="shared" si="31"/>
        <v>36</v>
      </c>
      <c r="M86" s="37">
        <f t="shared" si="29"/>
        <v>36</v>
      </c>
      <c r="N86" s="17" t="s">
        <v>1957</v>
      </c>
      <c r="O86" s="41">
        <f ca="1">SUMIFS(Stock!$O:$O,Stock!$A:$A,'Asset Line A share'!$A86,Stock!$I:$I,O$2)</f>
        <v>0</v>
      </c>
      <c r="P86" s="41">
        <f ca="1">SUMIFS(Stock!$O:$O,Stock!$A:$A,'Asset Line A share'!$A86,Stock!$I:$I,P$2)</f>
        <v>0</v>
      </c>
      <c r="Q86" s="40" t="str">
        <f t="shared" ca="1" si="24"/>
        <v/>
      </c>
      <c r="R86" s="40" t="str">
        <f t="shared" ca="1" si="25"/>
        <v/>
      </c>
      <c r="S86" s="41">
        <f t="shared" ca="1" si="27"/>
        <v>215588.45019998855</v>
      </c>
      <c r="T86" s="30">
        <v>869700</v>
      </c>
      <c r="U86" s="20">
        <f t="shared" si="8"/>
        <v>2577951.5583050847</v>
      </c>
      <c r="V86" s="20"/>
      <c r="W86" s="4">
        <f t="shared" si="9"/>
        <v>1.3964770833485574E-5</v>
      </c>
      <c r="X86" s="20">
        <f t="shared" si="10"/>
        <v>36</v>
      </c>
      <c r="Y86" s="17"/>
      <c r="Z86" s="30">
        <f t="shared" si="18"/>
        <v>1.0018173379261104</v>
      </c>
    </row>
    <row r="87" spans="1:26" x14ac:dyDescent="0.15">
      <c r="A87" s="1">
        <f t="shared" si="32"/>
        <v>42804</v>
      </c>
      <c r="B87" s="30">
        <f t="shared" si="33"/>
        <v>5</v>
      </c>
      <c r="C87" s="30">
        <v>0</v>
      </c>
      <c r="D87" s="20">
        <v>1839104.99</v>
      </c>
      <c r="E87" s="20">
        <v>1839104.99</v>
      </c>
      <c r="F87" s="4">
        <f t="shared" si="28"/>
        <v>-9.8465566352379241E-4</v>
      </c>
      <c r="G87">
        <v>-1898.9</v>
      </c>
      <c r="H87" s="30">
        <v>-1899.9</v>
      </c>
      <c r="I87">
        <v>0</v>
      </c>
      <c r="J87">
        <v>-76</v>
      </c>
      <c r="K87" s="30">
        <f>176.25-14</f>
        <v>162.25</v>
      </c>
      <c r="L87" s="18">
        <f t="shared" si="31"/>
        <v>-1812.65</v>
      </c>
      <c r="M87" s="37">
        <f t="shared" si="29"/>
        <v>-1812.6699999999255</v>
      </c>
      <c r="N87" s="17" t="s">
        <v>1965</v>
      </c>
      <c r="O87" s="41">
        <f ca="1">SUMIFS(Stock!$O:$O,Stock!$A:$A,'Asset Line A share'!$A87,Stock!$I:$I,O$2)</f>
        <v>417681.99979999999</v>
      </c>
      <c r="P87" s="41">
        <f ca="1">SUMIFS(Stock!$O:$O,Stock!$A:$A,'Asset Line A share'!$A87,Stock!$I:$I,P$2)</f>
        <v>0</v>
      </c>
      <c r="Q87" s="40">
        <f t="shared" ca="1" si="24"/>
        <v>-4.5486757890206789E-3</v>
      </c>
      <c r="R87" s="40" t="str">
        <f t="shared" ca="1" si="25"/>
        <v/>
      </c>
      <c r="S87" s="41">
        <f t="shared" ca="1" si="27"/>
        <v>633270.44999998854</v>
      </c>
      <c r="T87" s="30">
        <v>869700</v>
      </c>
      <c r="U87" s="20">
        <f t="shared" si="8"/>
        <v>2576138.8883050848</v>
      </c>
      <c r="V87" s="20"/>
      <c r="W87" s="4">
        <f t="shared" si="9"/>
        <v>-7.0314354595235606E-4</v>
      </c>
      <c r="X87" s="20">
        <f t="shared" si="10"/>
        <v>-1812.6699999999255</v>
      </c>
      <c r="Y87" s="17"/>
      <c r="Z87" s="30">
        <f t="shared" si="18"/>
        <v>1.0011129165307244</v>
      </c>
    </row>
    <row r="88" spans="1:26" x14ac:dyDescent="0.15">
      <c r="A88" s="1">
        <v>42807</v>
      </c>
      <c r="B88" s="30">
        <f t="shared" si="33"/>
        <v>1</v>
      </c>
      <c r="C88" s="30">
        <v>0</v>
      </c>
      <c r="D88" s="20">
        <v>1841879.1</v>
      </c>
      <c r="E88" s="20">
        <v>1841879.1</v>
      </c>
      <c r="F88" s="4">
        <f t="shared" si="28"/>
        <v>1.5084021929603342E-3</v>
      </c>
      <c r="G88">
        <v>0</v>
      </c>
      <c r="H88">
        <v>0</v>
      </c>
      <c r="I88">
        <v>0</v>
      </c>
      <c r="J88">
        <v>2673</v>
      </c>
      <c r="K88" s="30">
        <f>115.1111-14</f>
        <v>101.11109999999999</v>
      </c>
      <c r="L88" s="18">
        <f t="shared" si="31"/>
        <v>2774.1111000000001</v>
      </c>
      <c r="M88" s="37">
        <f t="shared" si="29"/>
        <v>2774.1100000001024</v>
      </c>
      <c r="O88" s="41">
        <f ca="1">SUMIFS(Stock!$O:$O,Stock!$A:$A,'Asset Line A share'!$A88,Stock!$I:$I,O$2)</f>
        <v>0</v>
      </c>
      <c r="P88" s="41">
        <f ca="1">SUMIFS(Stock!$O:$O,Stock!$A:$A,'Asset Line A share'!$A88,Stock!$I:$I,P$2)</f>
        <v>0</v>
      </c>
      <c r="Q88" s="40" t="str">
        <f t="shared" ca="1" si="24"/>
        <v/>
      </c>
      <c r="R88" s="40" t="str">
        <f t="shared" ca="1" si="25"/>
        <v/>
      </c>
      <c r="S88" s="41">
        <f t="shared" ca="1" si="27"/>
        <v>633270.44999998854</v>
      </c>
      <c r="T88" s="30">
        <v>869700</v>
      </c>
      <c r="U88" s="20">
        <f t="shared" si="8"/>
        <v>2578912.9983050851</v>
      </c>
      <c r="V88" s="20"/>
      <c r="W88" s="4">
        <f t="shared" si="9"/>
        <v>1.0768479962761646E-3</v>
      </c>
      <c r="X88" s="20">
        <f t="shared" si="10"/>
        <v>2774.1100000003353</v>
      </c>
      <c r="Y88" s="17"/>
      <c r="Z88" s="30">
        <f t="shared" si="18"/>
        <v>1.0021909629689367</v>
      </c>
    </row>
    <row r="89" spans="1:26" x14ac:dyDescent="0.15">
      <c r="A89" s="1">
        <v>42808</v>
      </c>
      <c r="B89" s="30">
        <f t="shared" si="33"/>
        <v>2</v>
      </c>
      <c r="C89" s="30">
        <v>0</v>
      </c>
      <c r="D89" s="20">
        <v>1844103.13</v>
      </c>
      <c r="E89" s="20">
        <v>1844103.13</v>
      </c>
      <c r="F89" s="4">
        <f t="shared" si="28"/>
        <v>1.2074788187779184E-3</v>
      </c>
      <c r="G89">
        <v>0</v>
      </c>
      <c r="H89">
        <v>0</v>
      </c>
      <c r="I89">
        <v>0</v>
      </c>
      <c r="J89">
        <v>2127</v>
      </c>
      <c r="K89" s="30">
        <f>111.0278-14</f>
        <v>97.027799999999999</v>
      </c>
      <c r="L89" s="18">
        <f t="shared" si="31"/>
        <v>2224.0277999999998</v>
      </c>
      <c r="M89" s="37">
        <f t="shared" si="29"/>
        <v>2224.0299999997951</v>
      </c>
      <c r="N89" s="17" t="s">
        <v>1966</v>
      </c>
      <c r="O89" s="41">
        <f ca="1">SUMIFS(Stock!$O:$O,Stock!$A:$A,'Asset Line A share'!$A89,Stock!$I:$I,O$2)</f>
        <v>0</v>
      </c>
      <c r="P89" s="41">
        <f ca="1">SUMIFS(Stock!$O:$O,Stock!$A:$A,'Asset Line A share'!$A89,Stock!$I:$I,P$2)</f>
        <v>0</v>
      </c>
      <c r="Q89" s="40" t="str">
        <f t="shared" ca="1" si="24"/>
        <v/>
      </c>
      <c r="R89" s="40" t="str">
        <f t="shared" ca="1" si="25"/>
        <v/>
      </c>
      <c r="S89" s="41">
        <f t="shared" ca="1" si="27"/>
        <v>633270.44999998854</v>
      </c>
      <c r="T89" s="30">
        <v>869700</v>
      </c>
      <c r="U89" s="20">
        <f t="shared" ref="U89:U152" si="34">T89/1.18+E89</f>
        <v>2581137.0283050844</v>
      </c>
      <c r="V89" s="20"/>
      <c r="W89" s="4">
        <f t="shared" si="9"/>
        <v>8.6239047283132031E-4</v>
      </c>
      <c r="X89" s="20">
        <f t="shared" si="10"/>
        <v>2224.0299999993294</v>
      </c>
      <c r="Y89" s="17"/>
      <c r="Z89" s="30">
        <f t="shared" si="18"/>
        <v>1.0030552429073587</v>
      </c>
    </row>
    <row r="90" spans="1:26" x14ac:dyDescent="0.15">
      <c r="A90" s="1">
        <v>42809</v>
      </c>
      <c r="B90" s="30">
        <f t="shared" si="33"/>
        <v>3</v>
      </c>
      <c r="C90" s="30">
        <v>0</v>
      </c>
      <c r="D90" s="20">
        <v>1835661.38</v>
      </c>
      <c r="E90" s="20">
        <v>1835661.38</v>
      </c>
      <c r="F90" s="4">
        <f t="shared" si="28"/>
        <v>-4.5776995129334086E-3</v>
      </c>
      <c r="G90">
        <v>0</v>
      </c>
      <c r="H90">
        <v>0</v>
      </c>
      <c r="I90">
        <v>0</v>
      </c>
      <c r="J90">
        <v>-8538</v>
      </c>
      <c r="K90" s="30">
        <f>110.25-14</f>
        <v>96.25</v>
      </c>
      <c r="L90" s="18">
        <f t="shared" si="31"/>
        <v>-8441.75</v>
      </c>
      <c r="M90" s="37">
        <f t="shared" si="29"/>
        <v>-8441.75</v>
      </c>
      <c r="N90" s="17" t="s">
        <v>1967</v>
      </c>
      <c r="O90" s="41">
        <f ca="1">SUMIFS(Stock!$O:$O,Stock!$A:$A,'Asset Line A share'!$A90,Stock!$I:$I,O$2)</f>
        <v>0</v>
      </c>
      <c r="P90" s="41">
        <f ca="1">SUMIFS(Stock!$O:$O,Stock!$A:$A,'Asset Line A share'!$A90,Stock!$I:$I,P$2)</f>
        <v>0</v>
      </c>
      <c r="Q90" s="40" t="str">
        <f t="shared" ca="1" si="24"/>
        <v/>
      </c>
      <c r="R90" s="40" t="str">
        <f t="shared" ca="1" si="25"/>
        <v/>
      </c>
      <c r="S90" s="41">
        <f t="shared" ca="1" si="27"/>
        <v>633270.44999998854</v>
      </c>
      <c r="T90" s="30">
        <v>869700</v>
      </c>
      <c r="U90" s="20">
        <f t="shared" si="34"/>
        <v>2572695.2783050844</v>
      </c>
      <c r="V90" s="20"/>
      <c r="W90" s="4">
        <f t="shared" ref="W90:W92" si="35">U90/U89-1</f>
        <v>-3.2705547622721154E-3</v>
      </c>
      <c r="X90" s="20">
        <f t="shared" ref="X90:X153" si="36">(U90-V90)-(U89)</f>
        <v>-8441.75</v>
      </c>
      <c r="Y90" s="39"/>
      <c r="Z90" s="30">
        <f t="shared" si="18"/>
        <v>0.99977469580584599</v>
      </c>
    </row>
    <row r="91" spans="1:26" x14ac:dyDescent="0.15">
      <c r="A91" s="1">
        <v>42810</v>
      </c>
      <c r="B91" s="30">
        <f t="shared" si="33"/>
        <v>4</v>
      </c>
      <c r="C91" s="30">
        <v>0</v>
      </c>
      <c r="D91" s="20">
        <v>1843870.21</v>
      </c>
      <c r="E91" s="20">
        <v>1843870.21</v>
      </c>
      <c r="F91" s="4">
        <f t="shared" si="28"/>
        <v>4.4718650669657301E-3</v>
      </c>
      <c r="G91">
        <v>223.93</v>
      </c>
      <c r="H91">
        <v>779.95</v>
      </c>
      <c r="I91">
        <v>-556.02</v>
      </c>
      <c r="J91">
        <v>7872</v>
      </c>
      <c r="K91" s="30">
        <f>113.36-10</f>
        <v>103.36</v>
      </c>
      <c r="L91" s="18">
        <f t="shared" si="31"/>
        <v>8199.2900000000009</v>
      </c>
      <c r="M91" s="37">
        <f t="shared" si="29"/>
        <v>8208.8300000000745</v>
      </c>
      <c r="N91" s="52"/>
      <c r="O91" s="41">
        <f ca="1">SUMIFS(Stock!$O:$O,Stock!$A:$A,'Asset Line A share'!$A91,Stock!$I:$I,O$2)</f>
        <v>510105</v>
      </c>
      <c r="P91" s="41">
        <f ca="1">SUMIFS(Stock!$O:$O,Stock!$A:$A,'Asset Line A share'!$A91,Stock!$I:$I,P$2)</f>
        <v>218045</v>
      </c>
      <c r="Q91" s="40">
        <f t="shared" ca="1" si="24"/>
        <v>1.5289989315925153E-3</v>
      </c>
      <c r="R91" s="40">
        <f t="shared" ca="1" si="25"/>
        <v>-2.5500240775986607E-3</v>
      </c>
      <c r="S91" s="41">
        <f t="shared" ca="1" si="27"/>
        <v>925330.44999998854</v>
      </c>
      <c r="T91">
        <v>877000</v>
      </c>
      <c r="U91" s="20">
        <f t="shared" si="34"/>
        <v>2587090.548983051</v>
      </c>
      <c r="V91" s="20"/>
      <c r="W91" s="4">
        <f t="shared" si="35"/>
        <v>5.595404476915089E-3</v>
      </c>
      <c r="X91" s="20">
        <f t="shared" si="36"/>
        <v>14395.270677966531</v>
      </c>
      <c r="Y91" s="39"/>
      <c r="Z91" s="30">
        <f t="shared" si="18"/>
        <v>1.0053688396146645</v>
      </c>
    </row>
    <row r="92" spans="1:26" ht="27" x14ac:dyDescent="0.15">
      <c r="A92" s="1">
        <v>42811</v>
      </c>
      <c r="B92" s="30">
        <f t="shared" si="33"/>
        <v>5</v>
      </c>
      <c r="C92" s="30">
        <v>0</v>
      </c>
      <c r="D92" s="20">
        <v>1836966.88</v>
      </c>
      <c r="E92" s="20">
        <v>1836966.88</v>
      </c>
      <c r="F92" s="4">
        <f t="shared" si="28"/>
        <v>-3.7439348835730524E-3</v>
      </c>
      <c r="G92">
        <v>678.89000000000976</v>
      </c>
      <c r="H92">
        <v>0</v>
      </c>
      <c r="I92" s="30">
        <v>678.89000000000976</v>
      </c>
      <c r="J92">
        <v>-7720</v>
      </c>
      <c r="K92" s="30">
        <f>262.777777-125</f>
        <v>137.77777700000001</v>
      </c>
      <c r="L92" s="18">
        <f t="shared" si="31"/>
        <v>-6903.3322229999903</v>
      </c>
      <c r="M92" s="37">
        <f t="shared" si="29"/>
        <v>-6903.3300000000745</v>
      </c>
      <c r="N92" s="17" t="s">
        <v>1989</v>
      </c>
      <c r="O92" s="41">
        <f ca="1">SUMIFS(Stock!$O:$O,Stock!$A:$A,'Asset Line A share'!$A92,Stock!$I:$I,O$2)</f>
        <v>0</v>
      </c>
      <c r="P92" s="41">
        <f ca="1">SUMIFS(Stock!$O:$O,Stock!$A:$A,'Asset Line A share'!$A92,Stock!$I:$I,P$2)</f>
        <v>33700</v>
      </c>
      <c r="Q92" s="40" t="str">
        <f t="shared" ca="1" si="24"/>
        <v/>
      </c>
      <c r="R92" s="40">
        <f t="shared" ca="1" si="25"/>
        <v>2.0145103857567057E-2</v>
      </c>
      <c r="S92" s="41">
        <f t="shared" ca="1" si="27"/>
        <v>891630.44999998854</v>
      </c>
      <c r="T92">
        <v>867600</v>
      </c>
      <c r="U92" s="20">
        <f t="shared" si="34"/>
        <v>2572221.1172881355</v>
      </c>
      <c r="V92" s="20"/>
      <c r="W92" s="4">
        <f t="shared" si="35"/>
        <v>-5.7475497719863267E-3</v>
      </c>
      <c r="X92" s="20">
        <f t="shared" si="36"/>
        <v>-14869.431694915518</v>
      </c>
      <c r="Y92" s="17" t="s">
        <v>1991</v>
      </c>
      <c r="Z92" s="30">
        <f t="shared" si="18"/>
        <v>0.99959043216977506</v>
      </c>
    </row>
    <row r="93" spans="1:26" s="30" customFormat="1" x14ac:dyDescent="0.15">
      <c r="A93" s="1">
        <v>42814</v>
      </c>
      <c r="B93" s="30">
        <f t="shared" si="33"/>
        <v>1</v>
      </c>
      <c r="C93" s="30">
        <v>0</v>
      </c>
      <c r="D93" s="20">
        <v>1836958.13</v>
      </c>
      <c r="E93" s="20">
        <v>1836958.13</v>
      </c>
      <c r="F93" s="4">
        <f t="shared" si="28"/>
        <v>-4.7632867501423704E-6</v>
      </c>
      <c r="G93" s="30">
        <v>-258.68</v>
      </c>
      <c r="H93" s="30">
        <v>0</v>
      </c>
      <c r="I93" s="30">
        <v>-258.68</v>
      </c>
      <c r="J93" s="30">
        <v>127</v>
      </c>
      <c r="K93" s="30">
        <f>124.9306-7</f>
        <v>117.9306</v>
      </c>
      <c r="L93" s="18">
        <f t="shared" ref="L93:L101" si="37">G93+J93+K93</f>
        <v>-13.749400000000009</v>
      </c>
      <c r="M93" s="37">
        <f t="shared" si="29"/>
        <v>-8.75</v>
      </c>
      <c r="N93" s="17" t="s">
        <v>1998</v>
      </c>
      <c r="O93" s="41">
        <f ca="1">SUMIFS(Stock!$O:$O,Stock!$A:$A,'Asset Line A share'!$A93,Stock!$I:$I,O$2)</f>
        <v>0</v>
      </c>
      <c r="P93" s="41">
        <f ca="1">SUMIFS(Stock!$O:$O,Stock!$A:$A,'Asset Line A share'!$A93,Stock!$I:$I,P$2)</f>
        <v>323512</v>
      </c>
      <c r="Q93" s="40" t="str">
        <f t="shared" ca="1" si="24"/>
        <v/>
      </c>
      <c r="R93" s="40">
        <f t="shared" ca="1" si="25"/>
        <v>-7.9959939662207276E-4</v>
      </c>
      <c r="S93" s="41">
        <f t="shared" ca="1" si="27"/>
        <v>568118.44999998854</v>
      </c>
      <c r="T93" s="30">
        <v>867600</v>
      </c>
      <c r="U93" s="20">
        <f t="shared" si="34"/>
        <v>2572212.3672881355</v>
      </c>
      <c r="V93" s="20"/>
      <c r="W93" s="4">
        <f t="shared" ref="W93:W98" si="38">U93/U92-1</f>
        <v>-3.4017293230048651E-6</v>
      </c>
      <c r="X93" s="20">
        <f t="shared" si="36"/>
        <v>-8.75</v>
      </c>
      <c r="Y93" s="17"/>
      <c r="Z93" s="30">
        <f t="shared" si="18"/>
        <v>0.99958703183369091</v>
      </c>
    </row>
    <row r="94" spans="1:26" s="30" customFormat="1" x14ac:dyDescent="0.15">
      <c r="A94" s="1">
        <f>A93+1</f>
        <v>42815</v>
      </c>
      <c r="B94" s="30">
        <f t="shared" si="33"/>
        <v>2</v>
      </c>
      <c r="C94" s="30">
        <v>0</v>
      </c>
      <c r="D94" s="20">
        <v>1842302.1</v>
      </c>
      <c r="E94" s="20">
        <v>1842302.1</v>
      </c>
      <c r="F94" s="4">
        <f t="shared" si="28"/>
        <v>2.9091408849912792E-3</v>
      </c>
      <c r="G94" s="30">
        <v>-3936.2</v>
      </c>
      <c r="H94" s="30">
        <v>262.92</v>
      </c>
      <c r="I94" s="30">
        <v>-4199.12</v>
      </c>
      <c r="J94" s="30">
        <v>9089</v>
      </c>
      <c r="K94" s="30">
        <f>124.77777-10+76.38</f>
        <v>191.15777</v>
      </c>
      <c r="L94" s="18">
        <f t="shared" si="37"/>
        <v>5343.95777</v>
      </c>
      <c r="M94" s="37">
        <f t="shared" si="29"/>
        <v>5343.9700000002049</v>
      </c>
      <c r="N94" s="17" t="s">
        <v>2014</v>
      </c>
      <c r="O94" s="41">
        <f ca="1">SUMIFS(Stock!$O:$O,Stock!$A:$A,'Asset Line A share'!$A94,Stock!$I:$I,O$2)</f>
        <v>32180</v>
      </c>
      <c r="P94" s="41">
        <f ca="1">SUMIFS(Stock!$O:$O,Stock!$A:$A,'Asset Line A share'!$A94,Stock!$I:$I,P$2)</f>
        <v>187321</v>
      </c>
      <c r="Q94" s="40">
        <f t="shared" ca="1" si="24"/>
        <v>8.1702921068986956E-3</v>
      </c>
      <c r="R94" s="40">
        <f t="shared" ca="1" si="25"/>
        <v>-2.241670714975897E-2</v>
      </c>
      <c r="S94" s="41">
        <f t="shared" ca="1" si="27"/>
        <v>412977.44999998854</v>
      </c>
      <c r="T94" s="30">
        <v>867600</v>
      </c>
      <c r="U94" s="20">
        <f t="shared" si="34"/>
        <v>2577556.3372881357</v>
      </c>
      <c r="V94" s="20"/>
      <c r="W94" s="4">
        <f t="shared" si="38"/>
        <v>2.0775772902585921E-3</v>
      </c>
      <c r="X94" s="20">
        <f t="shared" si="36"/>
        <v>5343.9700000002049</v>
      </c>
      <c r="Y94" s="17"/>
      <c r="Z94" s="30">
        <f t="shared" si="18"/>
        <v>1.0016637511506656</v>
      </c>
    </row>
    <row r="95" spans="1:26" s="30" customFormat="1" x14ac:dyDescent="0.15">
      <c r="A95" s="1">
        <f t="shared" ref="A95:A102" si="39">A94+1</f>
        <v>42816</v>
      </c>
      <c r="B95" s="30">
        <f t="shared" si="33"/>
        <v>3</v>
      </c>
      <c r="C95" s="30">
        <v>0</v>
      </c>
      <c r="D95" s="20">
        <v>1842005.93</v>
      </c>
      <c r="E95" s="20">
        <v>1842005.93</v>
      </c>
      <c r="F95" s="4">
        <f t="shared" si="28"/>
        <v>-1.6076082201732511E-4</v>
      </c>
      <c r="G95" s="30">
        <v>-661.02</v>
      </c>
      <c r="H95" s="30">
        <v>0</v>
      </c>
      <c r="I95" s="30">
        <v>-669.71</v>
      </c>
      <c r="J95" s="30">
        <v>230</v>
      </c>
      <c r="K95" s="30">
        <f>144.833333-10</f>
        <v>134.83333300000001</v>
      </c>
      <c r="L95" s="18">
        <f t="shared" si="37"/>
        <v>-296.18666699999994</v>
      </c>
      <c r="M95" s="37">
        <f t="shared" si="29"/>
        <v>-296.17000000015832</v>
      </c>
      <c r="N95" s="17" t="s">
        <v>2015</v>
      </c>
      <c r="O95" s="41">
        <f ca="1">SUMIFS(Stock!$O:$O,Stock!$A:$A,'Asset Line A share'!$A95,Stock!$I:$I,O$2)</f>
        <v>0</v>
      </c>
      <c r="P95" s="41">
        <f ca="1">SUMIFS(Stock!$O:$O,Stock!$A:$A,'Asset Line A share'!$A95,Stock!$I:$I,P$2)</f>
        <v>75043</v>
      </c>
      <c r="Q95" s="40" t="str">
        <f t="shared" ca="1" si="24"/>
        <v/>
      </c>
      <c r="R95" s="40">
        <f t="shared" ca="1" si="25"/>
        <v>-8.9243500393107952E-3</v>
      </c>
      <c r="S95" s="41">
        <f t="shared" ca="1" si="27"/>
        <v>337934.44999998854</v>
      </c>
      <c r="T95" s="30">
        <v>867600</v>
      </c>
      <c r="U95" s="20">
        <f t="shared" si="34"/>
        <v>2577260.1672881357</v>
      </c>
      <c r="V95" s="20"/>
      <c r="W95" s="4">
        <f t="shared" si="38"/>
        <v>-1.1490340510322827E-4</v>
      </c>
      <c r="X95" s="20">
        <f t="shared" si="36"/>
        <v>-296.16999999992549</v>
      </c>
      <c r="Y95" s="17"/>
      <c r="Z95" s="30">
        <f t="shared" si="18"/>
        <v>1.0015486565748899</v>
      </c>
    </row>
    <row r="96" spans="1:26" s="30" customFormat="1" x14ac:dyDescent="0.15">
      <c r="A96" s="1">
        <f t="shared" si="39"/>
        <v>42817</v>
      </c>
      <c r="B96" s="30">
        <f t="shared" si="33"/>
        <v>4</v>
      </c>
      <c r="C96" s="30">
        <v>0</v>
      </c>
      <c r="D96" s="20">
        <v>1845814.03</v>
      </c>
      <c r="E96" s="20">
        <v>1845814.03</v>
      </c>
      <c r="F96" s="4">
        <f t="shared" si="28"/>
        <v>2.0673657657552802E-3</v>
      </c>
      <c r="G96" s="30">
        <v>3631.85</v>
      </c>
      <c r="H96" s="30">
        <v>3490.82</v>
      </c>
      <c r="I96" s="30">
        <v>141.03</v>
      </c>
      <c r="J96" s="30">
        <v>73</v>
      </c>
      <c r="K96" s="30">
        <f>108.26388888-5</f>
        <v>103.26388888</v>
      </c>
      <c r="L96" s="18">
        <f t="shared" si="37"/>
        <v>3808.1138888800001</v>
      </c>
      <c r="M96" s="37">
        <f t="shared" si="29"/>
        <v>3808.1000000000931</v>
      </c>
      <c r="N96" s="17" t="s">
        <v>2039</v>
      </c>
      <c r="O96" s="41">
        <f ca="1">SUMIFS(Stock!$O:$O,Stock!$A:$A,'Asset Line A share'!$A96,Stock!$I:$I,O$2)</f>
        <v>623647</v>
      </c>
      <c r="P96" s="41">
        <f ca="1">SUMIFS(Stock!$O:$O,Stock!$A:$A,'Asset Line A share'!$A96,Stock!$I:$I,P$2)</f>
        <v>48178</v>
      </c>
      <c r="Q96" s="40">
        <f t="shared" ca="1" si="24"/>
        <v>5.5974293149810709E-3</v>
      </c>
      <c r="R96" s="40">
        <f t="shared" ca="1" si="25"/>
        <v>2.9272697081655528E-3</v>
      </c>
      <c r="S96" s="41">
        <f t="shared" ca="1" si="27"/>
        <v>913403.44999998854</v>
      </c>
      <c r="T96" s="30">
        <v>867600</v>
      </c>
      <c r="U96" s="20">
        <f t="shared" si="34"/>
        <v>2581068.2672881358</v>
      </c>
      <c r="V96" s="20"/>
      <c r="W96" s="4">
        <f t="shared" si="38"/>
        <v>1.4775768656709598E-3</v>
      </c>
      <c r="X96" s="20">
        <f t="shared" si="36"/>
        <v>3808.1000000000931</v>
      </c>
      <c r="Y96" s="17"/>
      <c r="Z96" s="30">
        <f t="shared" si="18"/>
        <v>1.0030285216996888</v>
      </c>
    </row>
    <row r="97" spans="1:26" s="30" customFormat="1" x14ac:dyDescent="0.15">
      <c r="A97" s="1">
        <f t="shared" si="39"/>
        <v>42818</v>
      </c>
      <c r="B97" s="30">
        <f t="shared" si="33"/>
        <v>5</v>
      </c>
      <c r="C97" s="30">
        <v>0</v>
      </c>
      <c r="D97" s="20">
        <v>1846437.35</v>
      </c>
      <c r="E97" s="20">
        <v>1846437.35</v>
      </c>
      <c r="F97" s="4">
        <f t="shared" si="28"/>
        <v>3.3769382498416434E-4</v>
      </c>
      <c r="G97" s="30">
        <v>-1367.56</v>
      </c>
      <c r="H97" s="30">
        <v>0</v>
      </c>
      <c r="I97" s="30">
        <v>-1367.56</v>
      </c>
      <c r="J97" s="30">
        <v>1904</v>
      </c>
      <c r="K97" s="30">
        <f>96.875-10</f>
        <v>86.875</v>
      </c>
      <c r="L97" s="18">
        <f t="shared" si="37"/>
        <v>623.31500000000005</v>
      </c>
      <c r="M97" s="37">
        <f t="shared" si="29"/>
        <v>623.32000000006519</v>
      </c>
      <c r="N97" s="17"/>
      <c r="O97" s="41">
        <f ca="1">SUMIFS(Stock!$O:$O,Stock!$A:$A,'Asset Line A share'!$A97,Stock!$I:$I,O$2)</f>
        <v>0</v>
      </c>
      <c r="P97" s="41">
        <f ca="1">SUMIFS(Stock!$O:$O,Stock!$A:$A,'Asset Line A share'!$A97,Stock!$I:$I,P$2)</f>
        <v>551778</v>
      </c>
      <c r="Q97" s="40" t="str">
        <f t="shared" ca="1" si="24"/>
        <v/>
      </c>
      <c r="R97" s="40">
        <f t="shared" ca="1" si="25"/>
        <v>-2.4784605402897539E-3</v>
      </c>
      <c r="S97" s="41">
        <f t="shared" ca="1" si="27"/>
        <v>361625.44999998854</v>
      </c>
      <c r="T97" s="30">
        <v>867600</v>
      </c>
      <c r="U97" s="20">
        <f t="shared" si="34"/>
        <v>2581691.5872881357</v>
      </c>
      <c r="V97" s="20"/>
      <c r="W97" s="4">
        <f t="shared" si="38"/>
        <v>2.4149690571917404E-4</v>
      </c>
      <c r="X97" s="20">
        <f t="shared" si="36"/>
        <v>623.31999999983236</v>
      </c>
      <c r="Y97" s="17"/>
      <c r="Z97" s="30">
        <f t="shared" si="18"/>
        <v>1.0032707499840274</v>
      </c>
    </row>
    <row r="98" spans="1:26" s="30" customFormat="1" x14ac:dyDescent="0.15">
      <c r="A98" s="1">
        <v>42821</v>
      </c>
      <c r="B98" s="30">
        <f>WEEKDAY(A98,2)</f>
        <v>1</v>
      </c>
      <c r="C98" s="30">
        <v>0</v>
      </c>
      <c r="D98" s="20">
        <v>1842433.64</v>
      </c>
      <c r="E98" s="20">
        <v>1842433.64</v>
      </c>
      <c r="F98" s="4">
        <f t="shared" si="28"/>
        <v>-2.1683432692694016E-3</v>
      </c>
      <c r="G98" s="30">
        <v>-2645.54</v>
      </c>
      <c r="H98" s="30">
        <v>-2645.54</v>
      </c>
      <c r="I98" s="30">
        <v>0</v>
      </c>
      <c r="J98" s="30">
        <v>-1472</v>
      </c>
      <c r="K98" s="30">
        <f>121.833333-8</f>
        <v>113.833333</v>
      </c>
      <c r="L98" s="18">
        <f t="shared" si="37"/>
        <v>-4003.7066669999999</v>
      </c>
      <c r="M98" s="37">
        <f t="shared" si="29"/>
        <v>-4003.7100000001956</v>
      </c>
      <c r="N98" s="17" t="s">
        <v>2075</v>
      </c>
      <c r="O98" s="41">
        <f ca="1">SUMIFS(Stock!$O:$O,Stock!$A:$A,'Asset Line A share'!$A98,Stock!$I:$I,O$2)</f>
        <v>267077</v>
      </c>
      <c r="P98" s="41">
        <f ca="1">SUMIFS(Stock!$O:$O,Stock!$A:$A,'Asset Line A share'!$A98,Stock!$I:$I,P$2)</f>
        <v>0</v>
      </c>
      <c r="Q98" s="40">
        <f t="shared" ca="1" si="24"/>
        <v>-9.9055328613096589E-3</v>
      </c>
      <c r="R98" s="40" t="str">
        <f t="shared" ca="1" si="25"/>
        <v/>
      </c>
      <c r="S98" s="41">
        <f t="shared" ca="1" si="27"/>
        <v>628702.44999998854</v>
      </c>
      <c r="T98" s="30">
        <v>867600</v>
      </c>
      <c r="U98" s="20">
        <f t="shared" si="34"/>
        <v>2577687.8772881357</v>
      </c>
      <c r="V98" s="20"/>
      <c r="W98" s="4">
        <f t="shared" si="38"/>
        <v>-1.5508087874297471E-3</v>
      </c>
      <c r="X98" s="20">
        <f t="shared" si="36"/>
        <v>-4003.7099999999627</v>
      </c>
      <c r="Y98" s="17"/>
      <c r="Z98" s="30">
        <f t="shared" si="18"/>
        <v>1.0017148688887809</v>
      </c>
    </row>
    <row r="99" spans="1:26" s="30" customFormat="1" ht="27" x14ac:dyDescent="0.15">
      <c r="A99" s="1">
        <v>42822</v>
      </c>
      <c r="B99" s="30">
        <f t="shared" si="33"/>
        <v>2</v>
      </c>
      <c r="C99" s="30">
        <v>0</v>
      </c>
      <c r="D99" s="20">
        <v>1845753.28</v>
      </c>
      <c r="E99" s="20">
        <v>1845753.28</v>
      </c>
      <c r="F99" s="4">
        <f t="shared" si="28"/>
        <v>1.8017690992659929E-3</v>
      </c>
      <c r="G99" s="30">
        <v>-83.89</v>
      </c>
      <c r="H99" s="30">
        <v>1311.7</v>
      </c>
      <c r="I99" s="30">
        <v>-1395.59</v>
      </c>
      <c r="J99" s="30">
        <v>3293</v>
      </c>
      <c r="K99" s="30">
        <f>112.555555-2</f>
        <v>110.555555</v>
      </c>
      <c r="L99" s="18">
        <f t="shared" si="37"/>
        <v>3319.665555</v>
      </c>
      <c r="M99" s="37">
        <f t="shared" si="29"/>
        <v>3319.6400000001304</v>
      </c>
      <c r="N99" s="17" t="s">
        <v>2102</v>
      </c>
      <c r="O99" s="41">
        <f ca="1">SUMIFS(Stock!$O:$O,Stock!$A:$A,'Asset Line A share'!$A99,Stock!$I:$I,O$2)</f>
        <v>562654</v>
      </c>
      <c r="P99" s="41">
        <f ca="1">SUMIFS(Stock!$O:$O,Stock!$A:$A,'Asset Line A share'!$A99,Stock!$I:$I,P$2)</f>
        <v>81126</v>
      </c>
      <c r="Q99" s="40">
        <f t="shared" ca="1" si="24"/>
        <v>2.331272860407995E-3</v>
      </c>
      <c r="R99" s="40">
        <f t="shared" ca="1" si="25"/>
        <v>-1.7202746345191429E-2</v>
      </c>
      <c r="S99" s="41">
        <f t="shared" ca="1" si="27"/>
        <v>1110230.4499999885</v>
      </c>
      <c r="T99" s="30">
        <v>867600</v>
      </c>
      <c r="U99" s="20">
        <f t="shared" si="34"/>
        <v>2581007.5172881358</v>
      </c>
      <c r="V99" s="20"/>
      <c r="W99" s="4">
        <f>U99/U98-1</f>
        <v>1.2878362928456788E-3</v>
      </c>
      <c r="X99" s="20">
        <f t="shared" si="36"/>
        <v>3319.6400000001304</v>
      </c>
      <c r="Y99" s="17"/>
      <c r="Z99" s="30">
        <f t="shared" si="18"/>
        <v>1.0030049136520189</v>
      </c>
    </row>
    <row r="100" spans="1:26" s="30" customFormat="1" ht="27" x14ac:dyDescent="0.15">
      <c r="A100" s="1">
        <f t="shared" si="39"/>
        <v>42823</v>
      </c>
      <c r="B100" s="30">
        <f t="shared" si="33"/>
        <v>3</v>
      </c>
      <c r="C100" s="30">
        <v>0</v>
      </c>
      <c r="D100" s="20">
        <v>1849248.93</v>
      </c>
      <c r="E100" s="20">
        <v>1849248.93</v>
      </c>
      <c r="F100" s="4">
        <f t="shared" si="28"/>
        <v>1.8938880065271224E-3</v>
      </c>
      <c r="G100" s="30">
        <v>1125.6099999999999</v>
      </c>
      <c r="H100" s="30">
        <v>-233.27</v>
      </c>
      <c r="I100" s="30">
        <v>1358.88</v>
      </c>
      <c r="J100" s="30">
        <v>2341</v>
      </c>
      <c r="K100" s="30">
        <f>35.63888888-6</f>
        <v>29.638888880000003</v>
      </c>
      <c r="L100" s="18">
        <f t="shared" si="37"/>
        <v>3496.2488888799999</v>
      </c>
      <c r="M100" s="37">
        <f t="shared" si="29"/>
        <v>3495.6499999999069</v>
      </c>
      <c r="N100" s="17" t="s">
        <v>2130</v>
      </c>
      <c r="O100" s="41">
        <f ca="1">SUMIFS(Stock!$O:$O,Stock!$A:$A,'Asset Line A share'!$A100,Stock!$I:$I,O$2)</f>
        <v>186712</v>
      </c>
      <c r="P100" s="41">
        <f ca="1">SUMIFS(Stock!$O:$O,Stock!$A:$A,'Asset Line A share'!$A100,Stock!$I:$I,P$2)</f>
        <v>469059.6</v>
      </c>
      <c r="Q100" s="40">
        <f t="shared" ref="Q100:Q131" ca="1" si="40">IF(O100&lt;&gt;0,+H100/O100,"")</f>
        <v>-1.2493572989416856E-3</v>
      </c>
      <c r="R100" s="40">
        <f t="shared" ref="R100:R131" ca="1" si="41">IF(P100&lt;&gt;0,+I100/P100,"")</f>
        <v>2.8970305692496224E-3</v>
      </c>
      <c r="S100" s="41">
        <f t="shared" ca="1" si="27"/>
        <v>827882.84999998845</v>
      </c>
      <c r="T100" s="30">
        <v>873800</v>
      </c>
      <c r="U100" s="20">
        <f t="shared" si="34"/>
        <v>2589757.4045762713</v>
      </c>
      <c r="V100" s="20"/>
      <c r="W100" s="4">
        <f>U100/U99-1</f>
        <v>3.3901053094680389E-3</v>
      </c>
      <c r="X100" s="20">
        <f t="shared" si="36"/>
        <v>8749.8872881354764</v>
      </c>
      <c r="Y100" s="17"/>
      <c r="Z100" s="30">
        <f t="shared" si="18"/>
        <v>1.0064052059352131</v>
      </c>
    </row>
    <row r="101" spans="1:26" s="30" customFormat="1" ht="54" x14ac:dyDescent="0.15">
      <c r="A101" s="1">
        <f t="shared" si="39"/>
        <v>42824</v>
      </c>
      <c r="B101" s="30">
        <f t="shared" si="33"/>
        <v>4</v>
      </c>
      <c r="C101" s="30">
        <v>0</v>
      </c>
      <c r="D101" s="20">
        <v>1836816.95</v>
      </c>
      <c r="E101" s="20">
        <v>1836816.95</v>
      </c>
      <c r="F101" s="4">
        <f t="shared" si="28"/>
        <v>-6.7227185038847281E-3</v>
      </c>
      <c r="G101" s="30">
        <v>-1215.8</v>
      </c>
      <c r="H101" s="30">
        <v>-717.62</v>
      </c>
      <c r="I101" s="30">
        <v>-498.18</v>
      </c>
      <c r="J101" s="30">
        <v>-11341</v>
      </c>
      <c r="K101" s="30">
        <f>131.83333333-7</f>
        <v>124.83333332999999</v>
      </c>
      <c r="L101" s="18">
        <f t="shared" si="37"/>
        <v>-12431.96666667</v>
      </c>
      <c r="M101" s="37">
        <f t="shared" si="29"/>
        <v>-12431.979999999981</v>
      </c>
      <c r="N101" s="17" t="s">
        <v>2143</v>
      </c>
      <c r="O101" s="41">
        <f ca="1">SUMIFS(Stock!$O:$O,Stock!$A:$A,'Asset Line A share'!$A101,Stock!$I:$I,O$2)</f>
        <v>108841</v>
      </c>
      <c r="P101" s="41">
        <f ca="1">SUMIFS(Stock!$O:$O,Stock!$A:$A,'Asset Line A share'!$A101,Stock!$I:$I,P$2)</f>
        <v>188734</v>
      </c>
      <c r="Q101" s="40">
        <f t="shared" ca="1" si="40"/>
        <v>-6.5932874560138185E-3</v>
      </c>
      <c r="R101" s="40">
        <f t="shared" ca="1" si="41"/>
        <v>-2.6395879915648481E-3</v>
      </c>
      <c r="S101" s="41">
        <f t="shared" ca="1" si="27"/>
        <v>747989.84999998845</v>
      </c>
      <c r="T101" s="30">
        <v>873800</v>
      </c>
      <c r="U101" s="20">
        <f t="shared" si="34"/>
        <v>2577325.4245762713</v>
      </c>
      <c r="V101" s="20"/>
      <c r="W101" s="4">
        <f t="shared" ref="W101:W102" si="42">U101/U100-1</f>
        <v>-4.8004419170813994E-3</v>
      </c>
      <c r="X101" s="20">
        <f t="shared" si="36"/>
        <v>-12431.979999999981</v>
      </c>
      <c r="Y101" s="17"/>
      <c r="Z101" s="30">
        <f t="shared" si="18"/>
        <v>1.0015740161990727</v>
      </c>
    </row>
    <row r="102" spans="1:26" s="30" customFormat="1" x14ac:dyDescent="0.15">
      <c r="A102" s="1">
        <f t="shared" si="39"/>
        <v>42825</v>
      </c>
      <c r="B102" s="30">
        <f t="shared" si="33"/>
        <v>5</v>
      </c>
      <c r="C102" s="30">
        <v>0</v>
      </c>
      <c r="D102" s="20">
        <v>1846498.58</v>
      </c>
      <c r="E102" s="20">
        <v>1846498.58</v>
      </c>
      <c r="F102" s="4">
        <f t="shared" si="28"/>
        <v>5.2708736164484016E-3</v>
      </c>
      <c r="G102" s="30">
        <v>1862.2</v>
      </c>
      <c r="H102" s="30">
        <v>4571.78</v>
      </c>
      <c r="I102" s="30">
        <v>-2709.58</v>
      </c>
      <c r="J102" s="30">
        <v>7446</v>
      </c>
      <c r="K102" s="30">
        <f>375.41666666-2</f>
        <v>373.41666665999998</v>
      </c>
      <c r="L102" s="18">
        <f t="shared" ref="L102:L106" si="43">G102+J102+K102</f>
        <v>9681.6166666600002</v>
      </c>
      <c r="M102" s="37">
        <f t="shared" si="29"/>
        <v>9681.6300000001211</v>
      </c>
      <c r="N102" s="17" t="s">
        <v>2202</v>
      </c>
      <c r="O102" s="41">
        <f ca="1">SUMIFS(Stock!$O:$O,Stock!$A:$A,'Asset Line A share'!$A102,Stock!$I:$I,O$2)</f>
        <v>792843</v>
      </c>
      <c r="P102" s="41">
        <f ca="1">SUMIFS(Stock!$O:$O,Stock!$A:$A,'Asset Line A share'!$A102,Stock!$I:$I,P$2)</f>
        <v>528947</v>
      </c>
      <c r="Q102" s="40">
        <f t="shared" ca="1" si="40"/>
        <v>5.7663118675450242E-3</v>
      </c>
      <c r="R102" s="40">
        <f t="shared" ca="1" si="41"/>
        <v>-5.1225926227013293E-3</v>
      </c>
      <c r="S102" s="41">
        <f t="shared" ca="1" si="27"/>
        <v>1011885.8499999885</v>
      </c>
      <c r="T102" s="30">
        <v>875000</v>
      </c>
      <c r="U102" s="20">
        <f t="shared" si="34"/>
        <v>2588024.0037288135</v>
      </c>
      <c r="V102" s="20"/>
      <c r="W102" s="4">
        <f t="shared" si="42"/>
        <v>4.1510393101797938E-3</v>
      </c>
      <c r="X102" s="20">
        <f t="shared" si="36"/>
        <v>10698.579152542166</v>
      </c>
      <c r="Y102" s="17"/>
      <c r="Z102" s="30">
        <f t="shared" si="18"/>
        <v>1.0057315893123697</v>
      </c>
    </row>
    <row r="103" spans="1:26" s="30" customFormat="1" x14ac:dyDescent="0.15">
      <c r="A103" s="1">
        <v>42830</v>
      </c>
      <c r="B103" s="30">
        <f t="shared" si="33"/>
        <v>3</v>
      </c>
      <c r="C103" s="30">
        <v>0</v>
      </c>
      <c r="D103" s="20">
        <v>1859846.77</v>
      </c>
      <c r="E103" s="20">
        <v>1859846.77</v>
      </c>
      <c r="F103" s="4">
        <f t="shared" si="28"/>
        <v>7.2289197211297118E-3</v>
      </c>
      <c r="G103" s="30">
        <v>-3013.06</v>
      </c>
      <c r="H103" s="30">
        <v>745.77</v>
      </c>
      <c r="I103" s="30">
        <v>-3758.83</v>
      </c>
      <c r="J103" s="30">
        <v>16296</v>
      </c>
      <c r="K103" s="30">
        <f>68.75-3</f>
        <v>65.75</v>
      </c>
      <c r="L103" s="18">
        <f t="shared" si="43"/>
        <v>13348.69</v>
      </c>
      <c r="M103" s="37">
        <f t="shared" si="29"/>
        <v>13348.189999999944</v>
      </c>
      <c r="N103" s="17" t="s">
        <v>2244</v>
      </c>
      <c r="O103" s="41">
        <f ca="1">SUMIFS(Stock!$O:$O,Stock!$A:$A,'Asset Line A share'!$A103,Stock!$I:$I,O$2)</f>
        <v>619347</v>
      </c>
      <c r="P103" s="41">
        <f ca="1">SUMIFS(Stock!$O:$O,Stock!$A:$A,'Asset Line A share'!$A103,Stock!$I:$I,P$2)</f>
        <v>483892.5</v>
      </c>
      <c r="Q103" s="40">
        <f t="shared" ca="1" si="40"/>
        <v>1.2041230521823792E-3</v>
      </c>
      <c r="R103" s="40">
        <f t="shared" ca="1" si="41"/>
        <v>-7.7679029949833901E-3</v>
      </c>
      <c r="S103" s="41">
        <f t="shared" ca="1" si="27"/>
        <v>1147340.3499999885</v>
      </c>
      <c r="T103" s="30">
        <v>875000</v>
      </c>
      <c r="U103" s="20">
        <f t="shared" si="34"/>
        <v>2601372.1937288139</v>
      </c>
      <c r="V103" s="20"/>
      <c r="W103" s="4">
        <f t="shared" ref="W103:W105" si="44">U103/U102-1</f>
        <v>5.1576762737781667E-3</v>
      </c>
      <c r="X103" s="20">
        <f t="shared" si="36"/>
        <v>13348.19000000041</v>
      </c>
      <c r="Y103" s="17"/>
      <c r="Z103" s="30">
        <f t="shared" si="18"/>
        <v>1.0109188272683554</v>
      </c>
    </row>
    <row r="104" spans="1:26" s="30" customFormat="1" ht="27" x14ac:dyDescent="0.15">
      <c r="A104" s="1">
        <v>42831</v>
      </c>
      <c r="B104" s="30">
        <f t="shared" si="33"/>
        <v>4</v>
      </c>
      <c r="C104" s="30">
        <v>0</v>
      </c>
      <c r="D104" s="20">
        <v>1861649.16</v>
      </c>
      <c r="E104" s="20">
        <v>1861649.16</v>
      </c>
      <c r="F104" s="4">
        <f t="shared" si="28"/>
        <v>9.6910671839922635E-4</v>
      </c>
      <c r="G104" s="30">
        <v>-2266.5</v>
      </c>
      <c r="H104" s="30">
        <v>2215.09</v>
      </c>
      <c r="I104" s="30">
        <v>-4481.6400000000003</v>
      </c>
      <c r="J104" s="30">
        <v>4031</v>
      </c>
      <c r="K104" s="30">
        <f>45.93055555-8</f>
        <v>37.930555550000001</v>
      </c>
      <c r="L104" s="18">
        <f t="shared" si="43"/>
        <v>1802.43055555</v>
      </c>
      <c r="M104" s="37">
        <f t="shared" si="29"/>
        <v>1802.3899999998976</v>
      </c>
      <c r="N104" s="17" t="s">
        <v>2293</v>
      </c>
      <c r="O104" s="41">
        <f ca="1">SUMIFS(Stock!$O:$O,Stock!$A:$A,'Asset Line A share'!$A104,Stock!$I:$I,O$2)</f>
        <v>235924</v>
      </c>
      <c r="P104" s="41">
        <f ca="1">SUMIFS(Stock!$O:$O,Stock!$A:$A,'Asset Line A share'!$A104,Stock!$I:$I,P$2)</f>
        <v>757058</v>
      </c>
      <c r="Q104" s="40">
        <f t="shared" ca="1" si="40"/>
        <v>9.3889981519472386E-3</v>
      </c>
      <c r="R104" s="40">
        <f t="shared" ca="1" si="41"/>
        <v>-5.919810635380645E-3</v>
      </c>
      <c r="S104" s="41">
        <f t="shared" ca="1" si="27"/>
        <v>626206.34999998845</v>
      </c>
      <c r="T104" s="30">
        <v>875000</v>
      </c>
      <c r="U104" s="20">
        <f t="shared" si="34"/>
        <v>2603174.5837288136</v>
      </c>
      <c r="V104" s="20"/>
      <c r="W104" s="4">
        <f t="shared" si="44"/>
        <v>6.9286125389700359E-4</v>
      </c>
      <c r="X104" s="20">
        <f t="shared" si="36"/>
        <v>1802.3899999996647</v>
      </c>
      <c r="Y104" s="17"/>
      <c r="Z104" s="30">
        <f t="shared" si="18"/>
        <v>1.0116192537546047</v>
      </c>
    </row>
    <row r="105" spans="1:26" s="30" customFormat="1" x14ac:dyDescent="0.15">
      <c r="A105" s="1">
        <v>42832</v>
      </c>
      <c r="B105" s="30">
        <f t="shared" si="33"/>
        <v>5</v>
      </c>
      <c r="C105" s="30">
        <v>0</v>
      </c>
      <c r="D105" s="20">
        <v>1860820.03</v>
      </c>
      <c r="E105" s="20">
        <v>1860820.03</v>
      </c>
      <c r="F105" s="4">
        <f t="shared" si="28"/>
        <v>-4.4537392856547342E-4</v>
      </c>
      <c r="G105" s="30">
        <v>39.11</v>
      </c>
      <c r="H105" s="30">
        <v>600.30999999999995</v>
      </c>
      <c r="I105" s="30">
        <v>-561.20000000000005</v>
      </c>
      <c r="J105" s="30">
        <v>-1044</v>
      </c>
      <c r="K105" s="30">
        <f>176.722222-1</f>
        <v>175.72222199999999</v>
      </c>
      <c r="L105" s="18">
        <f t="shared" si="43"/>
        <v>-829.167778</v>
      </c>
      <c r="M105" s="37">
        <f t="shared" si="29"/>
        <v>-829.12999999988824</v>
      </c>
      <c r="N105" s="17"/>
      <c r="O105" s="41">
        <f ca="1">SUMIFS(Stock!$O:$O,Stock!$A:$A,'Asset Line A share'!$A105,Stock!$I:$I,O$2)</f>
        <v>808503</v>
      </c>
      <c r="P105" s="41">
        <f ca="1">SUMIFS(Stock!$O:$O,Stock!$A:$A,'Asset Line A share'!$A105,Stock!$I:$I,P$2)</f>
        <v>179482</v>
      </c>
      <c r="Q105" s="40">
        <f t="shared" ca="1" si="40"/>
        <v>7.4249569884094423E-4</v>
      </c>
      <c r="R105" s="40">
        <f t="shared" ca="1" si="41"/>
        <v>-3.1267759441058157E-3</v>
      </c>
      <c r="S105" s="41">
        <f t="shared" ca="1" si="27"/>
        <v>1255227.3499999885</v>
      </c>
      <c r="T105" s="30">
        <v>877000</v>
      </c>
      <c r="U105" s="20">
        <f t="shared" si="34"/>
        <v>2604040.3689830508</v>
      </c>
      <c r="V105" s="20"/>
      <c r="W105" s="4">
        <f t="shared" si="44"/>
        <v>3.3258824039261725E-4</v>
      </c>
      <c r="X105" s="20">
        <f t="shared" si="36"/>
        <v>865.78525423724204</v>
      </c>
      <c r="Y105" s="17"/>
      <c r="Z105" s="30">
        <f t="shared" si="18"/>
        <v>1.0119557064221583</v>
      </c>
    </row>
    <row r="106" spans="1:26" s="30" customFormat="1" ht="40.5" x14ac:dyDescent="0.15">
      <c r="A106" s="1">
        <v>42835</v>
      </c>
      <c r="B106" s="30">
        <f t="shared" si="33"/>
        <v>1</v>
      </c>
      <c r="C106" s="30">
        <v>0</v>
      </c>
      <c r="D106" s="20">
        <v>1848642.9</v>
      </c>
      <c r="E106" s="20">
        <v>1848642.9</v>
      </c>
      <c r="F106" s="4">
        <f t="shared" si="28"/>
        <v>-6.5439590092977173E-3</v>
      </c>
      <c r="G106" s="30">
        <v>-1700.6</v>
      </c>
      <c r="H106" s="30">
        <v>-1024.94</v>
      </c>
      <c r="I106" s="30">
        <v>-675.12</v>
      </c>
      <c r="J106" s="30">
        <v>-10484</v>
      </c>
      <c r="K106" s="30">
        <v>6.9444439999999998</v>
      </c>
      <c r="L106" s="18">
        <f t="shared" si="43"/>
        <v>-12177.655556</v>
      </c>
      <c r="M106" s="37">
        <f t="shared" ref="M106:M137" si="45">+E106-E105</f>
        <v>-12177.130000000121</v>
      </c>
      <c r="N106" s="17" t="s">
        <v>2375</v>
      </c>
      <c r="O106" s="41">
        <f ca="1">SUMIFS(Stock!$O:$O,Stock!$A:$A,'Asset Line A share'!$A106,Stock!$I:$I,O$2)</f>
        <v>566542</v>
      </c>
      <c r="P106" s="41">
        <f ca="1">SUMIFS(Stock!$O:$O,Stock!$A:$A,'Asset Line A share'!$A106,Stock!$I:$I,P$2)</f>
        <v>720497</v>
      </c>
      <c r="Q106" s="40">
        <f t="shared" ca="1" si="40"/>
        <v>-1.8091156525023742E-3</v>
      </c>
      <c r="R106" s="40">
        <f t="shared" ca="1" si="41"/>
        <v>-9.3701986267812358E-4</v>
      </c>
      <c r="S106" s="41">
        <f t="shared" ca="1" si="27"/>
        <v>1101272.3499999885</v>
      </c>
      <c r="T106" s="30">
        <v>876000</v>
      </c>
      <c r="U106" s="20">
        <f t="shared" si="34"/>
        <v>2591015.7813559324</v>
      </c>
      <c r="V106" s="20"/>
      <c r="W106" s="4">
        <f t="shared" ref="W106:W111" si="46">U106/U105-1</f>
        <v>-5.0016842220479418E-3</v>
      </c>
      <c r="X106" s="20">
        <f t="shared" si="36"/>
        <v>-13024.587627118453</v>
      </c>
      <c r="Y106" s="17"/>
      <c r="Z106" s="30">
        <f t="shared" si="18"/>
        <v>1.0068942235319351</v>
      </c>
    </row>
    <row r="107" spans="1:26" s="30" customFormat="1" x14ac:dyDescent="0.15">
      <c r="A107" s="1">
        <v>42836</v>
      </c>
      <c r="B107" s="30">
        <f t="shared" si="33"/>
        <v>2</v>
      </c>
      <c r="C107" s="30">
        <v>0</v>
      </c>
      <c r="D107" s="20">
        <v>1854724.91</v>
      </c>
      <c r="E107" s="20">
        <v>1854724.91</v>
      </c>
      <c r="F107" s="4">
        <f t="shared" ref="F107:F228" si="47">+E107/(E106)-1</f>
        <v>3.2899864002939871E-3</v>
      </c>
      <c r="G107" s="30">
        <v>2039.49</v>
      </c>
      <c r="H107" s="30">
        <v>3501.53</v>
      </c>
      <c r="I107" s="30">
        <v>-1462.04</v>
      </c>
      <c r="J107" s="30">
        <v>4042</v>
      </c>
      <c r="K107" s="30">
        <v>0</v>
      </c>
      <c r="L107" s="18">
        <f t="shared" ref="L107:L112" si="48">G107+J107+K107</f>
        <v>6081.49</v>
      </c>
      <c r="M107" s="37">
        <f t="shared" si="45"/>
        <v>6082.0100000000093</v>
      </c>
      <c r="N107" s="17"/>
      <c r="O107" s="41">
        <f ca="1">SUMIFS(Stock!$O:$O,Stock!$A:$A,'Asset Line A share'!$A107,Stock!$I:$I,O$2)</f>
        <v>444735</v>
      </c>
      <c r="P107" s="41">
        <f ca="1">SUMIFS(Stock!$O:$O,Stock!$A:$A,'Asset Line A share'!$A107,Stock!$I:$I,P$2)</f>
        <v>627004</v>
      </c>
      <c r="Q107" s="40">
        <f t="shared" ca="1" si="40"/>
        <v>7.8732953331759371E-3</v>
      </c>
      <c r="R107" s="40">
        <f t="shared" ca="1" si="41"/>
        <v>-2.3317873570184561E-3</v>
      </c>
      <c r="S107" s="41">
        <f t="shared" ca="1" si="27"/>
        <v>919003.34999998845</v>
      </c>
      <c r="T107" s="30">
        <v>878300</v>
      </c>
      <c r="U107" s="20">
        <f t="shared" si="34"/>
        <v>2599046.9438983053</v>
      </c>
      <c r="V107" s="20"/>
      <c r="W107" s="4">
        <f t="shared" si="46"/>
        <v>3.0996193076717748E-3</v>
      </c>
      <c r="X107" s="20">
        <f t="shared" si="36"/>
        <v>8031.162542372942</v>
      </c>
      <c r="Y107" s="17"/>
      <c r="Z107" s="30">
        <f t="shared" si="18"/>
        <v>1.010015212307978</v>
      </c>
    </row>
    <row r="108" spans="1:26" s="30" customFormat="1" x14ac:dyDescent="0.15">
      <c r="A108" s="1">
        <v>42837</v>
      </c>
      <c r="B108" s="30">
        <f t="shared" si="33"/>
        <v>3</v>
      </c>
      <c r="C108" s="30">
        <v>0</v>
      </c>
      <c r="D108" s="20">
        <v>1848839.96</v>
      </c>
      <c r="E108" s="20">
        <v>1848839.96</v>
      </c>
      <c r="F108" s="4">
        <f t="shared" si="47"/>
        <v>-3.1729503217811095E-3</v>
      </c>
      <c r="G108" s="30">
        <v>-4628.96</v>
      </c>
      <c r="H108" s="30">
        <v>-314.82</v>
      </c>
      <c r="I108" s="30">
        <v>-4314.1400000000003</v>
      </c>
      <c r="J108" s="30">
        <v>-1252</v>
      </c>
      <c r="K108" s="30">
        <v>-4</v>
      </c>
      <c r="L108" s="18">
        <f t="shared" si="48"/>
        <v>-5884.96</v>
      </c>
      <c r="M108" s="37">
        <f t="shared" si="45"/>
        <v>-5884.9499999999534</v>
      </c>
      <c r="N108" s="17"/>
      <c r="O108" s="41">
        <f ca="1">SUMIFS(Stock!$O:$O,Stock!$A:$A,'Asset Line A share'!$A108,Stock!$I:$I,O$2)</f>
        <v>549126</v>
      </c>
      <c r="P108" s="41">
        <f ca="1">SUMIFS(Stock!$O:$O,Stock!$A:$A,'Asset Line A share'!$A108,Stock!$I:$I,P$2)</f>
        <v>586265</v>
      </c>
      <c r="Q108" s="40">
        <f t="shared" ca="1" si="40"/>
        <v>-5.7331104336709612E-4</v>
      </c>
      <c r="R108" s="40">
        <f t="shared" ca="1" si="41"/>
        <v>-7.3586859184839627E-3</v>
      </c>
      <c r="S108" s="41">
        <f t="shared" ca="1" si="27"/>
        <v>881864.34999998845</v>
      </c>
      <c r="T108" s="30">
        <v>879200</v>
      </c>
      <c r="U108" s="20">
        <f t="shared" si="34"/>
        <v>2593924.7057627118</v>
      </c>
      <c r="V108" s="20"/>
      <c r="W108" s="4">
        <f t="shared" si="46"/>
        <v>-1.9708140122742801E-3</v>
      </c>
      <c r="X108" s="20">
        <f t="shared" si="36"/>
        <v>-5122.2381355934776</v>
      </c>
      <c r="Y108" s="17"/>
      <c r="Z108" s="30">
        <f t="shared" si="18"/>
        <v>1.0080246601749512</v>
      </c>
    </row>
    <row r="109" spans="1:26" s="30" customFormat="1" x14ac:dyDescent="0.15">
      <c r="A109" s="1">
        <v>42838</v>
      </c>
      <c r="B109" s="30">
        <f t="shared" si="33"/>
        <v>4</v>
      </c>
      <c r="C109" s="30">
        <v>0</v>
      </c>
      <c r="D109" s="20">
        <v>1846112.03</v>
      </c>
      <c r="E109" s="20">
        <v>1846112.03</v>
      </c>
      <c r="F109" s="4">
        <f t="shared" si="47"/>
        <v>-1.4754819557231125E-3</v>
      </c>
      <c r="G109" s="30">
        <v>-1494.54</v>
      </c>
      <c r="H109" s="30">
        <v>-85.76</v>
      </c>
      <c r="I109" s="30">
        <v>-1408.78</v>
      </c>
      <c r="J109" s="30">
        <v>-1252</v>
      </c>
      <c r="K109" s="30">
        <f>25.33333-7</f>
        <v>18.33333</v>
      </c>
      <c r="L109" s="18">
        <f t="shared" si="48"/>
        <v>-2728.20667</v>
      </c>
      <c r="M109" s="37">
        <f t="shared" si="45"/>
        <v>-2727.9299999999348</v>
      </c>
      <c r="N109" s="17"/>
      <c r="O109" s="41">
        <f ca="1">SUMIFS(Stock!$O:$O,Stock!$A:$A,'Asset Line A share'!$A109,Stock!$I:$I,O$2)</f>
        <v>244143</v>
      </c>
      <c r="P109" s="41">
        <f ca="1">SUMIFS(Stock!$O:$O,Stock!$A:$A,'Asset Line A share'!$A109,Stock!$I:$I,P$2)</f>
        <v>538017.69999999995</v>
      </c>
      <c r="Q109" s="40">
        <f t="shared" ca="1" si="40"/>
        <v>-3.5126954284988719E-4</v>
      </c>
      <c r="R109" s="40">
        <f t="shared" ca="1" si="41"/>
        <v>-2.6184640393801173E-3</v>
      </c>
      <c r="S109" s="41">
        <f t="shared" ca="1" si="27"/>
        <v>587989.6499999885</v>
      </c>
      <c r="T109" s="30">
        <v>879100</v>
      </c>
      <c r="U109" s="20">
        <f t="shared" si="34"/>
        <v>2591112.0300000003</v>
      </c>
      <c r="V109" s="20"/>
      <c r="W109" s="4">
        <f t="shared" si="46"/>
        <v>-1.0843320765876463E-3</v>
      </c>
      <c r="X109" s="20">
        <f t="shared" si="36"/>
        <v>-2812.6757627115585</v>
      </c>
      <c r="Y109" s="17"/>
      <c r="Z109" s="30">
        <f t="shared" si="18"/>
        <v>1.0069316267019321</v>
      </c>
    </row>
    <row r="110" spans="1:26" s="30" customFormat="1" x14ac:dyDescent="0.15">
      <c r="A110" s="1">
        <v>42839</v>
      </c>
      <c r="B110" s="30">
        <f t="shared" si="33"/>
        <v>5</v>
      </c>
      <c r="C110" s="30">
        <v>0</v>
      </c>
      <c r="D110" s="20">
        <v>1849410.46</v>
      </c>
      <c r="E110" s="20">
        <v>1849410.46</v>
      </c>
      <c r="F110" s="4">
        <f t="shared" si="47"/>
        <v>1.7866900526073426E-3</v>
      </c>
      <c r="G110" s="30">
        <v>-935.35</v>
      </c>
      <c r="H110" s="30">
        <v>85.44</v>
      </c>
      <c r="I110" s="30">
        <v>-1020.79</v>
      </c>
      <c r="J110" s="30">
        <v>2071</v>
      </c>
      <c r="K110" s="30">
        <f>(4.52%*600000/360*28)+68.444444-13</f>
        <v>2164.7777773333332</v>
      </c>
      <c r="L110" s="18">
        <f t="shared" si="48"/>
        <v>3300.4277773333333</v>
      </c>
      <c r="M110" s="37">
        <f t="shared" si="45"/>
        <v>3298.4299999999348</v>
      </c>
      <c r="N110" s="17" t="s">
        <v>1990</v>
      </c>
      <c r="O110" s="41">
        <f ca="1">SUMIFS(Stock!$O:$O,Stock!$A:$A,'Asset Line A share'!$A110,Stock!$I:$I,O$2)</f>
        <v>197812</v>
      </c>
      <c r="P110" s="41">
        <f ca="1">SUMIFS(Stock!$O:$O,Stock!$A:$A,'Asset Line A share'!$A110,Stock!$I:$I,P$2)</f>
        <v>279532</v>
      </c>
      <c r="Q110" s="40">
        <f t="shared" ca="1" si="40"/>
        <v>4.319252623703314E-4</v>
      </c>
      <c r="R110" s="40">
        <f t="shared" ca="1" si="41"/>
        <v>-3.6517822646423307E-3</v>
      </c>
      <c r="S110" s="41">
        <f t="shared" ca="1" si="27"/>
        <v>506269.6499999885</v>
      </c>
      <c r="T110" s="30">
        <v>876300</v>
      </c>
      <c r="U110" s="20">
        <f t="shared" si="34"/>
        <v>2592037.578644068</v>
      </c>
      <c r="V110" s="20"/>
      <c r="W110" s="4">
        <f t="shared" si="46"/>
        <v>3.5720132257943682E-4</v>
      </c>
      <c r="X110" s="20">
        <f t="shared" si="36"/>
        <v>925.54864406771958</v>
      </c>
      <c r="Y110" s="17"/>
      <c r="Z110" s="30">
        <f t="shared" ref="Z110:Z162" si="49">Z109*(1+W110)</f>
        <v>1.0072913040107372</v>
      </c>
    </row>
    <row r="111" spans="1:26" x14ac:dyDescent="0.15">
      <c r="A111" s="1">
        <v>42842</v>
      </c>
      <c r="B111" s="30">
        <f t="shared" si="33"/>
        <v>1</v>
      </c>
      <c r="C111" s="30">
        <v>0</v>
      </c>
      <c r="D111" s="20">
        <v>1855651.76</v>
      </c>
      <c r="E111" s="20">
        <v>1855651.76</v>
      </c>
      <c r="F111" s="4">
        <f t="shared" si="47"/>
        <v>3.3747511085235882E-3</v>
      </c>
      <c r="G111">
        <v>5080.09</v>
      </c>
      <c r="H111" s="30">
        <v>5071.84</v>
      </c>
      <c r="I111" s="30">
        <v>8.25</v>
      </c>
      <c r="J111">
        <v>1062</v>
      </c>
      <c r="K111" s="30">
        <f>107.1805555-8</f>
        <v>99.180555499999997</v>
      </c>
      <c r="L111" s="18">
        <f t="shared" si="48"/>
        <v>6241.2705555000002</v>
      </c>
      <c r="M111" s="37">
        <f t="shared" si="45"/>
        <v>6241.3000000000466</v>
      </c>
      <c r="N111" s="17" t="s">
        <v>2535</v>
      </c>
      <c r="O111" s="41">
        <f ca="1">SUMIFS(Stock!$O:$O,Stock!$A:$A,'Asset Line A share'!$A111,Stock!$I:$I,O$2)</f>
        <v>726191</v>
      </c>
      <c r="P111" s="41">
        <f ca="1">SUMIFS(Stock!$O:$O,Stock!$A:$A,'Asset Line A share'!$A111,Stock!$I:$I,P$2)</f>
        <v>128121</v>
      </c>
      <c r="Q111" s="40">
        <f t="shared" ca="1" si="40"/>
        <v>6.9841680769935181E-3</v>
      </c>
      <c r="R111" s="40">
        <f t="shared" ca="1" si="41"/>
        <v>6.4392254197204209E-5</v>
      </c>
      <c r="S111" s="41">
        <f t="shared" ca="1" si="27"/>
        <v>1104339.6499999885</v>
      </c>
      <c r="T111" s="30">
        <v>877400</v>
      </c>
      <c r="U111" s="20">
        <f t="shared" si="34"/>
        <v>2599211.0820338982</v>
      </c>
      <c r="V111" s="20"/>
      <c r="W111" s="4">
        <f t="shared" si="46"/>
        <v>2.7675151968988843E-3</v>
      </c>
      <c r="X111" s="20">
        <f t="shared" si="36"/>
        <v>7173.5033898302354</v>
      </c>
      <c r="Y111" s="17"/>
      <c r="Z111" s="30">
        <f t="shared" si="49"/>
        <v>1.0100789980022911</v>
      </c>
    </row>
    <row r="112" spans="1:26" ht="67.5" x14ac:dyDescent="0.15">
      <c r="A112" s="1">
        <v>42843</v>
      </c>
      <c r="B112" s="30">
        <f t="shared" si="33"/>
        <v>2</v>
      </c>
      <c r="C112" s="30">
        <v>0</v>
      </c>
      <c r="D112" s="20">
        <v>1853418.06</v>
      </c>
      <c r="E112" s="20">
        <v>1853418.06</v>
      </c>
      <c r="F112" s="4">
        <f t="shared" si="47"/>
        <v>-1.2037280098287084E-3</v>
      </c>
      <c r="G112">
        <v>-646.71</v>
      </c>
      <c r="H112">
        <v>-577.15</v>
      </c>
      <c r="I112">
        <v>-69.56</v>
      </c>
      <c r="J112">
        <v>-1643</v>
      </c>
      <c r="K112" s="30">
        <f>62.22222-7</f>
        <v>55.22222</v>
      </c>
      <c r="L112" s="18">
        <f t="shared" si="48"/>
        <v>-2234.4877799999999</v>
      </c>
      <c r="M112" s="37">
        <f t="shared" si="45"/>
        <v>-2233.6999999999534</v>
      </c>
      <c r="N112" s="17" t="s">
        <v>2554</v>
      </c>
      <c r="O112" s="41">
        <f ca="1">SUMIFS(Stock!$O:$O,Stock!$A:$A,'Asset Line A share'!$A112,Stock!$I:$I,O$2)</f>
        <v>542256.80000000005</v>
      </c>
      <c r="P112" s="41">
        <f ca="1">SUMIFS(Stock!$O:$O,Stock!$A:$A,'Asset Line A share'!$A112,Stock!$I:$I,P$2)</f>
        <v>473039</v>
      </c>
      <c r="Q112" s="40">
        <f t="shared" ca="1" si="40"/>
        <v>-1.0643481096041579E-3</v>
      </c>
      <c r="R112" s="40">
        <f t="shared" ca="1" si="41"/>
        <v>-1.4704918621931808E-4</v>
      </c>
      <c r="S112" s="41">
        <f t="shared" ca="1" si="27"/>
        <v>1173557.4499999885</v>
      </c>
      <c r="T112" s="30">
        <v>877400</v>
      </c>
      <c r="U112" s="20">
        <f t="shared" si="34"/>
        <v>2596977.3820338985</v>
      </c>
      <c r="V112" s="20"/>
      <c r="W112" s="4">
        <f t="shared" ref="W112" si="50">U112/U111-1</f>
        <v>-8.5937614510778193E-4</v>
      </c>
      <c r="X112" s="20">
        <f t="shared" si="36"/>
        <v>-2233.6999999997206</v>
      </c>
      <c r="Y112" s="17"/>
      <c r="Z112" s="30">
        <f t="shared" si="49"/>
        <v>1.0092109602067336</v>
      </c>
    </row>
    <row r="113" spans="1:26" ht="40.5" x14ac:dyDescent="0.15">
      <c r="A113" s="1">
        <v>42844</v>
      </c>
      <c r="B113" s="30">
        <f t="shared" si="33"/>
        <v>3</v>
      </c>
      <c r="C113" s="30">
        <v>0</v>
      </c>
      <c r="D113" s="20">
        <v>1859658.16</v>
      </c>
      <c r="E113" s="20">
        <v>1859658.16</v>
      </c>
      <c r="F113" s="4">
        <f t="shared" si="47"/>
        <v>3.3668065153091842E-3</v>
      </c>
      <c r="G113">
        <v>-7843.94</v>
      </c>
      <c r="H113">
        <v>0</v>
      </c>
      <c r="I113" s="30">
        <v>-7843.94</v>
      </c>
      <c r="J113">
        <v>14068</v>
      </c>
      <c r="K113" s="30">
        <f>32.04166666-16</f>
        <v>16.041666659999997</v>
      </c>
      <c r="L113" s="18">
        <f t="shared" ref="L113:L126" si="51">G113+J113+K113</f>
        <v>6240.1016666600008</v>
      </c>
      <c r="M113" s="37">
        <f t="shared" si="45"/>
        <v>6240.0999999998603</v>
      </c>
      <c r="N113" s="17" t="s">
        <v>2567</v>
      </c>
      <c r="O113" s="41">
        <f ca="1">SUMIFS(Stock!$O:$O,Stock!$A:$A,'Asset Line A share'!$A113,Stock!$I:$I,O$2)</f>
        <v>0</v>
      </c>
      <c r="P113" s="41">
        <f ca="1">SUMIFS(Stock!$O:$O,Stock!$A:$A,'Asset Line A share'!$A113,Stock!$I:$I,P$2)</f>
        <v>811481</v>
      </c>
      <c r="Q113" s="40" t="str">
        <f t="shared" ca="1" si="40"/>
        <v/>
      </c>
      <c r="R113" s="40">
        <f t="shared" ca="1" si="41"/>
        <v>-9.6662029055517001E-3</v>
      </c>
      <c r="S113" s="41">
        <f t="shared" ca="1" si="27"/>
        <v>362076.44999998854</v>
      </c>
      <c r="T113" s="30">
        <v>870700</v>
      </c>
      <c r="U113" s="20">
        <f t="shared" si="34"/>
        <v>2597539.5159322033</v>
      </c>
      <c r="V113" s="20"/>
      <c r="W113" s="4">
        <f t="shared" ref="W113:W118" si="52">U113/U112-1</f>
        <v>2.1645698656969081E-4</v>
      </c>
      <c r="X113" s="20">
        <f t="shared" si="36"/>
        <v>562.13389830477536</v>
      </c>
      <c r="Y113" s="17"/>
      <c r="Z113" s="30">
        <f t="shared" si="49"/>
        <v>1.0094294109699931</v>
      </c>
    </row>
    <row r="114" spans="1:26" x14ac:dyDescent="0.15">
      <c r="A114" s="1">
        <v>42845</v>
      </c>
      <c r="B114" s="30">
        <f t="shared" si="33"/>
        <v>4</v>
      </c>
      <c r="C114" s="30">
        <v>0</v>
      </c>
      <c r="D114" s="20">
        <v>1860588.8</v>
      </c>
      <c r="E114" s="20">
        <v>1860588.8</v>
      </c>
      <c r="F114" s="4">
        <f t="shared" si="47"/>
        <v>5.0043605863581142E-4</v>
      </c>
      <c r="G114" s="30">
        <v>2994.86</v>
      </c>
      <c r="H114">
        <v>2994.86</v>
      </c>
      <c r="I114">
        <v>0</v>
      </c>
      <c r="J114">
        <v>-2180</v>
      </c>
      <c r="K114" s="30">
        <f>123.777778-8</f>
        <v>115.777778</v>
      </c>
      <c r="L114" s="18">
        <f t="shared" si="51"/>
        <v>930.63777800000014</v>
      </c>
      <c r="M114" s="37">
        <f t="shared" si="45"/>
        <v>930.64000000013039</v>
      </c>
      <c r="O114" s="41">
        <f ca="1">SUMIFS(Stock!$O:$O,Stock!$A:$A,'Asset Line A share'!$A114,Stock!$I:$I,O$2)</f>
        <v>730985</v>
      </c>
      <c r="P114" s="41">
        <f ca="1">SUMIFS(Stock!$O:$O,Stock!$A:$A,'Asset Line A share'!$A114,Stock!$I:$I,P$2)</f>
        <v>0</v>
      </c>
      <c r="Q114" s="40">
        <f t="shared" ca="1" si="40"/>
        <v>4.0970197746875792E-3</v>
      </c>
      <c r="R114" s="40" t="str">
        <f t="shared" ca="1" si="41"/>
        <v/>
      </c>
      <c r="S114" s="41">
        <f t="shared" ca="1" si="27"/>
        <v>1093061.4499999885</v>
      </c>
      <c r="T114" s="30">
        <v>878000</v>
      </c>
      <c r="U114" s="20">
        <f t="shared" si="34"/>
        <v>2604656.5966101699</v>
      </c>
      <c r="V114" s="20"/>
      <c r="W114" s="4">
        <f t="shared" si="52"/>
        <v>2.7399316292642251E-3</v>
      </c>
      <c r="X114" s="20">
        <f t="shared" si="36"/>
        <v>7117.0806779665872</v>
      </c>
      <c r="Y114" s="17"/>
      <c r="Z114" s="30">
        <f t="shared" si="49"/>
        <v>1.0121951785406194</v>
      </c>
    </row>
    <row r="115" spans="1:26" x14ac:dyDescent="0.15">
      <c r="A115" s="1">
        <v>42846</v>
      </c>
      <c r="B115" s="30">
        <f t="shared" si="33"/>
        <v>5</v>
      </c>
      <c r="C115" s="30">
        <v>0</v>
      </c>
      <c r="D115" s="20">
        <v>1868473.49</v>
      </c>
      <c r="E115" s="20">
        <v>1868473.49</v>
      </c>
      <c r="F115" s="4">
        <f t="shared" si="47"/>
        <v>4.2377391501011719E-3</v>
      </c>
      <c r="G115">
        <v>-259.60000000000002</v>
      </c>
      <c r="H115">
        <v>1825.57</v>
      </c>
      <c r="I115">
        <v>-2085.17</v>
      </c>
      <c r="J115">
        <v>8057</v>
      </c>
      <c r="K115" s="30">
        <f>101.777778-14</f>
        <v>87.777777999999998</v>
      </c>
      <c r="L115" s="18">
        <f t="shared" si="51"/>
        <v>7885.1777779999993</v>
      </c>
      <c r="M115" s="37">
        <f t="shared" si="45"/>
        <v>7884.6899999999441</v>
      </c>
      <c r="O115" s="41">
        <f ca="1">SUMIFS(Stock!$O:$O,Stock!$A:$A,'Asset Line A share'!$A115,Stock!$I:$I,O$2)</f>
        <v>352128</v>
      </c>
      <c r="P115" s="41">
        <f ca="1">SUMIFS(Stock!$O:$O,Stock!$A:$A,'Asset Line A share'!$A115,Stock!$I:$I,P$2)</f>
        <v>804704.5</v>
      </c>
      <c r="Q115" s="40">
        <f t="shared" ca="1" si="40"/>
        <v>5.1843931752090146E-3</v>
      </c>
      <c r="R115" s="40">
        <f t="shared" ca="1" si="41"/>
        <v>-2.5912244805391298E-3</v>
      </c>
      <c r="S115" s="41">
        <f t="shared" ca="1" si="27"/>
        <v>640484.94999998843</v>
      </c>
      <c r="T115" s="30">
        <v>885000</v>
      </c>
      <c r="U115" s="20">
        <f t="shared" si="34"/>
        <v>2618473.4900000002</v>
      </c>
      <c r="V115" s="20"/>
      <c r="W115" s="4">
        <f t="shared" si="52"/>
        <v>5.3046890741037522E-3</v>
      </c>
      <c r="X115" s="20">
        <f t="shared" si="36"/>
        <v>13816.893389830366</v>
      </c>
      <c r="Y115" s="17"/>
      <c r="Z115" s="30">
        <f t="shared" si="49"/>
        <v>1.0175645592450844</v>
      </c>
    </row>
    <row r="116" spans="1:26" ht="54" x14ac:dyDescent="0.15">
      <c r="A116" s="1">
        <v>42849</v>
      </c>
      <c r="B116" s="30">
        <f t="shared" si="33"/>
        <v>1</v>
      </c>
      <c r="C116" s="30">
        <v>0</v>
      </c>
      <c r="D116" s="20">
        <v>1856229.57</v>
      </c>
      <c r="E116" s="20">
        <v>1856229.57</v>
      </c>
      <c r="F116" s="4">
        <f t="shared" si="47"/>
        <v>-6.5529000360609047E-3</v>
      </c>
      <c r="G116">
        <v>-6411.1900000000005</v>
      </c>
      <c r="H116">
        <v>-7547.77</v>
      </c>
      <c r="I116">
        <v>1136.58</v>
      </c>
      <c r="J116">
        <v>-5983</v>
      </c>
      <c r="K116" s="30">
        <f>138.44444-7</f>
        <v>131.44443999999999</v>
      </c>
      <c r="L116" s="18">
        <f t="shared" si="51"/>
        <v>-12262.745560000001</v>
      </c>
      <c r="M116" s="37">
        <f t="shared" si="45"/>
        <v>-12243.919999999925</v>
      </c>
      <c r="N116" s="17" t="s">
        <v>2639</v>
      </c>
      <c r="O116" s="41">
        <f ca="1">SUMIFS(Stock!$O:$O,Stock!$A:$A,'Asset Line A share'!$A116,Stock!$I:$I,O$2)</f>
        <v>974351.4</v>
      </c>
      <c r="P116" s="41">
        <f ca="1">SUMIFS(Stock!$O:$O,Stock!$A:$A,'Asset Line A share'!$A116,Stock!$I:$I,P$2)</f>
        <v>348353.6</v>
      </c>
      <c r="Q116" s="40">
        <f t="shared" ca="1" si="40"/>
        <v>-7.7464557448165012E-3</v>
      </c>
      <c r="R116" s="40">
        <f t="shared" ca="1" si="41"/>
        <v>3.262719259970329E-3</v>
      </c>
      <c r="S116" s="41">
        <f t="shared" ca="1" si="27"/>
        <v>1266482.7499999884</v>
      </c>
      <c r="T116" s="30">
        <v>878300</v>
      </c>
      <c r="U116" s="20">
        <f t="shared" si="34"/>
        <v>2600551.6038983054</v>
      </c>
      <c r="V116" s="20"/>
      <c r="W116" s="4">
        <f t="shared" si="52"/>
        <v>-6.8444023474512061E-3</v>
      </c>
      <c r="X116" s="20">
        <f t="shared" si="36"/>
        <v>-17921.886101694778</v>
      </c>
      <c r="Y116" s="17"/>
      <c r="Z116" s="30">
        <f t="shared" si="49"/>
        <v>1.0105999379871042</v>
      </c>
    </row>
    <row r="117" spans="1:26" ht="27" x14ac:dyDescent="0.15">
      <c r="A117" s="1">
        <v>42850</v>
      </c>
      <c r="B117" s="30">
        <f t="shared" si="33"/>
        <v>2</v>
      </c>
      <c r="C117" s="30">
        <v>0</v>
      </c>
      <c r="D117" s="20">
        <v>1879575.13</v>
      </c>
      <c r="E117" s="20">
        <v>1879575.13</v>
      </c>
      <c r="F117" s="4">
        <f t="shared" si="47"/>
        <v>1.2576871081737995E-2</v>
      </c>
      <c r="G117">
        <v>-43245.11</v>
      </c>
      <c r="H117">
        <v>1052.56</v>
      </c>
      <c r="I117">
        <v>-44297.67</v>
      </c>
      <c r="J117">
        <v>66785</v>
      </c>
      <c r="K117" s="30">
        <f>68.15278-10-252</f>
        <v>-193.84721999999999</v>
      </c>
      <c r="L117" s="18">
        <f t="shared" si="51"/>
        <v>23346.04278</v>
      </c>
      <c r="M117" s="37">
        <f t="shared" si="45"/>
        <v>23345.559999999823</v>
      </c>
      <c r="N117" s="17" t="s">
        <v>2668</v>
      </c>
      <c r="O117" s="41">
        <f ca="1">SUMIFS(Stock!$O:$O,Stock!$A:$A,'Asset Line A share'!$A117,Stock!$I:$I,O$2)</f>
        <v>765357.5</v>
      </c>
      <c r="P117" s="41">
        <f ca="1">SUMIFS(Stock!$O:$O,Stock!$A:$A,'Asset Line A share'!$A117,Stock!$I:$I,P$2)</f>
        <v>990713.99999998801</v>
      </c>
      <c r="Q117" s="40">
        <f t="shared" ca="1" si="40"/>
        <v>1.375252741365963E-3</v>
      </c>
      <c r="R117" s="40">
        <f t="shared" ca="1" si="41"/>
        <v>-4.4712873745602198E-2</v>
      </c>
      <c r="S117" s="41">
        <f t="shared" ca="1" si="27"/>
        <v>1041126.2500000002</v>
      </c>
      <c r="T117" s="30">
        <v>888700</v>
      </c>
      <c r="U117" s="20">
        <f t="shared" si="34"/>
        <v>2632710.723220339</v>
      </c>
      <c r="V117" s="20"/>
      <c r="W117" s="4">
        <f t="shared" si="52"/>
        <v>1.2366268476974751E-2</v>
      </c>
      <c r="X117" s="20">
        <f t="shared" si="36"/>
        <v>32159.119322033599</v>
      </c>
      <c r="Y117" s="17"/>
      <c r="Z117" s="30">
        <f t="shared" si="49"/>
        <v>1.0230972881430669</v>
      </c>
    </row>
    <row r="118" spans="1:26" x14ac:dyDescent="0.15">
      <c r="A118" s="1">
        <v>42851</v>
      </c>
      <c r="B118" s="30">
        <f t="shared" si="33"/>
        <v>3</v>
      </c>
      <c r="C118" s="30">
        <v>0</v>
      </c>
      <c r="D118" s="20">
        <v>1911772.35</v>
      </c>
      <c r="E118" s="20">
        <v>1911772.35</v>
      </c>
      <c r="F118" s="4">
        <f t="shared" si="47"/>
        <v>1.7130052151733022E-2</v>
      </c>
      <c r="G118">
        <v>-2549.29</v>
      </c>
      <c r="H118">
        <v>-599.5</v>
      </c>
      <c r="I118">
        <v>-1949.79</v>
      </c>
      <c r="J118">
        <v>34639</v>
      </c>
      <c r="K118" s="30">
        <f>109.9027777-6</f>
        <v>103.9027777</v>
      </c>
      <c r="L118" s="18">
        <f t="shared" si="51"/>
        <v>32193.6127777</v>
      </c>
      <c r="M118" s="37">
        <f t="shared" si="45"/>
        <v>32197.220000000205</v>
      </c>
      <c r="N118" s="17" t="s">
        <v>2681</v>
      </c>
      <c r="O118" s="41">
        <f ca="1">SUMIFS(Stock!$O:$O,Stock!$A:$A,'Asset Line A share'!$A118,Stock!$I:$I,O$2)</f>
        <v>397500</v>
      </c>
      <c r="P118" s="41">
        <f ca="1">SUMIFS(Stock!$O:$O,Stock!$A:$A,'Asset Line A share'!$A118,Stock!$I:$I,P$2)</f>
        <v>800216.4</v>
      </c>
      <c r="Q118" s="40">
        <f t="shared" ca="1" si="40"/>
        <v>-1.5081761006289307E-3</v>
      </c>
      <c r="R118" s="40">
        <f t="shared" ca="1" si="41"/>
        <v>-2.4365784055413011E-3</v>
      </c>
      <c r="S118" s="41">
        <f t="shared" ca="1" si="27"/>
        <v>638409.85000000021</v>
      </c>
      <c r="T118">
        <v>890000</v>
      </c>
      <c r="U118" s="20">
        <f t="shared" si="34"/>
        <v>2666009.6381355934</v>
      </c>
      <c r="V118" s="20"/>
      <c r="W118" s="4">
        <f t="shared" si="52"/>
        <v>1.2648148017767369E-2</v>
      </c>
      <c r="X118" s="20">
        <f t="shared" si="36"/>
        <v>33298.91491525434</v>
      </c>
      <c r="Y118" s="17"/>
      <c r="Z118" s="30">
        <f t="shared" si="49"/>
        <v>1.0360375740800767</v>
      </c>
    </row>
    <row r="119" spans="1:26" ht="27" x14ac:dyDescent="0.15">
      <c r="A119" s="1">
        <v>42852</v>
      </c>
      <c r="B119" s="30">
        <f t="shared" si="33"/>
        <v>4</v>
      </c>
      <c r="C119" s="30">
        <v>0</v>
      </c>
      <c r="D119" s="20">
        <v>1920032.74</v>
      </c>
      <c r="E119" s="20">
        <v>1920032.74</v>
      </c>
      <c r="F119" s="4">
        <f t="shared" si="47"/>
        <v>4.3208021080543002E-3</v>
      </c>
      <c r="G119">
        <v>7069.67</v>
      </c>
      <c r="H119">
        <v>7424.87</v>
      </c>
      <c r="I119">
        <v>-355.2</v>
      </c>
      <c r="J119">
        <v>1128</v>
      </c>
      <c r="K119" s="30">
        <f>79.125-8</f>
        <v>71.125</v>
      </c>
      <c r="L119" s="18">
        <f t="shared" si="51"/>
        <v>8268.7950000000001</v>
      </c>
      <c r="M119" s="37">
        <f t="shared" si="45"/>
        <v>8260.3899999998976</v>
      </c>
      <c r="N119" s="17" t="s">
        <v>2693</v>
      </c>
      <c r="O119" s="41">
        <f ca="1">SUMIFS(Stock!$O:$O,Stock!$A:$A,'Asset Line A share'!$A119,Stock!$I:$I,O$2)</f>
        <v>534498.4</v>
      </c>
      <c r="P119" s="41">
        <f ca="1">SUMIFS(Stock!$O:$O,Stock!$A:$A,'Asset Line A share'!$A119,Stock!$I:$I,P$2)</f>
        <v>295996</v>
      </c>
      <c r="Q119" s="40">
        <f t="shared" ca="1" si="40"/>
        <v>1.3891285736309033E-2</v>
      </c>
      <c r="R119" s="40">
        <f t="shared" ca="1" si="41"/>
        <v>-1.2000162164353572E-3</v>
      </c>
      <c r="S119" s="41">
        <f t="shared" ca="1" si="27"/>
        <v>876912.25000000023</v>
      </c>
      <c r="T119" s="30">
        <v>890900</v>
      </c>
      <c r="U119" s="20">
        <f t="shared" si="34"/>
        <v>2675032.7400000002</v>
      </c>
      <c r="V119" s="20"/>
      <c r="W119" s="4">
        <f t="shared" ref="W119" si="53">U119/U118-1</f>
        <v>3.3844970908345484E-3</v>
      </c>
      <c r="X119" s="20">
        <f t="shared" si="36"/>
        <v>9023.101864406839</v>
      </c>
      <c r="Y119" s="39"/>
      <c r="Z119" s="30">
        <f t="shared" si="49"/>
        <v>1.039544040235546</v>
      </c>
    </row>
    <row r="120" spans="1:26" x14ac:dyDescent="0.15">
      <c r="A120" s="1">
        <v>42853</v>
      </c>
      <c r="B120" s="30">
        <f t="shared" si="33"/>
        <v>5</v>
      </c>
      <c r="C120" s="30">
        <v>0</v>
      </c>
      <c r="D120" s="20">
        <v>1919437.82</v>
      </c>
      <c r="E120" s="20">
        <v>1919437.82</v>
      </c>
      <c r="F120" s="4">
        <f t="shared" si="47"/>
        <v>-3.0984888309770753E-4</v>
      </c>
      <c r="G120">
        <v>-2489.86</v>
      </c>
      <c r="H120">
        <v>1237.47</v>
      </c>
      <c r="I120">
        <v>-3727.32</v>
      </c>
      <c r="J120">
        <v>1619</v>
      </c>
      <c r="K120" s="30">
        <f>289.9444444-14</f>
        <v>275.94444440000001</v>
      </c>
      <c r="L120" s="18">
        <f t="shared" si="51"/>
        <v>-594.91555560000006</v>
      </c>
      <c r="M120" s="37">
        <f t="shared" si="45"/>
        <v>-594.91999999992549</v>
      </c>
      <c r="N120" s="17" t="s">
        <v>2698</v>
      </c>
      <c r="O120" s="41">
        <f ca="1">SUMIFS(Stock!$O:$O,Stock!$A:$A,'Asset Line A share'!$A120,Stock!$I:$I,O$2)</f>
        <v>64773.000000000007</v>
      </c>
      <c r="P120" s="41">
        <f ca="1">SUMIFS(Stock!$O:$O,Stock!$A:$A,'Asset Line A share'!$A120,Stock!$I:$I,P$2)</f>
        <v>581422</v>
      </c>
      <c r="Q120" s="40">
        <f t="shared" ca="1" si="40"/>
        <v>1.9104719559075539E-2</v>
      </c>
      <c r="R120" s="40">
        <f t="shared" ca="1" si="41"/>
        <v>-6.410696533670897E-3</v>
      </c>
      <c r="S120" s="41">
        <f t="shared" ca="1" si="27"/>
        <v>360263.25000000023</v>
      </c>
      <c r="T120" s="30">
        <v>1278706</v>
      </c>
      <c r="U120" s="20">
        <f t="shared" si="34"/>
        <v>3003086.972542373</v>
      </c>
      <c r="V120" s="20">
        <f>50000*6.8</f>
        <v>340000</v>
      </c>
      <c r="W120" s="4">
        <f>U120/(U119+50000*7.75/1.1)-1</f>
        <v>-8.0000168440790276E-3</v>
      </c>
      <c r="X120" s="20">
        <f t="shared" si="36"/>
        <v>-11945.767457627226</v>
      </c>
      <c r="Y120" s="17" t="s">
        <v>2699</v>
      </c>
      <c r="Z120" s="30">
        <f t="shared" si="49"/>
        <v>1.0312276704034997</v>
      </c>
    </row>
    <row r="121" spans="1:26" x14ac:dyDescent="0.15">
      <c r="A121" s="1">
        <v>42857</v>
      </c>
      <c r="B121">
        <f t="shared" si="33"/>
        <v>2</v>
      </c>
      <c r="C121" s="30">
        <v>0</v>
      </c>
      <c r="D121" s="20">
        <v>1922970.53</v>
      </c>
      <c r="E121" s="20">
        <v>1922970.53</v>
      </c>
      <c r="F121" s="4">
        <f t="shared" si="47"/>
        <v>1.8404920248993317E-3</v>
      </c>
      <c r="G121">
        <v>1074.53</v>
      </c>
      <c r="H121" s="30">
        <v>1239.68</v>
      </c>
      <c r="I121" s="30">
        <v>-165.15</v>
      </c>
      <c r="J121">
        <v>2250</v>
      </c>
      <c r="K121" s="30">
        <f>218.166666-10</f>
        <v>208.16666599999999</v>
      </c>
      <c r="L121" s="18">
        <f t="shared" si="51"/>
        <v>3532.6966659999998</v>
      </c>
      <c r="M121" s="37">
        <f t="shared" si="45"/>
        <v>3532.7099999999627</v>
      </c>
      <c r="N121" s="17" t="s">
        <v>2715</v>
      </c>
      <c r="O121" s="41">
        <f ca="1">SUMIFS(Stock!$O:$O,Stock!$A:$A,'Asset Line A share'!$A121,Stock!$I:$I,O$2)</f>
        <v>737690</v>
      </c>
      <c r="P121" s="41">
        <f ca="1">SUMIFS(Stock!$O:$O,Stock!$A:$A,'Asset Line A share'!$A121,Stock!$I:$I,P$2)</f>
        <v>59961</v>
      </c>
      <c r="Q121" s="40">
        <f t="shared" ca="1" si="40"/>
        <v>1.6804890943350188E-3</v>
      </c>
      <c r="R121" s="40">
        <f t="shared" ca="1" si="41"/>
        <v>-2.7542902886876471E-3</v>
      </c>
      <c r="S121" s="41">
        <f t="shared" ca="1" si="27"/>
        <v>1037992.2500000002</v>
      </c>
      <c r="T121" s="30">
        <v>1271100</v>
      </c>
      <c r="U121" s="20">
        <f t="shared" si="34"/>
        <v>3000173.9198305085</v>
      </c>
      <c r="V121" s="20"/>
      <c r="W121" s="4">
        <f t="shared" ref="W121:W127" si="54">U121/U120-1</f>
        <v>-9.7001942950669662E-4</v>
      </c>
      <c r="X121" s="20">
        <f t="shared" si="36"/>
        <v>-2913.0527118644677</v>
      </c>
      <c r="Y121" s="17" t="s">
        <v>2716</v>
      </c>
      <c r="Z121" s="30">
        <f t="shared" si="49"/>
        <v>1.0302273595269633</v>
      </c>
    </row>
    <row r="122" spans="1:26" ht="27" x14ac:dyDescent="0.15">
      <c r="A122" s="1">
        <v>42858</v>
      </c>
      <c r="B122">
        <f t="shared" si="33"/>
        <v>3</v>
      </c>
      <c r="C122" s="30">
        <v>0</v>
      </c>
      <c r="D122" s="20">
        <v>1923317.25</v>
      </c>
      <c r="E122" s="20">
        <v>1923317.25</v>
      </c>
      <c r="F122" s="4">
        <f t="shared" si="47"/>
        <v>1.8030437523131049E-4</v>
      </c>
      <c r="G122">
        <v>2060.9699999999998</v>
      </c>
      <c r="H122">
        <v>2626.44</v>
      </c>
      <c r="I122" s="30">
        <v>-565.47</v>
      </c>
      <c r="J122">
        <v>-1835</v>
      </c>
      <c r="K122" s="30">
        <f>123.75-3</f>
        <v>120.75</v>
      </c>
      <c r="L122" s="18">
        <f t="shared" si="51"/>
        <v>346.7199999999998</v>
      </c>
      <c r="M122" s="37">
        <f t="shared" si="45"/>
        <v>346.71999999997206</v>
      </c>
      <c r="N122" s="17" t="s">
        <v>2735</v>
      </c>
      <c r="O122" s="41">
        <f ca="1">SUMIFS(Stock!$O:$O,Stock!$A:$A,'Asset Line A share'!$A122,Stock!$I:$I,O$2)</f>
        <v>700628</v>
      </c>
      <c r="P122" s="41">
        <f ca="1">SUMIFS(Stock!$O:$O,Stock!$A:$A,'Asset Line A share'!$A122,Stock!$I:$I,P$2)</f>
        <v>471238</v>
      </c>
      <c r="Q122" s="40">
        <f t="shared" ca="1" si="40"/>
        <v>3.748694028785604E-3</v>
      </c>
      <c r="R122" s="40">
        <f t="shared" ca="1" si="41"/>
        <v>-1.1999668957087502E-3</v>
      </c>
      <c r="S122" s="41">
        <f t="shared" ca="1" si="27"/>
        <v>1267382.2500000002</v>
      </c>
      <c r="T122" s="30">
        <v>1267845</v>
      </c>
      <c r="U122" s="20">
        <f t="shared" si="34"/>
        <v>2997762.1652542371</v>
      </c>
      <c r="V122" s="20"/>
      <c r="W122" s="4">
        <f t="shared" si="54"/>
        <v>-8.0387158902028855E-4</v>
      </c>
      <c r="X122" s="20">
        <f t="shared" si="36"/>
        <v>-2411.7545762713999</v>
      </c>
      <c r="Y122" s="17" t="s">
        <v>2734</v>
      </c>
      <c r="Z122" s="30">
        <f t="shared" si="49"/>
        <v>1.0293991890224081</v>
      </c>
    </row>
    <row r="123" spans="1:26" ht="27" x14ac:dyDescent="0.15">
      <c r="A123" s="1">
        <v>42859</v>
      </c>
      <c r="B123">
        <f t="shared" si="33"/>
        <v>4</v>
      </c>
      <c r="C123" s="30">
        <v>0</v>
      </c>
      <c r="D123" s="20">
        <v>1910650.07</v>
      </c>
      <c r="E123" s="20">
        <v>1910650.07</v>
      </c>
      <c r="F123" s="4">
        <f t="shared" si="47"/>
        <v>-6.5861105337665649E-3</v>
      </c>
      <c r="G123">
        <v>1900.22352</v>
      </c>
      <c r="H123">
        <v>1834.38</v>
      </c>
      <c r="I123">
        <v>65.849999999999994</v>
      </c>
      <c r="J123">
        <v>-14605</v>
      </c>
      <c r="K123" s="30">
        <f>38.16666-2</f>
        <v>36.16666</v>
      </c>
      <c r="L123" s="18">
        <f t="shared" si="51"/>
        <v>-12668.60982</v>
      </c>
      <c r="M123" s="37">
        <f t="shared" si="45"/>
        <v>-12667.179999999935</v>
      </c>
      <c r="N123" s="17" t="s">
        <v>3583</v>
      </c>
      <c r="O123" s="41">
        <f ca="1">SUMIFS(Stock!$O:$O,Stock!$A:$A,'Asset Line A share'!$A123,Stock!$I:$I,O$2)</f>
        <v>1483480.4000000001</v>
      </c>
      <c r="P123" s="41">
        <f ca="1">SUMIFS(Stock!$O:$O,Stock!$A:$A,'Asset Line A share'!$A123,Stock!$I:$I,P$2)</f>
        <v>976836</v>
      </c>
      <c r="Q123" s="40">
        <f t="shared" ca="1" si="40"/>
        <v>1.2365380762698313E-3</v>
      </c>
      <c r="R123" s="40">
        <f t="shared" ca="1" si="41"/>
        <v>6.7411520459933908E-5</v>
      </c>
      <c r="S123" s="41">
        <f t="shared" ca="1" si="27"/>
        <v>1774026.6500000004</v>
      </c>
      <c r="T123" s="30">
        <v>1262569</v>
      </c>
      <c r="U123" s="20">
        <f t="shared" si="34"/>
        <v>2980623.7988135591</v>
      </c>
      <c r="V123" s="20"/>
      <c r="W123" s="4">
        <f t="shared" si="54"/>
        <v>-5.7170534204885604E-3</v>
      </c>
      <c r="X123" s="20">
        <f t="shared" si="36"/>
        <v>-17138.366440678015</v>
      </c>
      <c r="Y123" s="17" t="s">
        <v>3584</v>
      </c>
      <c r="Z123" s="30">
        <f t="shared" si="49"/>
        <v>1.0235140588677594</v>
      </c>
    </row>
    <row r="124" spans="1:26" ht="40.5" x14ac:dyDescent="0.15">
      <c r="A124" s="1">
        <v>42860</v>
      </c>
      <c r="B124">
        <f t="shared" si="33"/>
        <v>5</v>
      </c>
      <c r="C124" s="30">
        <v>0</v>
      </c>
      <c r="D124" s="20">
        <v>1867088.35</v>
      </c>
      <c r="E124" s="20">
        <v>1867088.35</v>
      </c>
      <c r="F124" s="4">
        <f t="shared" si="47"/>
        <v>-2.279942344439867E-2</v>
      </c>
      <c r="G124">
        <v>-874.11</v>
      </c>
      <c r="H124">
        <v>-536.88</v>
      </c>
      <c r="I124">
        <v>-337.23</v>
      </c>
      <c r="J124">
        <v>-42699</v>
      </c>
      <c r="K124" s="30">
        <v>11.388888</v>
      </c>
      <c r="L124" s="18">
        <f t="shared" si="51"/>
        <v>-43561.721111999999</v>
      </c>
      <c r="M124" s="37">
        <f t="shared" si="45"/>
        <v>-43561.719999999972</v>
      </c>
      <c r="N124" s="17" t="s">
        <v>3592</v>
      </c>
      <c r="O124" s="41">
        <f ca="1">SUMIFS(Stock!$O:$O,Stock!$A:$A,'Asset Line A share'!$A124,Stock!$I:$I,O$2)</f>
        <v>208586</v>
      </c>
      <c r="P124" s="41">
        <f ca="1">SUMIFS(Stock!$O:$O,Stock!$A:$A,'Asset Line A share'!$A124,Stock!$I:$I,P$2)</f>
        <v>518562</v>
      </c>
      <c r="Q124" s="40">
        <f t="shared" ca="1" si="40"/>
        <v>-2.5739023712042035E-3</v>
      </c>
      <c r="R124" s="40">
        <f t="shared" ca="1" si="41"/>
        <v>-6.5031760908049576E-4</v>
      </c>
      <c r="S124" s="41">
        <f t="shared" ca="1" si="27"/>
        <v>1464050.6500000004</v>
      </c>
      <c r="T124" s="30">
        <v>1257002</v>
      </c>
      <c r="U124" s="20">
        <f t="shared" si="34"/>
        <v>2932344.2822033903</v>
      </c>
      <c r="V124" s="20"/>
      <c r="W124" s="4">
        <f t="shared" si="54"/>
        <v>-1.6197789412198405E-2</v>
      </c>
      <c r="X124" s="20">
        <f t="shared" si="36"/>
        <v>-48279.516610168852</v>
      </c>
      <c r="Y124" s="17" t="s">
        <v>3591</v>
      </c>
      <c r="Z124" s="30">
        <f t="shared" si="49"/>
        <v>1.0069353936817949</v>
      </c>
    </row>
    <row r="125" spans="1:26" ht="54" x14ac:dyDescent="0.15">
      <c r="A125" s="1">
        <v>42863</v>
      </c>
      <c r="B125">
        <f t="shared" si="33"/>
        <v>1</v>
      </c>
      <c r="C125" s="30">
        <v>0</v>
      </c>
      <c r="D125" s="20">
        <v>1811638.76</v>
      </c>
      <c r="E125" s="20">
        <v>1811638.76</v>
      </c>
      <c r="F125" s="4">
        <f t="shared" si="47"/>
        <v>-2.9698428571952706E-2</v>
      </c>
      <c r="G125">
        <v>-7925.61</v>
      </c>
      <c r="H125">
        <v>-7692.82</v>
      </c>
      <c r="I125">
        <v>-232.79</v>
      </c>
      <c r="J125">
        <v>-47524</v>
      </c>
      <c r="K125" s="30">
        <v>0</v>
      </c>
      <c r="L125" s="18">
        <f t="shared" si="51"/>
        <v>-55449.61</v>
      </c>
      <c r="M125" s="37">
        <f t="shared" si="45"/>
        <v>-55449.590000000084</v>
      </c>
      <c r="N125" s="17" t="s">
        <v>4319</v>
      </c>
      <c r="O125" s="41">
        <f ca="1">SUMIFS(Stock!$O:$O,Stock!$A:$A,'Asset Line A share'!$A125,Stock!$I:$I,O$2)</f>
        <v>543683</v>
      </c>
      <c r="P125" s="41">
        <f ca="1">SUMIFS(Stock!$O:$O,Stock!$A:$A,'Asset Line A share'!$A125,Stock!$I:$I,P$2)</f>
        <v>191569</v>
      </c>
      <c r="Q125" s="40">
        <f t="shared" ca="1" si="40"/>
        <v>-1.4149458416025515E-2</v>
      </c>
      <c r="R125" s="40">
        <f t="shared" ca="1" si="41"/>
        <v>-1.2151757330256983E-3</v>
      </c>
      <c r="S125" s="41">
        <f t="shared" ca="1" si="27"/>
        <v>1816164.6500000004</v>
      </c>
      <c r="T125" s="30">
        <v>1251704</v>
      </c>
      <c r="U125" s="20">
        <f t="shared" si="34"/>
        <v>2872404.8616949152</v>
      </c>
      <c r="V125" s="20"/>
      <c r="W125" s="4">
        <f t="shared" si="54"/>
        <v>-2.0440785508117787E-2</v>
      </c>
      <c r="X125" s="20">
        <f t="shared" si="36"/>
        <v>-59939.420508475043</v>
      </c>
      <c r="Y125" s="17" t="s">
        <v>3607</v>
      </c>
      <c r="Z125" s="30">
        <f t="shared" si="49"/>
        <v>0.98635284327901318</v>
      </c>
    </row>
    <row r="126" spans="1:26" ht="27" x14ac:dyDescent="0.15">
      <c r="A126" s="1">
        <v>42864</v>
      </c>
      <c r="B126">
        <f t="shared" si="33"/>
        <v>2</v>
      </c>
      <c r="C126" s="30">
        <v>0</v>
      </c>
      <c r="D126" s="20">
        <v>1824015.32</v>
      </c>
      <c r="E126" s="20">
        <v>1824015.32</v>
      </c>
      <c r="F126" s="4">
        <f t="shared" si="47"/>
        <v>6.8316930909559925E-3</v>
      </c>
      <c r="G126">
        <v>1090.51</v>
      </c>
      <c r="H126">
        <v>7533.58</v>
      </c>
      <c r="I126">
        <v>-6443.07</v>
      </c>
      <c r="J126">
        <v>11286</v>
      </c>
      <c r="K126" s="30">
        <v>0</v>
      </c>
      <c r="L126" s="18">
        <f t="shared" si="51"/>
        <v>12376.51</v>
      </c>
      <c r="M126" s="37">
        <f t="shared" si="45"/>
        <v>12376.560000000056</v>
      </c>
      <c r="N126" s="17" t="s">
        <v>3633</v>
      </c>
      <c r="O126" s="41">
        <f ca="1">SUMIFS(Stock!$O:$O,Stock!$A:$A,'Asset Line A share'!$A126,Stock!$I:$I,O$2)</f>
        <v>860401</v>
      </c>
      <c r="P126" s="41">
        <f ca="1">SUMIFS(Stock!$O:$O,Stock!$A:$A,'Asset Line A share'!$A126,Stock!$I:$I,P$2)</f>
        <v>731733</v>
      </c>
      <c r="Q126" s="40">
        <f t="shared" ca="1" si="40"/>
        <v>8.7558940540515412E-3</v>
      </c>
      <c r="R126" s="40">
        <f t="shared" ca="1" si="41"/>
        <v>-8.8052199367802189E-3</v>
      </c>
      <c r="S126" s="41">
        <f t="shared" ca="1" si="27"/>
        <v>1944832.6500000004</v>
      </c>
      <c r="T126" s="30">
        <v>1259430</v>
      </c>
      <c r="U126" s="20">
        <f t="shared" si="34"/>
        <v>2891328.8793220343</v>
      </c>
      <c r="V126" s="20"/>
      <c r="W126" s="4">
        <f t="shared" si="54"/>
        <v>6.5882138968225146E-3</v>
      </c>
      <c r="X126" s="20">
        <f t="shared" si="36"/>
        <v>18924.017627119087</v>
      </c>
      <c r="Y126" s="17" t="s">
        <v>3632</v>
      </c>
      <c r="Z126" s="30">
        <f t="shared" si="49"/>
        <v>0.99285114678827435</v>
      </c>
    </row>
    <row r="127" spans="1:26" ht="27" x14ac:dyDescent="0.15">
      <c r="A127" s="1">
        <v>42865</v>
      </c>
      <c r="B127">
        <f t="shared" si="33"/>
        <v>3</v>
      </c>
      <c r="C127" s="30">
        <v>0</v>
      </c>
      <c r="D127" s="20">
        <v>1824122.02</v>
      </c>
      <c r="E127" s="20">
        <v>1824122.02</v>
      </c>
      <c r="F127" s="4">
        <f t="shared" si="47"/>
        <v>5.8497315691408147E-5</v>
      </c>
      <c r="G127">
        <v>-198.3</v>
      </c>
      <c r="H127">
        <v>-910.49</v>
      </c>
      <c r="I127">
        <v>712.19</v>
      </c>
      <c r="J127">
        <v>306</v>
      </c>
      <c r="K127" s="30">
        <v>0</v>
      </c>
      <c r="L127" s="18">
        <f t="shared" ref="L127:L133" si="55">G127+J127+K127</f>
        <v>107.69999999999999</v>
      </c>
      <c r="M127" s="37">
        <f t="shared" si="45"/>
        <v>106.69999999995343</v>
      </c>
      <c r="N127" s="17" t="s">
        <v>3639</v>
      </c>
      <c r="O127" s="41">
        <f ca="1">SUMIFS(Stock!$O:$O,Stock!$A:$A,'Asset Line A share'!$A127,Stock!$I:$I,O$2)</f>
        <v>184060</v>
      </c>
      <c r="P127" s="41">
        <f ca="1">SUMIFS(Stock!$O:$O,Stock!$A:$A,'Asset Line A share'!$A127,Stock!$I:$I,P$2)</f>
        <v>94005</v>
      </c>
      <c r="Q127" s="40">
        <f t="shared" ca="1" si="40"/>
        <v>-4.9467021623383683E-3</v>
      </c>
      <c r="R127" s="40">
        <f t="shared" ca="1" si="41"/>
        <v>7.5760863783841288E-3</v>
      </c>
      <c r="S127" s="41">
        <f t="shared" ca="1" si="27"/>
        <v>2034887.6500000004</v>
      </c>
      <c r="T127" s="30">
        <v>1267197</v>
      </c>
      <c r="U127" s="20">
        <f t="shared" si="34"/>
        <v>2898017.7827118644</v>
      </c>
      <c r="V127" s="20"/>
      <c r="W127" s="4">
        <f t="shared" si="54"/>
        <v>2.3134356792364752E-3</v>
      </c>
      <c r="X127" s="20">
        <f t="shared" si="36"/>
        <v>6688.9033898301423</v>
      </c>
      <c r="Y127" s="17"/>
      <c r="Z127" s="30">
        <f t="shared" si="49"/>
        <v>0.99514804405542523</v>
      </c>
    </row>
    <row r="128" spans="1:26" x14ac:dyDescent="0.15">
      <c r="A128" s="1">
        <v>42866</v>
      </c>
      <c r="B128">
        <f t="shared" si="33"/>
        <v>4</v>
      </c>
      <c r="C128" s="30">
        <v>0</v>
      </c>
      <c r="D128" s="20">
        <v>1839835.02</v>
      </c>
      <c r="E128" s="20">
        <v>1839835.02</v>
      </c>
      <c r="F128" s="4">
        <f t="shared" si="47"/>
        <v>8.6140070827060988E-3</v>
      </c>
      <c r="G128">
        <v>0</v>
      </c>
      <c r="H128">
        <v>0</v>
      </c>
      <c r="I128">
        <v>0</v>
      </c>
      <c r="J128">
        <v>15713</v>
      </c>
      <c r="K128" s="30">
        <v>0</v>
      </c>
      <c r="L128" s="18">
        <f t="shared" si="55"/>
        <v>15713</v>
      </c>
      <c r="M128" s="37">
        <f t="shared" si="45"/>
        <v>15713</v>
      </c>
      <c r="N128" s="17" t="s">
        <v>3640</v>
      </c>
      <c r="O128" s="41">
        <f ca="1">SUMIFS(Stock!$O:$O,Stock!$A:$A,'Asset Line A share'!$A128,Stock!$I:$I,O$2)</f>
        <v>0</v>
      </c>
      <c r="P128" s="41">
        <f ca="1">SUMIFS(Stock!$O:$O,Stock!$A:$A,'Asset Line A share'!$A128,Stock!$I:$I,P$2)</f>
        <v>0</v>
      </c>
      <c r="Q128" s="40" t="str">
        <f t="shared" ca="1" si="40"/>
        <v/>
      </c>
      <c r="R128" s="40" t="str">
        <f t="shared" ca="1" si="41"/>
        <v/>
      </c>
      <c r="S128" s="41">
        <f t="shared" ca="1" si="27"/>
        <v>2034887.6500000004</v>
      </c>
      <c r="T128" s="30">
        <v>1285274</v>
      </c>
      <c r="U128" s="20">
        <f t="shared" si="34"/>
        <v>2929050.2742372882</v>
      </c>
      <c r="V128" s="20"/>
      <c r="W128" s="4">
        <f t="shared" ref="W128:W131" si="56">U128/U127-1</f>
        <v>1.0708178435117954E-2</v>
      </c>
      <c r="X128" s="20">
        <f t="shared" si="36"/>
        <v>31032.491525423713</v>
      </c>
      <c r="Y128" s="17" t="s">
        <v>3641</v>
      </c>
      <c r="Z128" s="30">
        <f t="shared" si="49"/>
        <v>1.0058042668805294</v>
      </c>
    </row>
    <row r="129" spans="1:26" ht="27" x14ac:dyDescent="0.15">
      <c r="A129" s="1">
        <v>42867</v>
      </c>
      <c r="B129">
        <f t="shared" si="33"/>
        <v>5</v>
      </c>
      <c r="C129" s="30">
        <v>0</v>
      </c>
      <c r="D129" s="20">
        <v>1847631.02</v>
      </c>
      <c r="E129" s="20">
        <v>1847631.02</v>
      </c>
      <c r="F129" s="4">
        <f t="shared" si="47"/>
        <v>4.2373364542218628E-3</v>
      </c>
      <c r="G129">
        <v>0</v>
      </c>
      <c r="H129">
        <v>0</v>
      </c>
      <c r="I129">
        <v>0</v>
      </c>
      <c r="J129">
        <v>7796</v>
      </c>
      <c r="K129" s="30">
        <v>0</v>
      </c>
      <c r="L129" s="18">
        <f t="shared" si="55"/>
        <v>7796</v>
      </c>
      <c r="M129" s="37">
        <f t="shared" si="45"/>
        <v>7796</v>
      </c>
      <c r="N129" s="17" t="s">
        <v>3642</v>
      </c>
      <c r="O129" s="41">
        <f ca="1">SUMIFS(Stock!$O:$O,Stock!$A:$A,'Asset Line A share'!$A129,Stock!$I:$I,O$2)</f>
        <v>0</v>
      </c>
      <c r="P129" s="41">
        <f ca="1">SUMIFS(Stock!$O:$O,Stock!$A:$A,'Asset Line A share'!$A129,Stock!$I:$I,P$2)</f>
        <v>0</v>
      </c>
      <c r="Q129" s="40" t="str">
        <f t="shared" ca="1" si="40"/>
        <v/>
      </c>
      <c r="R129" s="40" t="str">
        <f t="shared" ca="1" si="41"/>
        <v/>
      </c>
      <c r="S129" s="41">
        <f t="shared" ca="1" si="27"/>
        <v>2034887.6500000004</v>
      </c>
      <c r="T129">
        <v>1322672</v>
      </c>
      <c r="U129" s="20">
        <f t="shared" si="34"/>
        <v>2968539.4945762712</v>
      </c>
      <c r="V129" s="20"/>
      <c r="W129" s="4">
        <f t="shared" si="56"/>
        <v>1.3481919612754245E-2</v>
      </c>
      <c r="X129" s="20">
        <f t="shared" si="36"/>
        <v>39489.220338982996</v>
      </c>
      <c r="Y129" s="17" t="s">
        <v>3643</v>
      </c>
      <c r="Z129" s="30">
        <f t="shared" si="49"/>
        <v>1.0193644391527779</v>
      </c>
    </row>
    <row r="130" spans="1:26" x14ac:dyDescent="0.15">
      <c r="A130" s="1">
        <v>42870</v>
      </c>
      <c r="B130">
        <f t="shared" si="33"/>
        <v>1</v>
      </c>
      <c r="C130" s="30">
        <v>0</v>
      </c>
      <c r="D130" s="20">
        <v>1868845.48</v>
      </c>
      <c r="E130" s="20">
        <v>1868845.48</v>
      </c>
      <c r="F130" s="4">
        <f t="shared" si="47"/>
        <v>1.1481978690745187E-2</v>
      </c>
      <c r="G130">
        <v>-137.54</v>
      </c>
      <c r="H130">
        <v>60.38</v>
      </c>
      <c r="I130">
        <v>-197.92</v>
      </c>
      <c r="J130">
        <v>21352</v>
      </c>
      <c r="K130" s="30">
        <v>0</v>
      </c>
      <c r="L130" s="18">
        <f t="shared" si="55"/>
        <v>21214.46</v>
      </c>
      <c r="M130" s="37">
        <f t="shared" si="45"/>
        <v>21214.459999999963</v>
      </c>
      <c r="N130" s="17" t="s">
        <v>3647</v>
      </c>
      <c r="O130" s="41">
        <f ca="1">SUMIFS(Stock!$O:$O,Stock!$A:$A,'Asset Line A share'!$A130,Stock!$I:$I,O$2)</f>
        <v>48080</v>
      </c>
      <c r="P130" s="41">
        <f ca="1">SUMIFS(Stock!$O:$O,Stock!$A:$A,'Asset Line A share'!$A130,Stock!$I:$I,P$2)</f>
        <v>229436</v>
      </c>
      <c r="Q130" s="40">
        <f t="shared" ca="1" si="40"/>
        <v>1.2558236272878537E-3</v>
      </c>
      <c r="R130" s="40">
        <f t="shared" ca="1" si="41"/>
        <v>-8.626370752628183E-4</v>
      </c>
      <c r="S130" s="41">
        <f t="shared" ca="1" si="27"/>
        <v>1853531.6500000004</v>
      </c>
      <c r="T130" s="30">
        <v>1322854</v>
      </c>
      <c r="U130" s="20">
        <f t="shared" si="34"/>
        <v>2989908.1918644067</v>
      </c>
      <c r="V130" s="20"/>
      <c r="W130" s="4">
        <f t="shared" si="56"/>
        <v>7.1983873979704072E-3</v>
      </c>
      <c r="X130" s="20">
        <f t="shared" si="36"/>
        <v>21368.697288135532</v>
      </c>
      <c r="Y130" s="17" t="s">
        <v>3647</v>
      </c>
      <c r="Z130" s="30">
        <f t="shared" si="49"/>
        <v>1.0267022192855144</v>
      </c>
    </row>
    <row r="131" spans="1:26" x14ac:dyDescent="0.15">
      <c r="A131" s="1">
        <v>42871</v>
      </c>
      <c r="B131">
        <f t="shared" si="33"/>
        <v>2</v>
      </c>
      <c r="C131" s="30">
        <v>0</v>
      </c>
      <c r="D131" s="20">
        <v>1903910.87</v>
      </c>
      <c r="E131" s="20">
        <v>1903910.87</v>
      </c>
      <c r="F131" s="4">
        <f t="shared" si="47"/>
        <v>1.8763129630171571E-2</v>
      </c>
      <c r="G131">
        <v>302.37</v>
      </c>
      <c r="H131">
        <v>1890.85</v>
      </c>
      <c r="I131">
        <v>-1588.4839999999999</v>
      </c>
      <c r="J131">
        <v>34769</v>
      </c>
      <c r="K131" s="30">
        <v>-6</v>
      </c>
      <c r="L131" s="18">
        <f t="shared" si="55"/>
        <v>35065.370000000003</v>
      </c>
      <c r="M131" s="37">
        <f t="shared" si="45"/>
        <v>35065.39000000013</v>
      </c>
      <c r="N131" s="17" t="s">
        <v>3653</v>
      </c>
      <c r="O131" s="41">
        <f ca="1">SUMIFS(Stock!$O:$O,Stock!$A:$A,'Asset Line A share'!$A131,Stock!$I:$I,O$2)</f>
        <v>95730</v>
      </c>
      <c r="P131" s="41">
        <f ca="1">SUMIFS(Stock!$O:$O,Stock!$A:$A,'Asset Line A share'!$A131,Stock!$I:$I,P$2)</f>
        <v>541370</v>
      </c>
      <c r="Q131" s="40">
        <f t="shared" ca="1" si="40"/>
        <v>1.9751906403426302E-2</v>
      </c>
      <c r="R131" s="40">
        <f t="shared" ca="1" si="41"/>
        <v>-2.9341928810240683E-3</v>
      </c>
      <c r="S131" s="41">
        <f t="shared" ca="1" si="27"/>
        <v>1407891.6500000004</v>
      </c>
      <c r="T131" s="30">
        <v>1322396</v>
      </c>
      <c r="U131" s="20">
        <f t="shared" si="34"/>
        <v>3024585.4462711867</v>
      </c>
      <c r="V131" s="20"/>
      <c r="W131" s="4">
        <f t="shared" si="56"/>
        <v>1.1598100069138306E-2</v>
      </c>
      <c r="X131" s="20">
        <f t="shared" si="36"/>
        <v>34677.254406780005</v>
      </c>
      <c r="Y131" s="17" t="s">
        <v>3652</v>
      </c>
      <c r="Z131" s="30">
        <f t="shared" si="49"/>
        <v>1.0386100143659942</v>
      </c>
    </row>
    <row r="132" spans="1:26" x14ac:dyDescent="0.15">
      <c r="A132" s="1">
        <v>42872</v>
      </c>
      <c r="B132">
        <f t="shared" si="33"/>
        <v>3</v>
      </c>
      <c r="C132" s="30">
        <v>0</v>
      </c>
      <c r="D132" s="20">
        <v>1890222.67</v>
      </c>
      <c r="E132" s="20">
        <v>1890222.67</v>
      </c>
      <c r="F132" s="4">
        <f t="shared" si="47"/>
        <v>-7.1895172277681718E-3</v>
      </c>
      <c r="G132">
        <v>-535.41999999999996</v>
      </c>
      <c r="H132">
        <v>-3513.76</v>
      </c>
      <c r="I132">
        <v>2978.34</v>
      </c>
      <c r="J132">
        <v>-13213</v>
      </c>
      <c r="K132" s="30">
        <v>60.25</v>
      </c>
      <c r="L132" s="18">
        <f t="shared" si="55"/>
        <v>-13688.17</v>
      </c>
      <c r="M132" s="37">
        <f t="shared" si="45"/>
        <v>-13688.200000000186</v>
      </c>
      <c r="N132" s="17" t="s">
        <v>3669</v>
      </c>
      <c r="O132" s="41">
        <f ca="1">SUMIFS(Stock!$O:$O,Stock!$A:$A,'Asset Line A share'!$A132,Stock!$I:$I,O$2)</f>
        <v>722797.5</v>
      </c>
      <c r="P132" s="41">
        <f ca="1">SUMIFS(Stock!$O:$O,Stock!$A:$A,'Asset Line A share'!$A132,Stock!$I:$I,P$2)</f>
        <v>143052</v>
      </c>
      <c r="Q132" s="40">
        <f t="shared" ref="Q132:Q163" ca="1" si="57">IF(O132&lt;&gt;0,+H132/O132,"")</f>
        <v>-4.8613339144089459E-3</v>
      </c>
      <c r="R132" s="40">
        <f t="shared" ref="R132:R163" ca="1" si="58">IF(P132&lt;&gt;0,+I132/P132,"")</f>
        <v>2.0819981545172384E-2</v>
      </c>
      <c r="S132" s="41">
        <f t="shared" ca="1" si="27"/>
        <v>1987637.1500000004</v>
      </c>
      <c r="T132">
        <v>1314178</v>
      </c>
      <c r="U132" s="20">
        <f t="shared" si="34"/>
        <v>3003932.8394915257</v>
      </c>
      <c r="V132" s="20"/>
      <c r="W132" s="4">
        <f>U132/U131-1</f>
        <v>-6.828243786308752E-3</v>
      </c>
      <c r="X132" s="20">
        <f t="shared" si="36"/>
        <v>-20652.60677966103</v>
      </c>
      <c r="Y132" s="17" t="s">
        <v>3670</v>
      </c>
      <c r="Z132" s="30">
        <f t="shared" si="49"/>
        <v>1.0315181319890017</v>
      </c>
    </row>
    <row r="133" spans="1:26" ht="27" x14ac:dyDescent="0.15">
      <c r="A133" s="1">
        <v>42873</v>
      </c>
      <c r="B133">
        <f t="shared" si="33"/>
        <v>4</v>
      </c>
      <c r="C133" s="30">
        <v>0</v>
      </c>
      <c r="D133" s="20">
        <v>1879273.82</v>
      </c>
      <c r="E133" s="20">
        <v>1879273.82</v>
      </c>
      <c r="F133" s="4">
        <f t="shared" si="47"/>
        <v>-5.7923599022330352E-3</v>
      </c>
      <c r="G133">
        <v>722.15</v>
      </c>
      <c r="H133">
        <v>392.79</v>
      </c>
      <c r="I133">
        <v>329.36</v>
      </c>
      <c r="J133">
        <v>-11671</v>
      </c>
      <c r="K133" s="30">
        <v>0</v>
      </c>
      <c r="L133" s="18">
        <f t="shared" si="55"/>
        <v>-10948.85</v>
      </c>
      <c r="M133" s="37">
        <f t="shared" si="45"/>
        <v>-10948.84999999986</v>
      </c>
      <c r="N133" s="17" t="s">
        <v>3673</v>
      </c>
      <c r="O133" s="41">
        <f ca="1">SUMIFS(Stock!$O:$O,Stock!$A:$A,'Asset Line A share'!$A133,Stock!$I:$I,O$2)</f>
        <v>91478</v>
      </c>
      <c r="P133" s="41">
        <f ca="1">SUMIFS(Stock!$O:$O,Stock!$A:$A,'Asset Line A share'!$A133,Stock!$I:$I,P$2)</f>
        <v>49710</v>
      </c>
      <c r="Q133" s="40">
        <f t="shared" ca="1" si="57"/>
        <v>4.2938192789523169E-3</v>
      </c>
      <c r="R133" s="40">
        <f t="shared" ca="1" si="58"/>
        <v>6.6256286461476568E-3</v>
      </c>
      <c r="S133" s="41">
        <f t="shared" ca="1" si="27"/>
        <v>2029405.1500000004</v>
      </c>
      <c r="T133">
        <v>1303976</v>
      </c>
      <c r="U133" s="20">
        <f t="shared" si="34"/>
        <v>2984338.2267796611</v>
      </c>
      <c r="V133" s="20"/>
      <c r="W133" s="4">
        <f>U133/U132-1</f>
        <v>-6.5229862846005737E-3</v>
      </c>
      <c r="X133" s="20">
        <f t="shared" si="36"/>
        <v>-19594.612711864524</v>
      </c>
      <c r="Y133" s="17"/>
      <c r="Z133" s="30">
        <f t="shared" si="49"/>
        <v>1.0247895533617206</v>
      </c>
    </row>
    <row r="134" spans="1:26" x14ac:dyDescent="0.15">
      <c r="A134" s="1">
        <v>42874</v>
      </c>
      <c r="B134">
        <f t="shared" si="33"/>
        <v>5</v>
      </c>
      <c r="C134" s="30">
        <v>0</v>
      </c>
      <c r="D134" s="20">
        <v>1903986.22</v>
      </c>
      <c r="E134" s="20">
        <v>1903986.22</v>
      </c>
      <c r="F134" s="4">
        <f t="shared" si="47"/>
        <v>1.3149973003933946E-2</v>
      </c>
      <c r="G134">
        <v>-201.6</v>
      </c>
      <c r="H134">
        <v>0</v>
      </c>
      <c r="I134">
        <v>201.6</v>
      </c>
      <c r="J134">
        <v>24914</v>
      </c>
      <c r="K134" s="30">
        <v>0</v>
      </c>
      <c r="L134" s="18">
        <f t="shared" ref="L134" si="59">G134+J134+K134</f>
        <v>24712.400000000001</v>
      </c>
      <c r="M134" s="37">
        <f t="shared" si="45"/>
        <v>24712.399999999907</v>
      </c>
      <c r="O134" s="41">
        <f ca="1">SUMIFS(Stock!$O:$O,Stock!$A:$A,'Asset Line A share'!$A134,Stock!$I:$I,O$2)</f>
        <v>0</v>
      </c>
      <c r="P134" s="41">
        <f ca="1">SUMIFS(Stock!$O:$O,Stock!$A:$A,'Asset Line A share'!$A134,Stock!$I:$I,P$2)</f>
        <v>168000</v>
      </c>
      <c r="Q134" s="40" t="str">
        <f t="shared" ca="1" si="57"/>
        <v/>
      </c>
      <c r="R134" s="40">
        <f t="shared" ca="1" si="58"/>
        <v>1.1999999999999999E-3</v>
      </c>
      <c r="S134" s="41">
        <f t="shared" ref="S134:S177" ca="1" si="60">+S135+P135-O135</f>
        <v>1861405.1500000004</v>
      </c>
      <c r="T134" s="30">
        <v>1311175</v>
      </c>
      <c r="U134" s="20">
        <f t="shared" si="34"/>
        <v>3015151.4742372883</v>
      </c>
      <c r="V134" s="20"/>
      <c r="W134" s="4">
        <f t="shared" ref="W134" si="61">U134/U133-1</f>
        <v>1.0324985010454757E-2</v>
      </c>
      <c r="X134" s="20">
        <f t="shared" si="36"/>
        <v>30813.247457627207</v>
      </c>
      <c r="Y134" s="17" t="s">
        <v>3675</v>
      </c>
      <c r="Z134" s="30">
        <f t="shared" si="49"/>
        <v>1.035370490139051</v>
      </c>
    </row>
    <row r="135" spans="1:26" x14ac:dyDescent="0.15">
      <c r="A135" s="1">
        <v>42877</v>
      </c>
      <c r="B135">
        <f t="shared" si="33"/>
        <v>1</v>
      </c>
      <c r="C135" s="30">
        <v>0</v>
      </c>
      <c r="D135" s="20">
        <v>1920510.61</v>
      </c>
      <c r="E135" s="20">
        <v>1920510.61</v>
      </c>
      <c r="F135" s="4">
        <f t="shared" si="47"/>
        <v>8.678839072690403E-3</v>
      </c>
      <c r="G135">
        <v>-754.61</v>
      </c>
      <c r="H135" s="30">
        <v>-754.61</v>
      </c>
      <c r="I135">
        <v>0</v>
      </c>
      <c r="J135">
        <v>17279</v>
      </c>
      <c r="K135" s="30">
        <v>0</v>
      </c>
      <c r="L135" s="18">
        <f t="shared" ref="L135:L138" si="62">G135+J135+K135</f>
        <v>16524.39</v>
      </c>
      <c r="M135" s="37">
        <f t="shared" si="45"/>
        <v>16524.39000000013</v>
      </c>
      <c r="O135" s="41">
        <f ca="1">SUMIFS(Stock!$O:$O,Stock!$A:$A,'Asset Line A share'!$A135,Stock!$I:$I,O$2)</f>
        <v>148238</v>
      </c>
      <c r="P135" s="41">
        <f ca="1">SUMIFS(Stock!$O:$O,Stock!$A:$A,'Asset Line A share'!$A135,Stock!$I:$I,P$2)</f>
        <v>0</v>
      </c>
      <c r="Q135" s="40">
        <f t="shared" ca="1" si="57"/>
        <v>-5.0905300934982935E-3</v>
      </c>
      <c r="R135" s="40" t="str">
        <f t="shared" ca="1" si="58"/>
        <v/>
      </c>
      <c r="S135" s="41">
        <f t="shared" ca="1" si="60"/>
        <v>2009643.1500000004</v>
      </c>
      <c r="T135" s="30">
        <v>1328304</v>
      </c>
      <c r="U135" s="20">
        <f t="shared" si="34"/>
        <v>3046191.9659322035</v>
      </c>
      <c r="V135" s="20"/>
      <c r="W135" s="4">
        <f t="shared" ref="W135" si="63">U135/U134-1</f>
        <v>1.0294836581225875E-2</v>
      </c>
      <c r="X135" s="20">
        <f t="shared" si="36"/>
        <v>31040.491694915108</v>
      </c>
      <c r="Y135" s="17"/>
      <c r="Z135" s="30">
        <f t="shared" si="49"/>
        <v>1.0460294601360562</v>
      </c>
    </row>
    <row r="136" spans="1:26" x14ac:dyDescent="0.15">
      <c r="A136" s="1">
        <v>42878</v>
      </c>
      <c r="B136">
        <f t="shared" si="33"/>
        <v>2</v>
      </c>
      <c r="C136" s="30">
        <v>0</v>
      </c>
      <c r="D136" s="20">
        <v>1954250.56</v>
      </c>
      <c r="E136" s="20">
        <v>1954250.56</v>
      </c>
      <c r="F136" s="4">
        <f t="shared" si="47"/>
        <v>1.7568218485395359E-2</v>
      </c>
      <c r="G136">
        <v>-5458.04</v>
      </c>
      <c r="H136">
        <v>2059.39</v>
      </c>
      <c r="I136">
        <v>-7517.43</v>
      </c>
      <c r="J136">
        <v>39198</v>
      </c>
      <c r="K136" s="30">
        <v>0</v>
      </c>
      <c r="L136" s="18">
        <f t="shared" si="62"/>
        <v>33739.96</v>
      </c>
      <c r="M136" s="37">
        <f t="shared" si="45"/>
        <v>33739.949999999953</v>
      </c>
      <c r="N136" s="17" t="s">
        <v>3687</v>
      </c>
      <c r="O136" s="41">
        <f ca="1">SUMIFS(Stock!$O:$O,Stock!$A:$A,'Asset Line A share'!$A136,Stock!$I:$I,O$2)</f>
        <v>223668</v>
      </c>
      <c r="P136" s="41">
        <f ca="1">SUMIFS(Stock!$O:$O,Stock!$A:$A,'Asset Line A share'!$A136,Stock!$I:$I,P$2)</f>
        <v>201207</v>
      </c>
      <c r="Q136" s="40">
        <f t="shared" ca="1" si="57"/>
        <v>9.2073519680955698E-3</v>
      </c>
      <c r="R136" s="40">
        <f t="shared" ca="1" si="58"/>
        <v>-3.7361672307623495E-2</v>
      </c>
      <c r="S136" s="41">
        <f t="shared" ca="1" si="60"/>
        <v>2032104.1500000004</v>
      </c>
      <c r="T136">
        <v>1643140</v>
      </c>
      <c r="U136" s="20">
        <f t="shared" si="34"/>
        <v>3346742.0854237289</v>
      </c>
      <c r="V136" s="20">
        <f>34000*6.8</f>
        <v>231200</v>
      </c>
      <c r="W136" s="4">
        <f>(U136-V136)/(U135)-1</f>
        <v>2.2766168471034964E-2</v>
      </c>
      <c r="X136" s="20">
        <f t="shared" si="36"/>
        <v>69350.11949152546</v>
      </c>
      <c r="Y136" s="17"/>
      <c r="Z136" s="30">
        <f t="shared" si="49"/>
        <v>1.0698435430511795</v>
      </c>
    </row>
    <row r="137" spans="1:26" ht="40.5" x14ac:dyDescent="0.15">
      <c r="A137" s="1">
        <v>42879</v>
      </c>
      <c r="B137">
        <f t="shared" si="33"/>
        <v>3</v>
      </c>
      <c r="C137" s="30">
        <v>0</v>
      </c>
      <c r="D137" s="20">
        <v>1955084.59</v>
      </c>
      <c r="E137" s="20">
        <v>1955084.59</v>
      </c>
      <c r="F137" s="4">
        <f t="shared" si="47"/>
        <v>4.2677741384400392E-4</v>
      </c>
      <c r="G137">
        <v>1598.02</v>
      </c>
      <c r="H137">
        <v>1332.85</v>
      </c>
      <c r="I137">
        <v>265.17</v>
      </c>
      <c r="J137">
        <v>-762</v>
      </c>
      <c r="K137" s="30">
        <v>-2</v>
      </c>
      <c r="L137" s="18">
        <f t="shared" si="62"/>
        <v>834.02</v>
      </c>
      <c r="M137" s="37">
        <f t="shared" si="45"/>
        <v>834.03000000002794</v>
      </c>
      <c r="N137" s="17" t="s">
        <v>3693</v>
      </c>
      <c r="O137" s="41">
        <f ca="1">SUMIFS(Stock!$O:$O,Stock!$A:$A,'Asset Line A share'!$A137,Stock!$I:$I,O$2)</f>
        <v>185750</v>
      </c>
      <c r="P137" s="41">
        <f ca="1">SUMIFS(Stock!$O:$O,Stock!$A:$A,'Asset Line A share'!$A137,Stock!$I:$I,P$2)</f>
        <v>389858</v>
      </c>
      <c r="Q137" s="40">
        <f t="shared" ca="1" si="57"/>
        <v>7.1755047106325702E-3</v>
      </c>
      <c r="R137" s="40">
        <f t="shared" ca="1" si="58"/>
        <v>6.8017072882947129E-4</v>
      </c>
      <c r="S137" s="41">
        <f t="shared" ca="1" si="60"/>
        <v>1827996.1500000001</v>
      </c>
      <c r="T137" s="30">
        <v>1641301</v>
      </c>
      <c r="U137" s="20">
        <f t="shared" si="34"/>
        <v>3346017.6408474576</v>
      </c>
      <c r="V137" s="20"/>
      <c r="W137" s="4">
        <f>U137/U136-1</f>
        <v>-2.164626247797008E-4</v>
      </c>
      <c r="X137" s="20">
        <f t="shared" si="36"/>
        <v>-724.44457627134398</v>
      </c>
      <c r="Y137" s="17" t="s">
        <v>3694</v>
      </c>
      <c r="Z137" s="30">
        <f t="shared" si="49"/>
        <v>1.0696119619097471</v>
      </c>
    </row>
    <row r="138" spans="1:26" x14ac:dyDescent="0.15">
      <c r="A138" s="1">
        <v>42880</v>
      </c>
      <c r="B138">
        <f t="shared" si="33"/>
        <v>4</v>
      </c>
      <c r="C138" s="30">
        <v>0</v>
      </c>
      <c r="D138" s="20">
        <v>1958037.43</v>
      </c>
      <c r="E138" s="20">
        <v>1958037.43</v>
      </c>
      <c r="F138" s="4">
        <f t="shared" si="47"/>
        <v>1.5103387419159731E-3</v>
      </c>
      <c r="G138">
        <v>1138.8</v>
      </c>
      <c r="H138">
        <v>1400.46</v>
      </c>
      <c r="I138">
        <v>-261.66000000000003</v>
      </c>
      <c r="J138">
        <v>1801</v>
      </c>
      <c r="K138" s="30">
        <v>14.4444</v>
      </c>
      <c r="L138" s="18">
        <f t="shared" si="62"/>
        <v>2954.2444</v>
      </c>
      <c r="M138" s="37">
        <f t="shared" ref="M138:M169" si="64">+E138-E137</f>
        <v>2952.839999999851</v>
      </c>
      <c r="O138" s="41">
        <f ca="1">SUMIFS(Stock!$O:$O,Stock!$A:$A,'Asset Line A share'!$A138,Stock!$I:$I,O$2)</f>
        <v>289243.8</v>
      </c>
      <c r="P138" s="41">
        <f ca="1">SUMIFS(Stock!$O:$O,Stock!$A:$A,'Asset Line A share'!$A138,Stock!$I:$I,P$2)</f>
        <v>118575</v>
      </c>
      <c r="Q138" s="40">
        <f t="shared" ca="1" si="57"/>
        <v>4.841797819002517E-3</v>
      </c>
      <c r="R138" s="40">
        <f t="shared" ca="1" si="58"/>
        <v>-2.2067046173308035E-3</v>
      </c>
      <c r="S138" s="41">
        <f t="shared" ca="1" si="60"/>
        <v>1998664.9500000002</v>
      </c>
      <c r="T138" s="30">
        <v>1697607</v>
      </c>
      <c r="U138" s="20">
        <f t="shared" si="34"/>
        <v>3396687.4299999997</v>
      </c>
      <c r="V138" s="20"/>
      <c r="W138" s="4">
        <f>U138/U137-1</f>
        <v>1.5143312017837696E-2</v>
      </c>
      <c r="X138" s="20">
        <f t="shared" si="36"/>
        <v>50669.789152542129</v>
      </c>
      <c r="Y138" s="17" t="s">
        <v>3702</v>
      </c>
      <c r="Z138" s="30">
        <f t="shared" si="49"/>
        <v>1.0858094295869578</v>
      </c>
    </row>
    <row r="139" spans="1:26" x14ac:dyDescent="0.15">
      <c r="A139" s="1">
        <v>42881</v>
      </c>
      <c r="B139">
        <f t="shared" si="33"/>
        <v>5</v>
      </c>
      <c r="C139" s="30">
        <v>0</v>
      </c>
      <c r="D139" s="20">
        <v>1957469.43</v>
      </c>
      <c r="E139" s="20">
        <v>1957469.43</v>
      </c>
      <c r="F139" s="4">
        <f t="shared" si="47"/>
        <v>-2.9008638512084683E-4</v>
      </c>
      <c r="G139" s="30">
        <v>0</v>
      </c>
      <c r="H139" s="30">
        <v>0</v>
      </c>
      <c r="I139" s="30">
        <v>0</v>
      </c>
      <c r="J139">
        <v>-568</v>
      </c>
      <c r="K139" s="30">
        <v>0</v>
      </c>
      <c r="L139" s="18">
        <f t="shared" ref="L139" si="65">G139+J139+K139</f>
        <v>-568</v>
      </c>
      <c r="M139" s="37">
        <f t="shared" si="64"/>
        <v>-568</v>
      </c>
      <c r="O139" s="41">
        <f ca="1">SUMIFS(Stock!$O:$O,Stock!$A:$A,'Asset Line A share'!$A139,Stock!$I:$I,O$2)</f>
        <v>0</v>
      </c>
      <c r="P139" s="41">
        <f ca="1">SUMIFS(Stock!$O:$O,Stock!$A:$A,'Asset Line A share'!$A139,Stock!$I:$I,P$2)</f>
        <v>0</v>
      </c>
      <c r="Q139" s="40" t="str">
        <f t="shared" ca="1" si="57"/>
        <v/>
      </c>
      <c r="R139" s="40" t="str">
        <f t="shared" ca="1" si="58"/>
        <v/>
      </c>
      <c r="S139" s="41">
        <f t="shared" ca="1" si="60"/>
        <v>1998664.9500000002</v>
      </c>
      <c r="T139" s="30">
        <v>1697607</v>
      </c>
      <c r="U139" s="20">
        <f t="shared" si="34"/>
        <v>3396119.4299999997</v>
      </c>
      <c r="V139" s="20"/>
      <c r="W139" s="4">
        <f t="shared" ref="W139:W140" si="66">U139/U138-1</f>
        <v>-1.6722174521666133E-4</v>
      </c>
      <c r="X139" s="20">
        <f t="shared" si="36"/>
        <v>-568</v>
      </c>
      <c r="Y139" s="17"/>
      <c r="Z139" s="30">
        <f t="shared" si="49"/>
        <v>1.0856278586391697</v>
      </c>
    </row>
    <row r="140" spans="1:26" x14ac:dyDescent="0.15">
      <c r="A140" s="1">
        <v>42886</v>
      </c>
      <c r="B140">
        <f t="shared" si="33"/>
        <v>3</v>
      </c>
      <c r="C140" s="30">
        <v>0</v>
      </c>
      <c r="D140" s="20">
        <v>1954150.98</v>
      </c>
      <c r="E140" s="20">
        <v>1954150.98</v>
      </c>
      <c r="F140" s="4">
        <f t="shared" si="47"/>
        <v>-1.6952755170229761E-3</v>
      </c>
      <c r="G140">
        <v>-260.44</v>
      </c>
      <c r="H140">
        <v>-18.84</v>
      </c>
      <c r="I140">
        <v>-241.6</v>
      </c>
      <c r="J140">
        <v>-3058</v>
      </c>
      <c r="K140" s="30">
        <v>0</v>
      </c>
      <c r="L140" s="18">
        <f t="shared" ref="L140:L142" si="67">G140+J140+K140</f>
        <v>-3318.44</v>
      </c>
      <c r="M140" s="37">
        <f t="shared" si="64"/>
        <v>-3318.4499999999534</v>
      </c>
      <c r="N140" s="17" t="s">
        <v>3706</v>
      </c>
      <c r="O140" s="41">
        <f ca="1">SUMIFS(Stock!$O:$O,Stock!$A:$A,'Asset Line A share'!$A140,Stock!$I:$I,O$2)</f>
        <v>199756</v>
      </c>
      <c r="P140" s="41">
        <f ca="1">SUMIFS(Stock!$O:$O,Stock!$A:$A,'Asset Line A share'!$A140,Stock!$I:$I,P$2)</f>
        <v>182660</v>
      </c>
      <c r="Q140" s="40">
        <f t="shared" ca="1" si="57"/>
        <v>-9.4315064378541825E-5</v>
      </c>
      <c r="R140" s="40">
        <f t="shared" ca="1" si="58"/>
        <v>-1.3226760100733604E-3</v>
      </c>
      <c r="S140" s="41">
        <f t="shared" ca="1" si="60"/>
        <v>2015760.9500000002</v>
      </c>
      <c r="T140" s="30">
        <v>1694821</v>
      </c>
      <c r="U140" s="20">
        <f t="shared" si="34"/>
        <v>3390439.9630508474</v>
      </c>
      <c r="V140" s="20"/>
      <c r="W140" s="4">
        <f t="shared" si="66"/>
        <v>-1.6723401712501751E-3</v>
      </c>
      <c r="X140" s="20">
        <f t="shared" si="36"/>
        <v>-5679.4669491522945</v>
      </c>
      <c r="Y140" s="17"/>
      <c r="Z140" s="30">
        <f t="shared" si="49"/>
        <v>1.083812319560139</v>
      </c>
    </row>
    <row r="141" spans="1:26" ht="27" x14ac:dyDescent="0.15">
      <c r="A141" s="1">
        <v>42887</v>
      </c>
      <c r="B141">
        <f t="shared" si="33"/>
        <v>4</v>
      </c>
      <c r="C141" s="30">
        <v>0</v>
      </c>
      <c r="D141" s="20">
        <v>1973566.67</v>
      </c>
      <c r="E141" s="20">
        <v>1973566.67</v>
      </c>
      <c r="F141" s="4">
        <f t="shared" si="47"/>
        <v>9.935614084434663E-3</v>
      </c>
      <c r="G141">
        <v>-149.31</v>
      </c>
      <c r="H141" s="30">
        <v>-149.31</v>
      </c>
      <c r="I141">
        <v>0</v>
      </c>
      <c r="J141">
        <v>19565</v>
      </c>
      <c r="K141" s="30">
        <v>0</v>
      </c>
      <c r="L141" s="18">
        <f t="shared" si="67"/>
        <v>19415.689999999999</v>
      </c>
      <c r="M141" s="37">
        <f t="shared" si="64"/>
        <v>19415.689999999944</v>
      </c>
      <c r="N141" s="17" t="s">
        <v>3708</v>
      </c>
      <c r="O141" s="41">
        <f ca="1">SUMIFS(Stock!$O:$O,Stock!$A:$A,'Asset Line A share'!$A141,Stock!$I:$I,O$2)</f>
        <v>15378</v>
      </c>
      <c r="P141" s="41">
        <f ca="1">SUMIFS(Stock!$O:$O,Stock!$A:$A,'Asset Line A share'!$A141,Stock!$I:$I,P$2)</f>
        <v>0</v>
      </c>
      <c r="Q141" s="40">
        <f t="shared" ca="1" si="57"/>
        <v>-9.7093250097541953E-3</v>
      </c>
      <c r="R141" s="40" t="str">
        <f t="shared" ca="1" si="58"/>
        <v/>
      </c>
      <c r="S141" s="41">
        <f t="shared" ca="1" si="60"/>
        <v>2031138.9500000002</v>
      </c>
      <c r="T141" s="30">
        <v>1702829</v>
      </c>
      <c r="U141" s="20">
        <f t="shared" si="34"/>
        <v>3416642.0937288133</v>
      </c>
      <c r="V141" s="20"/>
      <c r="W141" s="4">
        <f t="shared" ref="W141" si="68">U141/U140-1</f>
        <v>7.7282390968480552E-3</v>
      </c>
      <c r="X141" s="20">
        <f t="shared" si="36"/>
        <v>26202.130677965935</v>
      </c>
      <c r="Y141" s="17"/>
      <c r="Z141" s="30">
        <f t="shared" si="49"/>
        <v>1.0921882803018093</v>
      </c>
    </row>
    <row r="142" spans="1:26" x14ac:dyDescent="0.15">
      <c r="A142" s="1">
        <v>42888</v>
      </c>
      <c r="B142">
        <f t="shared" si="33"/>
        <v>5</v>
      </c>
      <c r="C142" s="30">
        <v>0</v>
      </c>
      <c r="D142" s="20">
        <v>1976829.81</v>
      </c>
      <c r="E142" s="20">
        <v>1976829.81</v>
      </c>
      <c r="F142" s="4">
        <f t="shared" si="47"/>
        <v>1.653422734383847E-3</v>
      </c>
      <c r="G142">
        <v>-239.86</v>
      </c>
      <c r="H142">
        <v>47.82</v>
      </c>
      <c r="I142">
        <v>-287.68</v>
      </c>
      <c r="J142">
        <v>3503</v>
      </c>
      <c r="K142" s="30">
        <v>0</v>
      </c>
      <c r="L142" s="18">
        <f t="shared" si="67"/>
        <v>3263.14</v>
      </c>
      <c r="M142" s="37">
        <f t="shared" si="64"/>
        <v>3263.1400000001304</v>
      </c>
      <c r="O142" s="41">
        <f ca="1">SUMIFS(Stock!$O:$O,Stock!$A:$A,'Asset Line A share'!$A142,Stock!$I:$I,O$2)</f>
        <v>191216</v>
      </c>
      <c r="P142" s="41">
        <f ca="1">SUMIFS(Stock!$O:$O,Stock!$A:$A,'Asset Line A share'!$A142,Stock!$I:$I,P$2)</f>
        <v>235800</v>
      </c>
      <c r="Q142" s="40">
        <f t="shared" ca="1" si="57"/>
        <v>2.500836750062756E-4</v>
      </c>
      <c r="R142" s="40">
        <f t="shared" ca="1" si="58"/>
        <v>-1.2200169635284139E-3</v>
      </c>
      <c r="S142" s="41">
        <f t="shared" ca="1" si="60"/>
        <v>1986554.9500000002</v>
      </c>
      <c r="T142" s="30">
        <v>1696435</v>
      </c>
      <c r="U142" s="20">
        <f t="shared" si="34"/>
        <v>3414486.5896610171</v>
      </c>
      <c r="V142" s="20"/>
      <c r="W142" s="4">
        <f t="shared" ref="W142" si="69">U142/U141-1</f>
        <v>-6.3088377672115836E-4</v>
      </c>
      <c r="X142" s="20">
        <f t="shared" si="36"/>
        <v>-2155.5040677962825</v>
      </c>
      <c r="Y142" s="17" t="s">
        <v>3713</v>
      </c>
      <c r="Z142" s="30">
        <f t="shared" si="49"/>
        <v>1.0914992364346419</v>
      </c>
    </row>
    <row r="143" spans="1:26" x14ac:dyDescent="0.15">
      <c r="A143" s="1">
        <v>42891</v>
      </c>
      <c r="B143">
        <f t="shared" si="33"/>
        <v>1</v>
      </c>
      <c r="C143" s="30">
        <v>0</v>
      </c>
      <c r="D143" s="20">
        <v>1973719</v>
      </c>
      <c r="E143" s="20">
        <v>1973719</v>
      </c>
      <c r="F143" s="4">
        <f t="shared" si="47"/>
        <v>-1.5736357193035788E-3</v>
      </c>
      <c r="G143" s="30">
        <v>504.22</v>
      </c>
      <c r="H143">
        <v>270.85000000000002</v>
      </c>
      <c r="I143">
        <v>233.36</v>
      </c>
      <c r="J143">
        <v>-3615</v>
      </c>
      <c r="K143" s="30">
        <v>0</v>
      </c>
      <c r="L143" s="18">
        <f t="shared" ref="L143" si="70">G143+J143+K143</f>
        <v>-3110.7799999999997</v>
      </c>
      <c r="M143" s="37">
        <f t="shared" si="64"/>
        <v>-3110.8100000000559</v>
      </c>
      <c r="N143" s="17" t="s">
        <v>3724</v>
      </c>
      <c r="O143" s="41">
        <f ca="1">SUMIFS(Stock!$O:$O,Stock!$A:$A,'Asset Line A share'!$A143,Stock!$I:$I,O$2)</f>
        <v>95798</v>
      </c>
      <c r="P143" s="41">
        <f ca="1">SUMIFS(Stock!$O:$O,Stock!$A:$A,'Asset Line A share'!$A143,Stock!$I:$I,P$2)</f>
        <v>143030</v>
      </c>
      <c r="Q143" s="40">
        <f t="shared" ca="1" si="57"/>
        <v>2.8273032839934032E-3</v>
      </c>
      <c r="R143" s="40">
        <f t="shared" ca="1" si="58"/>
        <v>1.6315458295462491E-3</v>
      </c>
      <c r="S143" s="41">
        <f t="shared" ca="1" si="60"/>
        <v>1939322.9500000002</v>
      </c>
      <c r="T143" s="30">
        <v>1687108</v>
      </c>
      <c r="U143" s="20">
        <f t="shared" si="34"/>
        <v>3403471.5423728814</v>
      </c>
      <c r="V143" s="20"/>
      <c r="W143" s="4">
        <f>U143/U142-1</f>
        <v>-3.2259746813734225E-3</v>
      </c>
      <c r="X143" s="20">
        <f t="shared" si="36"/>
        <v>-11015.047288135625</v>
      </c>
      <c r="Y143" s="17" t="s">
        <v>3725</v>
      </c>
      <c r="Z143" s="30">
        <f t="shared" si="49"/>
        <v>1.0879780875331653</v>
      </c>
    </row>
    <row r="144" spans="1:26" x14ac:dyDescent="0.15">
      <c r="A144" s="1">
        <v>42892</v>
      </c>
      <c r="B144">
        <f t="shared" si="33"/>
        <v>2</v>
      </c>
      <c r="C144" s="30">
        <v>0</v>
      </c>
      <c r="D144" s="20">
        <v>2000933.68</v>
      </c>
      <c r="E144" s="20">
        <v>2000933.68</v>
      </c>
      <c r="F144" s="4">
        <f t="shared" si="47"/>
        <v>1.3788528154210278E-2</v>
      </c>
      <c r="G144" s="20">
        <v>2874.66</v>
      </c>
      <c r="H144">
        <v>3221.58</v>
      </c>
      <c r="I144">
        <v>-346.92</v>
      </c>
      <c r="J144">
        <v>24418</v>
      </c>
      <c r="K144" s="30">
        <v>0</v>
      </c>
      <c r="L144" s="18">
        <f t="shared" ref="L144:L151" si="71">G144+J144+K144</f>
        <v>27292.66</v>
      </c>
      <c r="M144" s="37">
        <f t="shared" si="64"/>
        <v>27214.679999999935</v>
      </c>
      <c r="O144" s="41">
        <f ca="1">SUMIFS(Stock!$O:$O,Stock!$A:$A,'Asset Line A share'!$A144,Stock!$I:$I,O$2)</f>
        <v>212558</v>
      </c>
      <c r="P144" s="41">
        <f ca="1">SUMIFS(Stock!$O:$O,Stock!$A:$A,'Asset Line A share'!$A144,Stock!$I:$I,P$2)</f>
        <v>473827</v>
      </c>
      <c r="Q144" s="40">
        <f t="shared" ca="1" si="57"/>
        <v>1.5156239708691274E-2</v>
      </c>
      <c r="R144" s="40">
        <f t="shared" ca="1" si="58"/>
        <v>-7.3216595930582261E-4</v>
      </c>
      <c r="S144" s="41">
        <f t="shared" ca="1" si="60"/>
        <v>1678053.9500000002</v>
      </c>
      <c r="T144">
        <v>1699605</v>
      </c>
      <c r="U144" s="20">
        <f t="shared" si="34"/>
        <v>3441276.9003389832</v>
      </c>
      <c r="V144" s="20"/>
      <c r="W144" s="4">
        <f>U144/U143-1</f>
        <v>1.1107881319243784E-2</v>
      </c>
      <c r="X144" s="20">
        <f t="shared" si="36"/>
        <v>37805.357966101728</v>
      </c>
      <c r="Y144" s="17" t="s">
        <v>3736</v>
      </c>
      <c r="Z144" s="30">
        <f t="shared" si="49"/>
        <v>1.1000632190074215</v>
      </c>
    </row>
    <row r="145" spans="1:26" x14ac:dyDescent="0.15">
      <c r="A145" s="1">
        <v>42893</v>
      </c>
      <c r="B145">
        <f t="shared" si="33"/>
        <v>3</v>
      </c>
      <c r="C145" s="30">
        <v>0</v>
      </c>
      <c r="D145" s="20">
        <v>2023289.15</v>
      </c>
      <c r="E145" s="20">
        <v>2023289.15</v>
      </c>
      <c r="F145" s="4">
        <f t="shared" si="47"/>
        <v>1.117251922112672E-2</v>
      </c>
      <c r="G145">
        <v>717.28</v>
      </c>
      <c r="H145">
        <v>782.56</v>
      </c>
      <c r="I145">
        <v>-65.28</v>
      </c>
      <c r="J145">
        <v>21613</v>
      </c>
      <c r="K145" s="30">
        <f>28.5833333-3</f>
        <v>25.5833333</v>
      </c>
      <c r="L145" s="18">
        <f t="shared" si="71"/>
        <v>22355.8633333</v>
      </c>
      <c r="M145" s="37">
        <f t="shared" si="64"/>
        <v>22355.469999999972</v>
      </c>
      <c r="N145" s="17" t="s">
        <v>3741</v>
      </c>
      <c r="O145" s="41">
        <f ca="1">SUMIFS(Stock!$O:$O,Stock!$A:$A,'Asset Line A share'!$A145,Stock!$I:$I,O$2)</f>
        <v>170127</v>
      </c>
      <c r="P145" s="41">
        <f ca="1">SUMIFS(Stock!$O:$O,Stock!$A:$A,'Asset Line A share'!$A145,Stock!$I:$I,P$2)</f>
        <v>117249</v>
      </c>
      <c r="Q145" s="40">
        <f t="shared" ca="1" si="57"/>
        <v>4.5998577533254564E-3</v>
      </c>
      <c r="R145" s="40">
        <f t="shared" ca="1" si="58"/>
        <v>-5.5676381035232707E-4</v>
      </c>
      <c r="S145" s="41">
        <f t="shared" ca="1" si="60"/>
        <v>1730931.9500000002</v>
      </c>
      <c r="T145" s="30">
        <v>1717879</v>
      </c>
      <c r="U145" s="20">
        <f t="shared" si="34"/>
        <v>3479118.8110169489</v>
      </c>
      <c r="V145" s="20"/>
      <c r="W145" s="4">
        <f>U145/U144-1</f>
        <v>1.099647362705336E-2</v>
      </c>
      <c r="X145" s="20">
        <f t="shared" si="36"/>
        <v>37841.91067796573</v>
      </c>
      <c r="Y145" s="17" t="s">
        <v>3742</v>
      </c>
      <c r="Z145" s="30">
        <f t="shared" si="49"/>
        <v>1.1121600351833281</v>
      </c>
    </row>
    <row r="146" spans="1:26" x14ac:dyDescent="0.15">
      <c r="A146" s="1">
        <v>42894</v>
      </c>
      <c r="B146">
        <f t="shared" si="33"/>
        <v>4</v>
      </c>
      <c r="C146" s="30">
        <v>0</v>
      </c>
      <c r="D146" s="20">
        <v>2054799.85</v>
      </c>
      <c r="E146" s="20">
        <v>2054799.85</v>
      </c>
      <c r="F146" s="4">
        <f t="shared" si="47"/>
        <v>1.5573997419004781E-2</v>
      </c>
      <c r="G146" s="30">
        <v>-3171.35</v>
      </c>
      <c r="H146">
        <v>0</v>
      </c>
      <c r="I146">
        <v>0</v>
      </c>
      <c r="J146">
        <v>34661</v>
      </c>
      <c r="K146" s="30">
        <f>26.4166666-7</f>
        <v>19.416666599999999</v>
      </c>
      <c r="L146" s="18">
        <f t="shared" si="71"/>
        <v>31509.0666666</v>
      </c>
      <c r="M146" s="37">
        <f t="shared" si="64"/>
        <v>31510.700000000186</v>
      </c>
      <c r="N146" s="17" t="s">
        <v>3748</v>
      </c>
      <c r="O146" s="41">
        <f ca="1">SUMIFS(Stock!$O:$O,Stock!$A:$A,'Asset Line A share'!$A146,Stock!$I:$I,O$2)</f>
        <v>0</v>
      </c>
      <c r="P146" s="41">
        <f ca="1">SUMIFS(Stock!$O:$O,Stock!$A:$A,'Asset Line A share'!$A146,Stock!$I:$I,P$2)</f>
        <v>430236</v>
      </c>
      <c r="Q146" s="40" t="str">
        <f t="shared" ca="1" si="57"/>
        <v/>
      </c>
      <c r="R146" s="40">
        <f t="shared" ca="1" si="58"/>
        <v>0</v>
      </c>
      <c r="S146" s="41">
        <f t="shared" ca="1" si="60"/>
        <v>1300695.9500000002</v>
      </c>
      <c r="T146" s="30">
        <v>1980956</v>
      </c>
      <c r="U146" s="20">
        <f t="shared" si="34"/>
        <v>3733576.1211864408</v>
      </c>
      <c r="V146" s="20">
        <f>32000*6.8</f>
        <v>217600</v>
      </c>
      <c r="W146" s="4">
        <f t="shared" ref="W146:W153" si="72">(U146-V146)/(U145)-1</f>
        <v>1.0593863610745213E-2</v>
      </c>
      <c r="X146" s="20">
        <f t="shared" si="36"/>
        <v>36857.310169491917</v>
      </c>
      <c r="Y146" s="17" t="s">
        <v>3750</v>
      </c>
      <c r="Z146" s="30">
        <f t="shared" si="49"/>
        <v>1.1239421069093818</v>
      </c>
    </row>
    <row r="147" spans="1:26" x14ac:dyDescent="0.15">
      <c r="A147" s="1">
        <v>42895</v>
      </c>
      <c r="B147">
        <f t="shared" si="33"/>
        <v>5</v>
      </c>
      <c r="C147" s="30">
        <v>0</v>
      </c>
      <c r="D147" s="20">
        <v>2062524.13</v>
      </c>
      <c r="E147" s="20">
        <v>2062524.13</v>
      </c>
      <c r="F147" s="4">
        <f t="shared" si="47"/>
        <v>3.7591398500442796E-3</v>
      </c>
      <c r="G147">
        <v>373.61</v>
      </c>
      <c r="H147" s="30">
        <v>373.61</v>
      </c>
      <c r="I147" s="30">
        <v>0</v>
      </c>
      <c r="J147">
        <v>7192</v>
      </c>
      <c r="K147" s="30">
        <f>54.688888-3</f>
        <v>51.688887999999999</v>
      </c>
      <c r="L147" s="18">
        <f t="shared" si="71"/>
        <v>7617.2988879999994</v>
      </c>
      <c r="M147" s="37">
        <f t="shared" si="64"/>
        <v>7724.2799999997951</v>
      </c>
      <c r="N147" s="17" t="s">
        <v>3759</v>
      </c>
      <c r="O147" s="41">
        <f ca="1">SUMIFS(Stock!$O:$O,Stock!$A:$A,'Asset Line A share'!$A147,Stock!$I:$I,O$2)</f>
        <v>337168</v>
      </c>
      <c r="P147" s="41">
        <f ca="1">SUMIFS(Stock!$O:$O,Stock!$A:$A,'Asset Line A share'!$A147,Stock!$I:$I,P$2)</f>
        <v>0</v>
      </c>
      <c r="Q147" s="40">
        <f t="shared" ca="1" si="57"/>
        <v>1.1080826175675035E-3</v>
      </c>
      <c r="R147" s="40" t="str">
        <f t="shared" ca="1" si="58"/>
        <v/>
      </c>
      <c r="S147" s="41">
        <f t="shared" ca="1" si="60"/>
        <v>1637863.9500000002</v>
      </c>
      <c r="T147" s="30">
        <v>1988410</v>
      </c>
      <c r="U147" s="20">
        <f t="shared" si="34"/>
        <v>3747617.3503389833</v>
      </c>
      <c r="V147" s="20"/>
      <c r="W147" s="4">
        <f t="shared" si="72"/>
        <v>3.7607989489927274E-3</v>
      </c>
      <c r="X147" s="20">
        <f t="shared" si="36"/>
        <v>14041.229152542539</v>
      </c>
      <c r="Y147" s="17" t="s">
        <v>3758</v>
      </c>
      <c r="Z147" s="30">
        <f t="shared" si="49"/>
        <v>1.1281690272037752</v>
      </c>
    </row>
    <row r="148" spans="1:26" x14ac:dyDescent="0.15">
      <c r="A148" s="1">
        <v>42898</v>
      </c>
      <c r="B148">
        <f t="shared" si="33"/>
        <v>1</v>
      </c>
      <c r="C148" s="30">
        <v>0</v>
      </c>
      <c r="D148" s="20">
        <v>2077391.66</v>
      </c>
      <c r="E148" s="20">
        <v>2077391.66</v>
      </c>
      <c r="F148" s="4">
        <f t="shared" si="47"/>
        <v>7.2084150598519248E-3</v>
      </c>
      <c r="G148">
        <v>227.94</v>
      </c>
      <c r="H148" s="30">
        <v>318.11</v>
      </c>
      <c r="I148">
        <v>-90.17</v>
      </c>
      <c r="J148">
        <v>14617</v>
      </c>
      <c r="K148" s="30">
        <v>22.916666599999999</v>
      </c>
      <c r="L148" s="18">
        <f t="shared" si="71"/>
        <v>14867.856666600001</v>
      </c>
      <c r="M148" s="37">
        <f t="shared" si="64"/>
        <v>14867.530000000028</v>
      </c>
      <c r="N148" s="17" t="s">
        <v>3766</v>
      </c>
      <c r="O148" s="41">
        <f ca="1">SUMIFS(Stock!$O:$O,Stock!$A:$A,'Asset Line A share'!$A148,Stock!$I:$I,O$2)</f>
        <v>359460</v>
      </c>
      <c r="P148" s="41">
        <f ca="1">SUMIFS(Stock!$O:$O,Stock!$A:$A,'Asset Line A share'!$A148,Stock!$I:$I,P$2)</f>
        <v>75140</v>
      </c>
      <c r="Q148" s="40">
        <f t="shared" ca="1" si="57"/>
        <v>8.8496633839648363E-4</v>
      </c>
      <c r="R148" s="40">
        <f t="shared" ca="1" si="58"/>
        <v>-1.2000266169816343E-3</v>
      </c>
      <c r="S148" s="41">
        <f t="shared" ca="1" si="60"/>
        <v>1922183.9500000002</v>
      </c>
      <c r="T148" s="30">
        <v>1981327</v>
      </c>
      <c r="U148" s="20">
        <f t="shared" si="34"/>
        <v>3756482.3379661017</v>
      </c>
      <c r="V148" s="20"/>
      <c r="W148" s="4">
        <f t="shared" si="72"/>
        <v>2.3654996757651592E-3</v>
      </c>
      <c r="X148" s="20">
        <f t="shared" si="36"/>
        <v>8864.9876271183603</v>
      </c>
      <c r="Y148" s="17" t="s">
        <v>3765</v>
      </c>
      <c r="Z148" s="30">
        <f t="shared" si="49"/>
        <v>1.1308377106718341</v>
      </c>
    </row>
    <row r="149" spans="1:26" ht="40.5" x14ac:dyDescent="0.15">
      <c r="A149" s="1">
        <v>42899</v>
      </c>
      <c r="B149">
        <f t="shared" si="33"/>
        <v>2</v>
      </c>
      <c r="C149" s="30">
        <v>0</v>
      </c>
      <c r="D149" s="20">
        <v>2089255.09</v>
      </c>
      <c r="E149" s="20">
        <v>2089255.09</v>
      </c>
      <c r="F149" s="4">
        <f t="shared" si="47"/>
        <v>5.7107334300168233E-3</v>
      </c>
      <c r="G149">
        <v>1379.42</v>
      </c>
      <c r="H149">
        <v>1819.89</v>
      </c>
      <c r="I149">
        <v>-440.47</v>
      </c>
      <c r="J149">
        <v>10486</v>
      </c>
      <c r="K149" s="30">
        <v>-2</v>
      </c>
      <c r="L149" s="18">
        <f t="shared" si="71"/>
        <v>11863.42</v>
      </c>
      <c r="M149" s="37">
        <f t="shared" si="64"/>
        <v>11863.430000000168</v>
      </c>
      <c r="N149" s="17" t="s">
        <v>3772</v>
      </c>
      <c r="O149" s="41">
        <f ca="1">SUMIFS(Stock!$O:$O,Stock!$A:$A,'Asset Line A share'!$A149,Stock!$I:$I,O$2)</f>
        <v>100528</v>
      </c>
      <c r="P149" s="41">
        <f ca="1">SUMIFS(Stock!$O:$O,Stock!$A:$A,'Asset Line A share'!$A149,Stock!$I:$I,P$2)</f>
        <v>307164</v>
      </c>
      <c r="Q149" s="40">
        <f t="shared" ca="1" si="57"/>
        <v>1.8103314499442941E-2</v>
      </c>
      <c r="R149" s="40">
        <f t="shared" ca="1" si="58"/>
        <v>-1.4339896602466435E-3</v>
      </c>
      <c r="S149" s="41">
        <f t="shared" ca="1" si="60"/>
        <v>1715547.9500000002</v>
      </c>
      <c r="T149" s="30">
        <v>1982381</v>
      </c>
      <c r="U149" s="20">
        <f t="shared" si="34"/>
        <v>3769238.9883050849</v>
      </c>
      <c r="V149" s="20"/>
      <c r="W149" s="4">
        <f t="shared" si="72"/>
        <v>3.3959031858219468E-3</v>
      </c>
      <c r="X149" s="20">
        <f t="shared" si="36"/>
        <v>12756.650338983163</v>
      </c>
      <c r="Y149" s="17" t="s">
        <v>3773</v>
      </c>
      <c r="Z149" s="30">
        <f t="shared" si="49"/>
        <v>1.1346779260561521</v>
      </c>
    </row>
    <row r="150" spans="1:26" ht="40.5" x14ac:dyDescent="0.15">
      <c r="A150" s="1">
        <v>42900</v>
      </c>
      <c r="B150">
        <f t="shared" si="33"/>
        <v>3</v>
      </c>
      <c r="C150" s="30">
        <v>0</v>
      </c>
      <c r="D150" s="20">
        <v>2046042.38</v>
      </c>
      <c r="E150" s="20">
        <v>2046042.38</v>
      </c>
      <c r="F150" s="4">
        <f t="shared" si="47"/>
        <v>-2.0683309667083427E-2</v>
      </c>
      <c r="G150">
        <v>-4219.42</v>
      </c>
      <c r="H150" s="30">
        <v>-4219.42</v>
      </c>
      <c r="I150">
        <v>0</v>
      </c>
      <c r="J150">
        <v>-39010</v>
      </c>
      <c r="K150" s="30">
        <v>16.805555600000002</v>
      </c>
      <c r="L150" s="18">
        <f t="shared" si="71"/>
        <v>-43212.614444399995</v>
      </c>
      <c r="M150" s="37">
        <f t="shared" si="64"/>
        <v>-43212.710000000196</v>
      </c>
      <c r="N150" s="17" t="s">
        <v>3782</v>
      </c>
      <c r="O150" s="41">
        <f ca="1">SUMIFS(Stock!$O:$O,Stock!$A:$A,'Asset Line A share'!$A150,Stock!$I:$I,O$2)</f>
        <v>323636</v>
      </c>
      <c r="P150" s="41">
        <f ca="1">SUMIFS(Stock!$O:$O,Stock!$A:$A,'Asset Line A share'!$A150,Stock!$I:$I,P$2)</f>
        <v>0</v>
      </c>
      <c r="Q150" s="40">
        <f t="shared" ca="1" si="57"/>
        <v>-1.3037548356795907E-2</v>
      </c>
      <c r="R150" s="40" t="str">
        <f t="shared" ca="1" si="58"/>
        <v/>
      </c>
      <c r="S150" s="41">
        <f t="shared" ca="1" si="60"/>
        <v>2039183.9500000002</v>
      </c>
      <c r="T150" s="30">
        <v>1949626</v>
      </c>
      <c r="U150" s="20">
        <f t="shared" si="34"/>
        <v>3698267.8037288133</v>
      </c>
      <c r="V150" s="20"/>
      <c r="W150" s="4">
        <f t="shared" si="72"/>
        <v>-1.8829048727468822E-2</v>
      </c>
      <c r="X150" s="20">
        <f t="shared" si="36"/>
        <v>-70971.184576271567</v>
      </c>
      <c r="Y150" s="17" t="s">
        <v>3781</v>
      </c>
      <c r="Z150" s="30">
        <f t="shared" si="49"/>
        <v>1.1133130200964576</v>
      </c>
    </row>
    <row r="151" spans="1:26" x14ac:dyDescent="0.15">
      <c r="A151" s="1">
        <v>42901</v>
      </c>
      <c r="B151">
        <f t="shared" si="33"/>
        <v>4</v>
      </c>
      <c r="C151" s="30">
        <v>0</v>
      </c>
      <c r="D151" s="20">
        <v>2040739.59</v>
      </c>
      <c r="E151" s="20">
        <v>2040739.59</v>
      </c>
      <c r="F151" s="4">
        <f t="shared" si="47"/>
        <v>-2.5917302846873991E-3</v>
      </c>
      <c r="G151">
        <v>-143.79</v>
      </c>
      <c r="H151">
        <v>0</v>
      </c>
      <c r="I151">
        <v>-143.79</v>
      </c>
      <c r="J151">
        <v>-5159</v>
      </c>
      <c r="K151" s="30">
        <v>0</v>
      </c>
      <c r="L151" s="18">
        <f t="shared" si="71"/>
        <v>-5302.79</v>
      </c>
      <c r="M151" s="37">
        <f t="shared" si="64"/>
        <v>-5302.7899999998044</v>
      </c>
      <c r="N151" s="17" t="s">
        <v>3783</v>
      </c>
      <c r="O151" s="41">
        <f ca="1">SUMIFS(Stock!$O:$O,Stock!$A:$A,'Asset Line A share'!$A151,Stock!$I:$I,O$2)</f>
        <v>0</v>
      </c>
      <c r="P151" s="41">
        <f ca="1">SUMIFS(Stock!$O:$O,Stock!$A:$A,'Asset Line A share'!$A151,Stock!$I:$I,P$2)</f>
        <v>27700</v>
      </c>
      <c r="Q151" s="40" t="str">
        <f t="shared" ca="1" si="57"/>
        <v/>
      </c>
      <c r="R151" s="40">
        <f t="shared" ca="1" si="58"/>
        <v>-5.1909747292418771E-3</v>
      </c>
      <c r="S151" s="41">
        <f t="shared" ca="1" si="60"/>
        <v>2011483.9500000002</v>
      </c>
      <c r="T151" s="30">
        <v>1924952</v>
      </c>
      <c r="U151" s="20">
        <f t="shared" si="34"/>
        <v>3672054.8442372885</v>
      </c>
      <c r="V151" s="20"/>
      <c r="W151" s="4">
        <f t="shared" si="72"/>
        <v>-7.0879019267061638E-3</v>
      </c>
      <c r="X151" s="20">
        <f t="shared" si="36"/>
        <v>-26212.959491524845</v>
      </c>
      <c r="Y151" s="17" t="s">
        <v>3784</v>
      </c>
      <c r="Z151" s="30">
        <f t="shared" si="49"/>
        <v>1.1054219665962888</v>
      </c>
    </row>
    <row r="152" spans="1:26" x14ac:dyDescent="0.15">
      <c r="A152" s="1">
        <v>42902</v>
      </c>
      <c r="B152">
        <f t="shared" si="33"/>
        <v>5</v>
      </c>
      <c r="C152" s="30">
        <v>0</v>
      </c>
      <c r="D152" s="20">
        <v>2035138.59</v>
      </c>
      <c r="E152" s="20">
        <v>2035138.59</v>
      </c>
      <c r="F152" s="4">
        <f t="shared" si="47"/>
        <v>-2.7445931991744166E-3</v>
      </c>
      <c r="G152">
        <v>0</v>
      </c>
      <c r="H152">
        <v>0</v>
      </c>
      <c r="I152">
        <v>0</v>
      </c>
      <c r="J152">
        <v>-5557</v>
      </c>
      <c r="K152" s="30">
        <v>-44</v>
      </c>
      <c r="L152" s="18">
        <f t="shared" ref="L152:L153" si="73">G152+J152+K152</f>
        <v>-5601</v>
      </c>
      <c r="M152" s="37">
        <f t="shared" si="64"/>
        <v>-5601</v>
      </c>
      <c r="N152" s="54" t="s">
        <v>3792</v>
      </c>
      <c r="O152" s="41">
        <f ca="1">SUMIFS(Stock!$O:$O,Stock!$A:$A,'Asset Line A share'!$A152,Stock!$I:$I,O$2)</f>
        <v>0</v>
      </c>
      <c r="P152" s="41">
        <f ca="1">SUMIFS(Stock!$O:$O,Stock!$A:$A,'Asset Line A share'!$A152,Stock!$I:$I,P$2)</f>
        <v>0</v>
      </c>
      <c r="Q152" s="40" t="str">
        <f t="shared" ca="1" si="57"/>
        <v/>
      </c>
      <c r="R152" s="40" t="str">
        <f t="shared" ca="1" si="58"/>
        <v/>
      </c>
      <c r="S152" s="41">
        <f t="shared" ca="1" si="60"/>
        <v>2011483.9500000002</v>
      </c>
      <c r="T152">
        <v>1921615</v>
      </c>
      <c r="U152" s="20">
        <f t="shared" si="34"/>
        <v>3663625.8781355936</v>
      </c>
      <c r="V152" s="20"/>
      <c r="W152" s="4">
        <f t="shared" si="72"/>
        <v>-2.2954357871105557E-3</v>
      </c>
      <c r="X152" s="20">
        <f t="shared" si="36"/>
        <v>-8428.9661016948521</v>
      </c>
      <c r="Y152" s="17" t="s">
        <v>3785</v>
      </c>
      <c r="Z152" s="30">
        <f t="shared" si="49"/>
        <v>1.1028845414543056</v>
      </c>
    </row>
    <row r="153" spans="1:26" x14ac:dyDescent="0.15">
      <c r="A153" s="1">
        <v>42905</v>
      </c>
      <c r="B153">
        <f t="shared" si="33"/>
        <v>1</v>
      </c>
      <c r="C153" s="30">
        <v>0</v>
      </c>
      <c r="D153" s="20">
        <v>2052765.08</v>
      </c>
      <c r="E153" s="20">
        <v>2052765.08</v>
      </c>
      <c r="F153" s="4">
        <f t="shared" si="47"/>
        <v>8.6610760007257426E-3</v>
      </c>
      <c r="G153">
        <v>-76.510000000000005</v>
      </c>
      <c r="H153">
        <v>425.62</v>
      </c>
      <c r="I153">
        <v>-502.13</v>
      </c>
      <c r="J153">
        <v>17703</v>
      </c>
      <c r="K153" s="30">
        <v>0</v>
      </c>
      <c r="L153" s="18">
        <f t="shared" si="73"/>
        <v>17626.490000000002</v>
      </c>
      <c r="M153" s="37">
        <f t="shared" si="64"/>
        <v>17626.489999999991</v>
      </c>
      <c r="N153" s="17" t="s">
        <v>3790</v>
      </c>
      <c r="O153" s="41">
        <f ca="1">SUMIFS(Stock!$O:$O,Stock!$A:$A,'Asset Line A share'!$A153,Stock!$I:$I,O$2)</f>
        <v>72983</v>
      </c>
      <c r="P153" s="41">
        <f ca="1">SUMIFS(Stock!$O:$O,Stock!$A:$A,'Asset Line A share'!$A153,Stock!$I:$I,P$2)</f>
        <v>195991</v>
      </c>
      <c r="Q153" s="40">
        <f t="shared" ca="1" si="57"/>
        <v>5.8317690421056962E-3</v>
      </c>
      <c r="R153" s="40">
        <f t="shared" ca="1" si="58"/>
        <v>-2.5620053982070607E-3</v>
      </c>
      <c r="S153" s="41">
        <f t="shared" ca="1" si="60"/>
        <v>1888475.9500000002</v>
      </c>
      <c r="T153" s="30">
        <v>1950841</v>
      </c>
      <c r="U153" s="20">
        <f t="shared" ref="U153:U203" si="74">T153/1.18+E153</f>
        <v>3706020.1647457629</v>
      </c>
      <c r="V153" s="20"/>
      <c r="W153" s="4">
        <f t="shared" si="72"/>
        <v>1.1571674625178607E-2</v>
      </c>
      <c r="X153" s="20">
        <f t="shared" si="36"/>
        <v>42394.286610169336</v>
      </c>
      <c r="Y153" s="17" t="s">
        <v>3791</v>
      </c>
      <c r="Z153" s="30">
        <f t="shared" si="49"/>
        <v>1.1156467625171542</v>
      </c>
    </row>
    <row r="154" spans="1:26" ht="67.5" x14ac:dyDescent="0.15">
      <c r="A154" s="1">
        <v>42906</v>
      </c>
      <c r="B154">
        <f t="shared" si="33"/>
        <v>2</v>
      </c>
      <c r="C154" s="30">
        <v>0</v>
      </c>
      <c r="D154" s="20">
        <v>2043917.79</v>
      </c>
      <c r="E154" s="20">
        <v>2043917.79</v>
      </c>
      <c r="F154" s="4">
        <f t="shared" si="47"/>
        <v>-4.3099378911882757E-3</v>
      </c>
      <c r="G154">
        <v>-248.25</v>
      </c>
      <c r="H154">
        <v>-466.55</v>
      </c>
      <c r="I154">
        <v>218.3</v>
      </c>
      <c r="J154">
        <v>-8599</v>
      </c>
      <c r="K154" s="30">
        <v>0</v>
      </c>
      <c r="L154" s="18">
        <f t="shared" ref="L154:L155" si="75">G154+J154+K154</f>
        <v>-8847.25</v>
      </c>
      <c r="M154" s="37">
        <f t="shared" si="64"/>
        <v>-8847.2900000000373</v>
      </c>
      <c r="N154" s="17" t="s">
        <v>3812</v>
      </c>
      <c r="O154" s="41">
        <f ca="1">SUMIFS(Stock!$O:$O,Stock!$A:$A,'Asset Line A share'!$A154,Stock!$I:$I,O$2)</f>
        <v>325992</v>
      </c>
      <c r="P154" s="41">
        <f ca="1">SUMIFS(Stock!$O:$O,Stock!$A:$A,'Asset Line A share'!$A154,Stock!$I:$I,P$2)</f>
        <v>193077</v>
      </c>
      <c r="Q154" s="40">
        <f t="shared" ca="1" si="57"/>
        <v>-1.43117009006356E-3</v>
      </c>
      <c r="R154" s="40">
        <f t="shared" ca="1" si="58"/>
        <v>1.1306369997462153E-3</v>
      </c>
      <c r="S154" s="41">
        <f t="shared" ca="1" si="60"/>
        <v>2021390.9500000002</v>
      </c>
      <c r="T154" s="30">
        <v>1939197</v>
      </c>
      <c r="U154" s="20">
        <f t="shared" si="74"/>
        <v>3687305.0781355933</v>
      </c>
      <c r="V154" s="2"/>
      <c r="W154" s="4">
        <f t="shared" ref="W154" si="76">(U154-V154)/(U153)-1</f>
        <v>-5.049914943313194E-3</v>
      </c>
      <c r="X154" s="20">
        <f t="shared" ref="X154:X162" si="77">(U154-V154)-(U153)</f>
        <v>-18715.086610169616</v>
      </c>
      <c r="Y154" s="17" t="s">
        <v>3814</v>
      </c>
      <c r="Z154" s="30">
        <f t="shared" si="49"/>
        <v>1.1100128412596599</v>
      </c>
    </row>
    <row r="155" spans="1:26" ht="54" x14ac:dyDescent="0.15">
      <c r="A155" s="1">
        <v>42907</v>
      </c>
      <c r="B155">
        <f t="shared" si="33"/>
        <v>3</v>
      </c>
      <c r="C155" s="30">
        <v>0</v>
      </c>
      <c r="D155" s="20">
        <v>2086394.72</v>
      </c>
      <c r="E155" s="20">
        <v>2086394.72</v>
      </c>
      <c r="F155" s="4">
        <f t="shared" si="47"/>
        <v>2.0782112767852468E-2</v>
      </c>
      <c r="G155">
        <v>-3904.52</v>
      </c>
      <c r="H155">
        <v>-1169.8399999999999</v>
      </c>
      <c r="I155">
        <v>-2734.68</v>
      </c>
      <c r="J155">
        <v>46332</v>
      </c>
      <c r="K155" s="30">
        <v>0</v>
      </c>
      <c r="L155" s="18">
        <f t="shared" si="75"/>
        <v>42427.48</v>
      </c>
      <c r="M155" s="37">
        <f t="shared" si="64"/>
        <v>42476.929999999935</v>
      </c>
      <c r="N155" s="17" t="s">
        <v>3820</v>
      </c>
      <c r="O155" s="41">
        <f ca="1">SUMIFS(Stock!$O:$O,Stock!$A:$A,'Asset Line A share'!$A155,Stock!$I:$I,O$2)</f>
        <v>49200</v>
      </c>
      <c r="P155" s="41">
        <f ca="1">SUMIFS(Stock!$O:$O,Stock!$A:$A,'Asset Line A share'!$A155,Stock!$I:$I,P$2)</f>
        <v>626535</v>
      </c>
      <c r="Q155" s="40">
        <f t="shared" ca="1" si="57"/>
        <v>-2.377723577235772E-2</v>
      </c>
      <c r="R155" s="40">
        <f t="shared" ca="1" si="58"/>
        <v>-4.3647681294740111E-3</v>
      </c>
      <c r="S155" s="41">
        <f t="shared" ca="1" si="60"/>
        <v>1444055.9500000002</v>
      </c>
      <c r="T155" s="30">
        <v>1971193</v>
      </c>
      <c r="U155" s="20">
        <f t="shared" si="74"/>
        <v>3756897.2623728812</v>
      </c>
      <c r="V155" s="2"/>
      <c r="W155" s="4">
        <f t="shared" ref="W155:W159" si="78">(U155-V155)/(U154)-1</f>
        <v>1.8873454396259426E-2</v>
      </c>
      <c r="X155" s="20">
        <f t="shared" si="77"/>
        <v>69592.184237287845</v>
      </c>
      <c r="Y155" s="17" t="s">
        <v>3821</v>
      </c>
      <c r="Z155" s="30">
        <f t="shared" si="49"/>
        <v>1.1309626179984364</v>
      </c>
    </row>
    <row r="156" spans="1:26" ht="40.5" x14ac:dyDescent="0.15">
      <c r="A156" s="1">
        <v>42908</v>
      </c>
      <c r="B156">
        <f t="shared" si="33"/>
        <v>4</v>
      </c>
      <c r="C156" s="30">
        <v>0</v>
      </c>
      <c r="D156" s="20">
        <v>2082909.96</v>
      </c>
      <c r="E156" s="20">
        <v>2082909.96</v>
      </c>
      <c r="F156" s="4">
        <f t="shared" si="47"/>
        <v>-1.6702304538041002E-3</v>
      </c>
      <c r="G156">
        <v>-2452.9699999999998</v>
      </c>
      <c r="H156">
        <v>-739.52</v>
      </c>
      <c r="I156">
        <v>-1713.44</v>
      </c>
      <c r="J156">
        <v>1016</v>
      </c>
      <c r="K156" s="30">
        <f>+-3-2044.8</f>
        <v>-2047.8</v>
      </c>
      <c r="L156" s="18">
        <f t="shared" ref="L156:L162" si="79">G156+J156+K156</f>
        <v>-3484.7699999999995</v>
      </c>
      <c r="M156" s="37">
        <f t="shared" si="64"/>
        <v>-3484.7600000000093</v>
      </c>
      <c r="N156" s="17" t="s">
        <v>3852</v>
      </c>
      <c r="O156" s="41">
        <f ca="1">SUMIFS(Stock!$O:$O,Stock!$A:$A,'Asset Line A share'!$A156,Stock!$I:$I,O$2)</f>
        <v>252564</v>
      </c>
      <c r="P156" s="41">
        <f ca="1">SUMIFS(Stock!$O:$O,Stock!$A:$A,'Asset Line A share'!$A156,Stock!$I:$I,P$2)</f>
        <v>43800</v>
      </c>
      <c r="Q156" s="40">
        <f t="shared" ca="1" si="57"/>
        <v>-2.928049920020272E-3</v>
      </c>
      <c r="R156" s="40">
        <f t="shared" ca="1" si="58"/>
        <v>-3.9119634703196349E-2</v>
      </c>
      <c r="S156" s="41">
        <f t="shared" ca="1" si="60"/>
        <v>1652819.9500000002</v>
      </c>
      <c r="T156">
        <v>1981054</v>
      </c>
      <c r="U156" s="20">
        <f t="shared" si="74"/>
        <v>3761769.2820338984</v>
      </c>
      <c r="W156" s="4">
        <f t="shared" si="78"/>
        <v>1.2968200407854624E-3</v>
      </c>
      <c r="X156" s="20">
        <f t="shared" si="77"/>
        <v>4872.0196610172279</v>
      </c>
      <c r="Y156" s="17" t="s">
        <v>3906</v>
      </c>
      <c r="Z156" s="30">
        <f t="shared" si="49"/>
        <v>1.1324292729868359</v>
      </c>
    </row>
    <row r="157" spans="1:26" ht="54" x14ac:dyDescent="0.15">
      <c r="A157" s="1">
        <v>42909</v>
      </c>
      <c r="B157">
        <f t="shared" si="33"/>
        <v>5</v>
      </c>
      <c r="C157" s="30">
        <v>0</v>
      </c>
      <c r="D157" s="20">
        <v>2095485.23</v>
      </c>
      <c r="E157" s="20">
        <v>2095485.23</v>
      </c>
      <c r="F157" s="4">
        <f t="shared" si="47"/>
        <v>6.037356506759517E-3</v>
      </c>
      <c r="G157">
        <v>-5286.42</v>
      </c>
      <c r="H157">
        <v>1281.32</v>
      </c>
      <c r="I157">
        <v>-6567.73</v>
      </c>
      <c r="J157">
        <v>18125</v>
      </c>
      <c r="K157" s="30">
        <f>39.69863-7-296</f>
        <v>-263.30137000000002</v>
      </c>
      <c r="L157" s="18">
        <f t="shared" si="79"/>
        <v>12575.278630000001</v>
      </c>
      <c r="M157" s="37">
        <f t="shared" si="64"/>
        <v>12575.270000000019</v>
      </c>
      <c r="N157" s="17" t="s">
        <v>3855</v>
      </c>
      <c r="O157" s="41">
        <f ca="1">SUMIFS(Stock!$O:$O,Stock!$A:$A,'Asset Line A share'!$A157,Stock!$I:$I,O$2)</f>
        <v>48545</v>
      </c>
      <c r="P157" s="41">
        <f ca="1">SUMIFS(Stock!$O:$O,Stock!$A:$A,'Asset Line A share'!$A157,Stock!$I:$I,P$2)</f>
        <v>537085</v>
      </c>
      <c r="Q157" s="40">
        <f t="shared" ca="1" si="57"/>
        <v>2.6394479349057573E-2</v>
      </c>
      <c r="R157" s="40">
        <f t="shared" ca="1" si="58"/>
        <v>-1.222847407765996E-2</v>
      </c>
      <c r="S157" s="41">
        <f t="shared" ca="1" si="60"/>
        <v>1164279.9500000002</v>
      </c>
      <c r="T157" s="30">
        <v>1988776</v>
      </c>
      <c r="U157" s="20">
        <f t="shared" si="74"/>
        <v>3780888.6198305087</v>
      </c>
      <c r="W157" s="4">
        <f t="shared" si="78"/>
        <v>5.0825386575203968E-3</v>
      </c>
      <c r="X157" s="20">
        <f t="shared" si="77"/>
        <v>19119.337796610314</v>
      </c>
      <c r="Y157" s="17" t="s">
        <v>3854</v>
      </c>
      <c r="Z157" s="30">
        <f t="shared" si="49"/>
        <v>1.1381848885436991</v>
      </c>
    </row>
    <row r="158" spans="1:26" ht="27" x14ac:dyDescent="0.15">
      <c r="A158" s="1">
        <v>42912</v>
      </c>
      <c r="B158">
        <f t="shared" si="33"/>
        <v>1</v>
      </c>
      <c r="C158" s="30">
        <v>0</v>
      </c>
      <c r="D158" s="20">
        <v>2107502.31</v>
      </c>
      <c r="E158" s="20">
        <v>2107502.31</v>
      </c>
      <c r="F158" s="4">
        <f t="shared" si="47"/>
        <v>5.7347481280027868E-3</v>
      </c>
      <c r="G158">
        <v>0</v>
      </c>
      <c r="H158">
        <v>0</v>
      </c>
      <c r="I158">
        <v>0</v>
      </c>
      <c r="J158">
        <v>8397</v>
      </c>
      <c r="K158" s="30">
        <f>54.08+3720-154</f>
        <v>3620.08</v>
      </c>
      <c r="L158" s="18">
        <f t="shared" si="79"/>
        <v>12017.08</v>
      </c>
      <c r="M158" s="37">
        <f t="shared" si="64"/>
        <v>12017.080000000075</v>
      </c>
      <c r="N158" s="17" t="s">
        <v>3857</v>
      </c>
      <c r="O158" s="41">
        <f ca="1">SUMIFS(Stock!$O:$O,Stock!$A:$A,'Asset Line A share'!$A158,Stock!$I:$I,O$2)</f>
        <v>0</v>
      </c>
      <c r="P158" s="41">
        <f ca="1">SUMIFS(Stock!$O:$O,Stock!$A:$A,'Asset Line A share'!$A158,Stock!$I:$I,P$2)</f>
        <v>0</v>
      </c>
      <c r="Q158" s="40" t="str">
        <f t="shared" ca="1" si="57"/>
        <v/>
      </c>
      <c r="R158" s="40" t="str">
        <f t="shared" ca="1" si="58"/>
        <v/>
      </c>
      <c r="S158" s="41">
        <f t="shared" ca="1" si="60"/>
        <v>1164279.9500000002</v>
      </c>
      <c r="T158" s="30">
        <v>1999903</v>
      </c>
      <c r="U158" s="20">
        <f t="shared" si="74"/>
        <v>3802335.3608474578</v>
      </c>
      <c r="V158" s="20"/>
      <c r="W158" s="4">
        <f t="shared" si="78"/>
        <v>5.6724075140595076E-3</v>
      </c>
      <c r="X158" s="20">
        <f t="shared" si="77"/>
        <v>21446.741016949061</v>
      </c>
      <c r="Y158" s="17" t="s">
        <v>3856</v>
      </c>
      <c r="Z158" s="30">
        <f t="shared" si="49"/>
        <v>1.1446411370578633</v>
      </c>
    </row>
    <row r="159" spans="1:26" x14ac:dyDescent="0.15">
      <c r="A159" s="1">
        <v>42913</v>
      </c>
      <c r="B159">
        <f t="shared" si="33"/>
        <v>2</v>
      </c>
      <c r="C159" s="30">
        <v>0</v>
      </c>
      <c r="D159" s="20">
        <v>2109948.31</v>
      </c>
      <c r="E159" s="20">
        <v>2109948.31</v>
      </c>
      <c r="F159" s="4">
        <f t="shared" si="47"/>
        <v>1.1606155724688261E-3</v>
      </c>
      <c r="G159">
        <v>0</v>
      </c>
      <c r="H159">
        <v>0</v>
      </c>
      <c r="I159">
        <v>0</v>
      </c>
      <c r="J159">
        <v>1234</v>
      </c>
      <c r="K159" s="30">
        <f>+-8+1220</f>
        <v>1212</v>
      </c>
      <c r="L159" s="18">
        <f t="shared" si="79"/>
        <v>2446</v>
      </c>
      <c r="M159" s="37">
        <f t="shared" si="64"/>
        <v>2446</v>
      </c>
      <c r="N159" s="17" t="s">
        <v>3859</v>
      </c>
      <c r="O159" s="41">
        <f ca="1">SUMIFS(Stock!$O:$O,Stock!$A:$A,'Asset Line A share'!$A159,Stock!$I:$I,O$2)</f>
        <v>0</v>
      </c>
      <c r="P159" s="41">
        <f ca="1">SUMIFS(Stock!$O:$O,Stock!$A:$A,'Asset Line A share'!$A159,Stock!$I:$I,P$2)</f>
        <v>0</v>
      </c>
      <c r="Q159" s="40" t="str">
        <f t="shared" ca="1" si="57"/>
        <v/>
      </c>
      <c r="R159" s="40" t="str">
        <f t="shared" ca="1" si="58"/>
        <v/>
      </c>
      <c r="S159" s="41">
        <f t="shared" ca="1" si="60"/>
        <v>1164279.9500000002</v>
      </c>
      <c r="T159" s="30">
        <v>2000517</v>
      </c>
      <c r="U159" s="20">
        <f t="shared" si="74"/>
        <v>3805301.6998305088</v>
      </c>
      <c r="W159" s="4">
        <f t="shared" si="78"/>
        <v>7.8013607468596646E-4</v>
      </c>
      <c r="X159" s="20">
        <f t="shared" si="77"/>
        <v>2966.3389830510132</v>
      </c>
      <c r="Y159" s="17" t="s">
        <v>3858</v>
      </c>
      <c r="Z159" s="30">
        <f t="shared" si="49"/>
        <v>1.1455341129014518</v>
      </c>
    </row>
    <row r="160" spans="1:26" ht="27" x14ac:dyDescent="0.15">
      <c r="A160" s="1">
        <v>42914</v>
      </c>
      <c r="B160">
        <f t="shared" si="33"/>
        <v>3</v>
      </c>
      <c r="C160" s="30">
        <v>0</v>
      </c>
      <c r="D160" s="20">
        <v>2091185.38</v>
      </c>
      <c r="E160" s="20">
        <v>2091185.38</v>
      </c>
      <c r="F160" s="4">
        <f t="shared" si="47"/>
        <v>-8.89260173392592E-3</v>
      </c>
      <c r="G160">
        <v>-1531.08</v>
      </c>
      <c r="H160">
        <v>-1531.08</v>
      </c>
      <c r="I160">
        <v>0</v>
      </c>
      <c r="J160" s="30">
        <v>-22907</v>
      </c>
      <c r="K160" s="30">
        <f>94.35616+1340+4240</f>
        <v>5674.3561600000003</v>
      </c>
      <c r="L160" s="18">
        <f t="shared" si="79"/>
        <v>-18763.723840000002</v>
      </c>
      <c r="M160" s="37">
        <f t="shared" si="64"/>
        <v>-18762.930000000168</v>
      </c>
      <c r="N160" s="17" t="s">
        <v>3897</v>
      </c>
      <c r="O160" s="41">
        <f ca="1">SUMIFS(Stock!$O:$O,Stock!$A:$A,'Asset Line A share'!$A160,Stock!$I:$I,O$2)</f>
        <v>825162.7</v>
      </c>
      <c r="P160" s="41">
        <f ca="1">SUMIFS(Stock!$O:$O,Stock!$A:$A,'Asset Line A share'!$A160,Stock!$I:$I,P$2)</f>
        <v>0</v>
      </c>
      <c r="Q160" s="40">
        <f t="shared" ca="1" si="57"/>
        <v>-1.8554886206077904E-3</v>
      </c>
      <c r="R160" s="40" t="str">
        <f t="shared" ca="1" si="58"/>
        <v/>
      </c>
      <c r="S160" s="41">
        <f t="shared" ca="1" si="60"/>
        <v>1989442.6500000001</v>
      </c>
      <c r="T160" s="30">
        <v>1994160</v>
      </c>
      <c r="U160" s="20">
        <f t="shared" si="74"/>
        <v>3781151.4816949153</v>
      </c>
      <c r="W160" s="4">
        <f t="shared" ref="W160:W161" si="80">(U160-V160)/(U159)-1</f>
        <v>-6.3464660730235822E-3</v>
      </c>
      <c r="X160" s="20">
        <f t="shared" si="77"/>
        <v>-24150.218135593459</v>
      </c>
      <c r="Y160" s="39" t="s">
        <v>3898</v>
      </c>
      <c r="Z160" s="30">
        <f t="shared" si="49"/>
        <v>1.1382640195184315</v>
      </c>
    </row>
    <row r="161" spans="1:26" ht="27" x14ac:dyDescent="0.15">
      <c r="A161" s="1">
        <v>42915</v>
      </c>
      <c r="B161">
        <f t="shared" si="33"/>
        <v>4</v>
      </c>
      <c r="C161" s="30">
        <v>0</v>
      </c>
      <c r="D161" s="20">
        <v>2104699.38</v>
      </c>
      <c r="E161" s="20">
        <v>2104699.38</v>
      </c>
      <c r="F161" s="4">
        <f t="shared" si="47"/>
        <v>6.4623634658349527E-3</v>
      </c>
      <c r="G161">
        <v>0</v>
      </c>
      <c r="H161">
        <v>0</v>
      </c>
      <c r="I161">
        <v>0</v>
      </c>
      <c r="J161">
        <v>10654</v>
      </c>
      <c r="K161" s="30">
        <f>1470+1390</f>
        <v>2860</v>
      </c>
      <c r="L161" s="18">
        <f t="shared" si="79"/>
        <v>13514</v>
      </c>
      <c r="M161" s="37">
        <f t="shared" si="64"/>
        <v>13514</v>
      </c>
      <c r="N161" s="17" t="s">
        <v>3899</v>
      </c>
      <c r="O161" s="41">
        <f ca="1">SUMIFS(Stock!$O:$O,Stock!$A:$A,'Asset Line A share'!$A161,Stock!$I:$I,O$2)</f>
        <v>0</v>
      </c>
      <c r="P161" s="41">
        <f ca="1">SUMIFS(Stock!$O:$O,Stock!$A:$A,'Asset Line A share'!$A161,Stock!$I:$I,P$2)</f>
        <v>0</v>
      </c>
      <c r="Q161" s="40" t="str">
        <f t="shared" ca="1" si="57"/>
        <v/>
      </c>
      <c r="R161" s="40" t="str">
        <f t="shared" ca="1" si="58"/>
        <v/>
      </c>
      <c r="S161" s="41">
        <f t="shared" ca="1" si="60"/>
        <v>1989442.6500000001</v>
      </c>
      <c r="T161" s="30">
        <v>2127016</v>
      </c>
      <c r="U161" s="20">
        <f t="shared" si="74"/>
        <v>3907255.3122033896</v>
      </c>
      <c r="V161" s="30">
        <f>16000*6.8</f>
        <v>108800</v>
      </c>
      <c r="W161" s="4">
        <f t="shared" si="80"/>
        <v>4.5763388724955334E-3</v>
      </c>
      <c r="X161" s="20">
        <f t="shared" si="77"/>
        <v>17303.830508474261</v>
      </c>
      <c r="Y161" s="39" t="s">
        <v>3900</v>
      </c>
      <c r="Z161" s="30">
        <f t="shared" si="49"/>
        <v>1.1434731013981168</v>
      </c>
    </row>
    <row r="162" spans="1:26" x14ac:dyDescent="0.15">
      <c r="A162" s="1">
        <v>42916</v>
      </c>
      <c r="B162">
        <f t="shared" si="33"/>
        <v>5</v>
      </c>
      <c r="C162" s="30">
        <v>0</v>
      </c>
      <c r="D162" s="20">
        <v>2110484.4500000002</v>
      </c>
      <c r="E162" s="20">
        <v>2110484.4500000002</v>
      </c>
      <c r="F162" s="4">
        <f t="shared" si="47"/>
        <v>2.7486443218320833E-3</v>
      </c>
      <c r="G162">
        <v>-452.91</v>
      </c>
      <c r="H162" s="30">
        <v>-452.91</v>
      </c>
      <c r="I162">
        <v>0</v>
      </c>
      <c r="J162">
        <v>3898</v>
      </c>
      <c r="K162" s="30">
        <f>810+1530</f>
        <v>2340</v>
      </c>
      <c r="L162" s="18">
        <f t="shared" si="79"/>
        <v>5785.09</v>
      </c>
      <c r="M162" s="37">
        <f t="shared" si="64"/>
        <v>5785.070000000298</v>
      </c>
      <c r="N162" s="17" t="s">
        <v>3904</v>
      </c>
      <c r="O162" s="41">
        <f ca="1">SUMIFS(Stock!$O:$O,Stock!$A:$A,'Asset Line A share'!$A162,Stock!$I:$I,O$2)</f>
        <v>0</v>
      </c>
      <c r="P162" s="41">
        <f ca="1">SUMIFS(Stock!$O:$O,Stock!$A:$A,'Asset Line A share'!$A162,Stock!$I:$I,P$2)</f>
        <v>389733</v>
      </c>
      <c r="Q162" s="40" t="str">
        <f t="shared" ca="1" si="57"/>
        <v/>
      </c>
      <c r="R162" s="40">
        <f t="shared" ca="1" si="58"/>
        <v>0</v>
      </c>
      <c r="S162" s="41">
        <f t="shared" ca="1" si="60"/>
        <v>1599709.6500000001</v>
      </c>
      <c r="T162" s="30">
        <v>2123738</v>
      </c>
      <c r="U162" s="20">
        <f t="shared" si="74"/>
        <v>3910262.416101695</v>
      </c>
      <c r="W162" s="4">
        <f t="shared" ref="W162" si="81">(U162-V162)/(U161)-1</f>
        <v>7.69620528485504E-4</v>
      </c>
      <c r="X162" s="20">
        <f t="shared" si="77"/>
        <v>3007.1038983054459</v>
      </c>
      <c r="Y162" s="17" t="s">
        <v>3905</v>
      </c>
      <c r="Z162" s="30">
        <f t="shared" si="49"/>
        <v>1.1443531417707238</v>
      </c>
    </row>
    <row r="163" spans="1:26" ht="27" x14ac:dyDescent="0.15">
      <c r="A163" s="1">
        <v>42919</v>
      </c>
      <c r="B163">
        <f t="shared" si="33"/>
        <v>1</v>
      </c>
      <c r="C163" s="30">
        <v>0</v>
      </c>
      <c r="D163" s="20">
        <v>2082465.97</v>
      </c>
      <c r="E163" s="20">
        <v>2082465.97</v>
      </c>
      <c r="F163" s="4">
        <f t="shared" si="47"/>
        <v>-1.3275852375979502E-2</v>
      </c>
      <c r="G163">
        <v>0</v>
      </c>
      <c r="H163">
        <v>0</v>
      </c>
      <c r="I163">
        <v>0</v>
      </c>
      <c r="J163">
        <v>-29111</v>
      </c>
      <c r="K163" s="30">
        <f>1680-460-21.88-105.6</f>
        <v>1092.52</v>
      </c>
      <c r="L163" s="18">
        <f t="shared" ref="L163:L175" si="82">G163+J163+K163</f>
        <v>-28018.48</v>
      </c>
      <c r="M163" s="37">
        <f t="shared" si="64"/>
        <v>-28018.480000000214</v>
      </c>
      <c r="N163" s="17" t="s">
        <v>3908</v>
      </c>
      <c r="O163" s="41">
        <f ca="1">SUMIFS(Stock!$O:$O,Stock!$A:$A,'Asset Line A share'!$A163,Stock!$I:$I,O$2)</f>
        <v>0</v>
      </c>
      <c r="P163" s="41">
        <f ca="1">SUMIFS(Stock!$O:$O,Stock!$A:$A,'Asset Line A share'!$A163,Stock!$I:$I,P$2)</f>
        <v>0</v>
      </c>
      <c r="Q163" s="40" t="str">
        <f t="shared" ca="1" si="57"/>
        <v/>
      </c>
      <c r="R163" s="40" t="str">
        <f t="shared" ca="1" si="58"/>
        <v/>
      </c>
      <c r="S163" s="41">
        <f t="shared" ca="1" si="60"/>
        <v>1599709.6500000001</v>
      </c>
      <c r="T163">
        <v>2115818</v>
      </c>
      <c r="U163" s="20">
        <f t="shared" si="74"/>
        <v>3875532.0716949152</v>
      </c>
      <c r="W163" s="4">
        <f t="shared" ref="W163:W168" si="83">(U163-V163)/(U162)-1</f>
        <v>-8.8818449277897615E-3</v>
      </c>
      <c r="X163" s="20">
        <f t="shared" ref="X163:X168" si="84">(U163-V163)-(U162)</f>
        <v>-34730.344406779855</v>
      </c>
      <c r="Y163" s="17" t="s">
        <v>3907</v>
      </c>
      <c r="Z163" s="30">
        <f t="shared" ref="Z163:Z206" si="85">Z162*(1+W163)</f>
        <v>1.1341891746228872</v>
      </c>
    </row>
    <row r="164" spans="1:26" x14ac:dyDescent="0.15">
      <c r="A164" s="1">
        <v>42920</v>
      </c>
      <c r="B164">
        <f t="shared" si="33"/>
        <v>2</v>
      </c>
      <c r="C164" s="30">
        <v>0</v>
      </c>
      <c r="D164" s="20">
        <v>2085794.64</v>
      </c>
      <c r="E164" s="20">
        <v>2085794.64</v>
      </c>
      <c r="F164" s="4">
        <f t="shared" si="47"/>
        <v>1.598427080179432E-3</v>
      </c>
      <c r="G164">
        <v>1000.875</v>
      </c>
      <c r="H164">
        <v>1583.04</v>
      </c>
      <c r="I164">
        <v>-582.16999999999996</v>
      </c>
      <c r="J164">
        <v>478</v>
      </c>
      <c r="K164" s="30">
        <v>1850</v>
      </c>
      <c r="L164" s="18">
        <f t="shared" si="82"/>
        <v>3328.875</v>
      </c>
      <c r="M164" s="37">
        <f t="shared" si="64"/>
        <v>3328.6699999999255</v>
      </c>
      <c r="N164" s="17" t="s">
        <v>3934</v>
      </c>
      <c r="O164" s="41">
        <f ca="1">SUMIFS(Stock!$O:$O,Stock!$A:$A,'Asset Line A share'!$A164,Stock!$I:$I,O$2)</f>
        <v>370167.8</v>
      </c>
      <c r="P164" s="41">
        <f ca="1">SUMIFS(Stock!$O:$O,Stock!$A:$A,'Asset Line A share'!$A164,Stock!$I:$I,P$2)</f>
        <v>345625</v>
      </c>
      <c r="Q164" s="40">
        <f t="shared" ref="Q164:Q180" ca="1" si="86">IF(O164&lt;&gt;0,+H164/O164,"")</f>
        <v>4.2765470146241789E-3</v>
      </c>
      <c r="R164" s="40">
        <f t="shared" ref="R164:R180" ca="1" si="87">IF(P164&lt;&gt;0,+I164/P164,"")</f>
        <v>-1.6843978300180831E-3</v>
      </c>
      <c r="S164" s="41">
        <f t="shared" ca="1" si="60"/>
        <v>1624252.4500000002</v>
      </c>
      <c r="T164" s="30">
        <v>2105763</v>
      </c>
      <c r="U164" s="20">
        <f t="shared" si="74"/>
        <v>3870339.5552542373</v>
      </c>
      <c r="W164" s="4">
        <f t="shared" si="83"/>
        <v>-1.3398202736087939E-3</v>
      </c>
      <c r="X164" s="20">
        <f t="shared" si="84"/>
        <v>-5192.5164406779222</v>
      </c>
      <c r="Y164" s="17" t="s">
        <v>3933</v>
      </c>
      <c r="Z164" s="30">
        <f t="shared" si="85"/>
        <v>1.1326695649726197</v>
      </c>
    </row>
    <row r="165" spans="1:26" ht="40.5" x14ac:dyDescent="0.15">
      <c r="A165" s="1">
        <v>42921</v>
      </c>
      <c r="B165">
        <f t="shared" si="33"/>
        <v>3</v>
      </c>
      <c r="C165" s="30">
        <v>0</v>
      </c>
      <c r="D165" s="20">
        <v>2124895.09</v>
      </c>
      <c r="E165" s="20">
        <v>2124895.09</v>
      </c>
      <c r="F165" s="4">
        <f t="shared" si="47"/>
        <v>1.8746068884327061E-2</v>
      </c>
      <c r="G165">
        <v>3269.66</v>
      </c>
      <c r="H165">
        <v>3664.48</v>
      </c>
      <c r="I165">
        <v>-394.83</v>
      </c>
      <c r="J165">
        <v>33844</v>
      </c>
      <c r="K165" s="30">
        <f>2030-43.2</f>
        <v>1986.8</v>
      </c>
      <c r="L165" s="18">
        <f t="shared" si="82"/>
        <v>39100.460000000006</v>
      </c>
      <c r="M165" s="37">
        <f t="shared" si="64"/>
        <v>39100.449999999953</v>
      </c>
      <c r="N165" s="17" t="s">
        <v>3948</v>
      </c>
      <c r="O165" s="41">
        <f ca="1">SUMIFS(Stock!$O:$O,Stock!$A:$A,'Asset Line A share'!$A165,Stock!$I:$I,O$2)</f>
        <v>221266</v>
      </c>
      <c r="P165" s="41">
        <f ca="1">SUMIFS(Stock!$O:$O,Stock!$A:$A,'Asset Line A share'!$A165,Stock!$I:$I,P$2)</f>
        <v>355380.45</v>
      </c>
      <c r="Q165" s="40">
        <f t="shared" ca="1" si="86"/>
        <v>1.6561423806639972E-2</v>
      </c>
      <c r="R165" s="40">
        <f t="shared" ca="1" si="87"/>
        <v>-1.1110065283557382E-3</v>
      </c>
      <c r="S165" s="41">
        <f t="shared" ca="1" si="60"/>
        <v>1490138.0000000002</v>
      </c>
      <c r="T165">
        <v>2130289</v>
      </c>
      <c r="U165" s="20">
        <f t="shared" si="74"/>
        <v>3930224.7510169493</v>
      </c>
      <c r="W165" s="4">
        <f t="shared" si="83"/>
        <v>1.5472853197444625E-2</v>
      </c>
      <c r="X165" s="20">
        <f t="shared" si="84"/>
        <v>59885.195762712043</v>
      </c>
      <c r="Y165" s="17" t="s">
        <v>3949</v>
      </c>
      <c r="Z165" s="30">
        <f t="shared" si="85"/>
        <v>1.1501951948726545</v>
      </c>
    </row>
    <row r="166" spans="1:26" x14ac:dyDescent="0.15">
      <c r="A166" s="1">
        <v>42922</v>
      </c>
      <c r="B166">
        <f t="shared" si="33"/>
        <v>4</v>
      </c>
      <c r="C166" s="30">
        <v>0</v>
      </c>
      <c r="D166" s="20">
        <v>2132193.19</v>
      </c>
      <c r="E166" s="20">
        <v>2132193.19</v>
      </c>
      <c r="F166" s="4">
        <f t="shared" si="47"/>
        <v>3.4345695626789574E-3</v>
      </c>
      <c r="G166">
        <v>1999.3</v>
      </c>
      <c r="H166">
        <v>2298.37</v>
      </c>
      <c r="I166">
        <v>-299.07</v>
      </c>
      <c r="J166">
        <v>3225.6</v>
      </c>
      <c r="K166" s="30">
        <f>+-4+2240-162.8</f>
        <v>2073.1999999999998</v>
      </c>
      <c r="L166" s="18">
        <f t="shared" si="82"/>
        <v>7298.0999999999995</v>
      </c>
      <c r="M166" s="37">
        <f t="shared" si="64"/>
        <v>7298.1000000000931</v>
      </c>
      <c r="N166" s="17" t="s">
        <v>3966</v>
      </c>
      <c r="O166" s="41">
        <f ca="1">SUMIFS(Stock!$O:$O,Stock!$A:$A,'Asset Line A share'!$A166,Stock!$I:$I,O$2)</f>
        <v>241211</v>
      </c>
      <c r="P166" s="41">
        <f ca="1">SUMIFS(Stock!$O:$O,Stock!$A:$A,'Asset Line A share'!$A166,Stock!$I:$I,P$2)</f>
        <v>269087</v>
      </c>
      <c r="Q166" s="40">
        <f t="shared" ca="1" si="86"/>
        <v>9.5284626323011799E-3</v>
      </c>
      <c r="R166" s="40">
        <f t="shared" ca="1" si="87"/>
        <v>-1.1114249294837729E-3</v>
      </c>
      <c r="S166" s="41">
        <f t="shared" ca="1" si="60"/>
        <v>1462262.0000000002</v>
      </c>
      <c r="T166">
        <v>2131684</v>
      </c>
      <c r="U166" s="20">
        <f t="shared" si="74"/>
        <v>3938705.0544067798</v>
      </c>
      <c r="W166" s="4">
        <f t="shared" si="83"/>
        <v>2.1577146161009253E-3</v>
      </c>
      <c r="X166" s="20">
        <f t="shared" si="84"/>
        <v>8480.3033898305148</v>
      </c>
      <c r="Y166" s="17" t="s">
        <v>3967</v>
      </c>
      <c r="Z166" s="30">
        <f t="shared" si="85"/>
        <v>1.1526769878560004</v>
      </c>
    </row>
    <row r="167" spans="1:26" ht="54" x14ac:dyDescent="0.15">
      <c r="A167" s="1">
        <v>42923</v>
      </c>
      <c r="B167">
        <f t="shared" si="33"/>
        <v>5</v>
      </c>
      <c r="C167" s="30">
        <v>0</v>
      </c>
      <c r="D167" s="20">
        <v>2118422.11</v>
      </c>
      <c r="E167" s="20">
        <v>2118422.11</v>
      </c>
      <c r="F167" s="4">
        <f t="shared" si="47"/>
        <v>-6.4586455226414152E-3</v>
      </c>
      <c r="G167">
        <v>-273.56</v>
      </c>
      <c r="H167">
        <v>647.69000000000005</v>
      </c>
      <c r="I167">
        <v>-921.26</v>
      </c>
      <c r="J167">
        <v>-16025.15</v>
      </c>
      <c r="K167" s="30">
        <f>79.561644-11+2460</f>
        <v>2528.5616439999999</v>
      </c>
      <c r="L167" s="18">
        <f t="shared" si="82"/>
        <v>-13770.148356</v>
      </c>
      <c r="M167" s="37">
        <f t="shared" si="64"/>
        <v>-13771.080000000075</v>
      </c>
      <c r="N167" s="17" t="s">
        <v>3987</v>
      </c>
      <c r="O167" s="41">
        <f ca="1">SUMIFS(Stock!$O:$O,Stock!$A:$A,'Asset Line A share'!$A167,Stock!$I:$I,O$2)</f>
        <v>161442</v>
      </c>
      <c r="P167" s="41">
        <f ca="1">SUMIFS(Stock!$O:$O,Stock!$A:$A,'Asset Line A share'!$A167,Stock!$I:$I,P$2)</f>
        <v>897298</v>
      </c>
      <c r="Q167" s="40">
        <f t="shared" ca="1" si="86"/>
        <v>4.0119052043458333E-3</v>
      </c>
      <c r="R167" s="40">
        <f t="shared" ca="1" si="87"/>
        <v>-1.0267046176409621E-3</v>
      </c>
      <c r="S167" s="41">
        <f t="shared" ca="1" si="60"/>
        <v>726406.00000000023</v>
      </c>
      <c r="T167" s="30">
        <v>2126936</v>
      </c>
      <c r="U167" s="20">
        <f t="shared" si="74"/>
        <v>3920910.24559322</v>
      </c>
      <c r="W167" s="4">
        <f t="shared" si="83"/>
        <v>-4.5179338304731642E-3</v>
      </c>
      <c r="X167" s="20">
        <f t="shared" si="84"/>
        <v>-17794.808813559823</v>
      </c>
      <c r="Y167" s="17" t="s">
        <v>3985</v>
      </c>
      <c r="Z167" s="30">
        <f t="shared" si="85"/>
        <v>1.1474692694969579</v>
      </c>
    </row>
    <row r="168" spans="1:26" ht="40.5" x14ac:dyDescent="0.15">
      <c r="A168" s="1">
        <v>42926</v>
      </c>
      <c r="B168">
        <f t="shared" si="33"/>
        <v>1</v>
      </c>
      <c r="C168" s="30">
        <v>0</v>
      </c>
      <c r="D168" s="20">
        <v>2114121.91</v>
      </c>
      <c r="E168" s="20">
        <v>2114121.91</v>
      </c>
      <c r="F168" s="4">
        <f t="shared" si="47"/>
        <v>-2.0299070613456482E-3</v>
      </c>
      <c r="G168">
        <v>-187.25</v>
      </c>
      <c r="H168" s="30">
        <v>647.69000000000005</v>
      </c>
      <c r="I168" s="30">
        <v>-921.26</v>
      </c>
      <c r="J168">
        <v>-5907</v>
      </c>
      <c r="K168" s="30">
        <f>74.62+2300-135.74-396-13-35.82</f>
        <v>1794.0600000000002</v>
      </c>
      <c r="L168" s="18">
        <f t="shared" si="82"/>
        <v>-4300.1899999999996</v>
      </c>
      <c r="M168" s="37">
        <f t="shared" si="64"/>
        <v>-4300.1999999997206</v>
      </c>
      <c r="N168" s="17" t="s">
        <v>4062</v>
      </c>
      <c r="O168" s="41">
        <f ca="1">SUMIFS(Stock!$O:$O,Stock!$A:$A,'Asset Line A share'!$A168,Stock!$I:$I,O$2)</f>
        <v>19619</v>
      </c>
      <c r="P168" s="41">
        <f ca="1">SUMIFS(Stock!$O:$O,Stock!$A:$A,'Asset Line A share'!$A168,Stock!$I:$I,P$2)</f>
        <v>116502</v>
      </c>
      <c r="Q168" s="40">
        <f t="shared" ca="1" si="86"/>
        <v>3.3013405372343138E-2</v>
      </c>
      <c r="R168" s="40">
        <f t="shared" ca="1" si="87"/>
        <v>-7.9076754047140829E-3</v>
      </c>
      <c r="S168" s="41">
        <f t="shared" ca="1" si="60"/>
        <v>629523.00000000023</v>
      </c>
      <c r="T168" s="30">
        <v>2131024</v>
      </c>
      <c r="U168" s="20">
        <f t="shared" si="74"/>
        <v>3920074.4523728816</v>
      </c>
      <c r="W168" s="4">
        <f t="shared" si="83"/>
        <v>-2.1316305857232987E-4</v>
      </c>
      <c r="X168" s="20">
        <f t="shared" si="84"/>
        <v>-835.79322033841163</v>
      </c>
      <c r="Y168" s="17" t="s">
        <v>3994</v>
      </c>
      <c r="Z168" s="30">
        <f t="shared" si="85"/>
        <v>1.1472246714378542</v>
      </c>
    </row>
    <row r="169" spans="1:26" ht="40.5" x14ac:dyDescent="0.15">
      <c r="A169" s="1">
        <v>42927</v>
      </c>
      <c r="B169">
        <f t="shared" si="33"/>
        <v>2</v>
      </c>
      <c r="C169" s="30">
        <v>0</v>
      </c>
      <c r="D169" s="20">
        <v>2117363.1800000002</v>
      </c>
      <c r="E169" s="20">
        <v>2117363.1800000002</v>
      </c>
      <c r="F169" s="4">
        <f t="shared" si="47"/>
        <v>1.5331518890506768E-3</v>
      </c>
      <c r="G169">
        <v>-1765.66</v>
      </c>
      <c r="H169">
        <v>-1196.76</v>
      </c>
      <c r="I169">
        <v>-568.9</v>
      </c>
      <c r="J169">
        <v>4919</v>
      </c>
      <c r="K169" s="30">
        <f>-3+(1300*2.545/36.5)</f>
        <v>87.643835616438352</v>
      </c>
      <c r="L169" s="18">
        <f t="shared" si="82"/>
        <v>3240.9838356164387</v>
      </c>
      <c r="M169" s="37">
        <f t="shared" si="64"/>
        <v>3241.2700000000186</v>
      </c>
      <c r="N169" s="17" t="s">
        <v>4063</v>
      </c>
      <c r="O169" s="41">
        <f ca="1">SUMIFS(Stock!$O:$O,Stock!$A:$A,'Asset Line A share'!$A169,Stock!$I:$I,O$2)</f>
        <v>1398018</v>
      </c>
      <c r="P169" s="41">
        <f ca="1">SUMIFS(Stock!$O:$O,Stock!$A:$A,'Asset Line A share'!$A169,Stock!$I:$I,P$2)</f>
        <v>334900</v>
      </c>
      <c r="Q169" s="40">
        <f t="shared" ca="1" si="86"/>
        <v>-8.5604048016549143E-4</v>
      </c>
      <c r="R169" s="40">
        <f t="shared" ca="1" si="87"/>
        <v>-1.6987160346372051E-3</v>
      </c>
      <c r="S169" s="41">
        <f t="shared" ca="1" si="60"/>
        <v>1692641.0000000002</v>
      </c>
      <c r="T169" s="30">
        <v>2151549</v>
      </c>
      <c r="U169" s="20">
        <f t="shared" si="74"/>
        <v>3940709.7901694919</v>
      </c>
      <c r="W169" s="4">
        <f t="shared" ref="W169:W171" si="88">(U169-V169)/(U168)-1</f>
        <v>5.2640168056297121E-3</v>
      </c>
      <c r="X169" s="20">
        <f t="shared" ref="X169:X171" si="89">(U169-V169)-(U168)</f>
        <v>20635.337796610314</v>
      </c>
      <c r="Y169" s="17" t="s">
        <v>4064</v>
      </c>
      <c r="Z169" s="30">
        <f t="shared" si="85"/>
        <v>1.1532636813881361</v>
      </c>
    </row>
    <row r="170" spans="1:26" ht="108" x14ac:dyDescent="0.15">
      <c r="A170" s="1">
        <v>42928</v>
      </c>
      <c r="B170">
        <f t="shared" si="33"/>
        <v>3</v>
      </c>
      <c r="C170" s="30">
        <v>0</v>
      </c>
      <c r="D170" s="20">
        <v>2126306.29</v>
      </c>
      <c r="E170" s="20">
        <v>2126306.29</v>
      </c>
      <c r="F170" s="4">
        <f t="shared" si="47"/>
        <v>4.2237014813868434E-3</v>
      </c>
      <c r="G170">
        <v>78.5</v>
      </c>
      <c r="H170">
        <v>2007.11</v>
      </c>
      <c r="I170">
        <v>-1928.62</v>
      </c>
      <c r="J170">
        <v>9024</v>
      </c>
      <c r="K170" s="30">
        <f>21.45205-180</f>
        <v>-158.54795000000001</v>
      </c>
      <c r="L170" s="18">
        <f t="shared" si="82"/>
        <v>8943.9520499999999</v>
      </c>
      <c r="M170" s="37">
        <f t="shared" ref="M170:M187" si="90">+E170-E169</f>
        <v>8943.1099999998696</v>
      </c>
      <c r="N170" s="17" t="s">
        <v>4095</v>
      </c>
      <c r="O170" s="41">
        <f ca="1">SUMIFS(Stock!$O:$O,Stock!$A:$A,'Asset Line A share'!$A170,Stock!$I:$I,O$2)</f>
        <v>375571.20000000001</v>
      </c>
      <c r="P170" s="41">
        <f ca="1">SUMIFS(Stock!$O:$O,Stock!$A:$A,'Asset Line A share'!$A170,Stock!$I:$I,P$2)</f>
        <v>907488</v>
      </c>
      <c r="Q170" s="40">
        <f t="shared" ca="1" si="86"/>
        <v>5.3441531193020118E-3</v>
      </c>
      <c r="R170" s="40">
        <f t="shared" ca="1" si="87"/>
        <v>-2.1252292041327265E-3</v>
      </c>
      <c r="S170" s="41">
        <f t="shared" ca="1" si="60"/>
        <v>1160724.2000000002</v>
      </c>
      <c r="T170">
        <v>2137948</v>
      </c>
      <c r="U170" s="20">
        <f t="shared" si="74"/>
        <v>3938126.6289830511</v>
      </c>
      <c r="W170" s="4">
        <f t="shared" si="88"/>
        <v>-6.5550657723767447E-4</v>
      </c>
      <c r="X170" s="20">
        <f t="shared" si="89"/>
        <v>-2583.1611864408478</v>
      </c>
      <c r="Y170" s="17" t="s">
        <v>4094</v>
      </c>
      <c r="Z170" s="30">
        <f t="shared" si="85"/>
        <v>1.1525077094596967</v>
      </c>
    </row>
    <row r="171" spans="1:26" ht="81" x14ac:dyDescent="0.15">
      <c r="A171" s="1">
        <v>42929</v>
      </c>
      <c r="B171">
        <f t="shared" si="33"/>
        <v>4</v>
      </c>
      <c r="C171" s="30">
        <v>0</v>
      </c>
      <c r="D171" s="20">
        <v>2113386.61</v>
      </c>
      <c r="E171" s="20">
        <v>2113386.61</v>
      </c>
      <c r="F171" s="4">
        <f t="shared" si="47"/>
        <v>-6.0761142742046248E-3</v>
      </c>
      <c r="G171">
        <v>-2950.09</v>
      </c>
      <c r="H171">
        <v>-2383.86</v>
      </c>
      <c r="I171">
        <v>-566.22</v>
      </c>
      <c r="J171">
        <v>-10010</v>
      </c>
      <c r="K171" s="30">
        <v>-4</v>
      </c>
      <c r="L171" s="18">
        <f t="shared" si="82"/>
        <v>-12964.09</v>
      </c>
      <c r="M171" s="37">
        <f t="shared" si="90"/>
        <v>-12919.680000000168</v>
      </c>
      <c r="N171" s="17" t="s">
        <v>4134</v>
      </c>
      <c r="O171" s="41">
        <f ca="1">SUMIFS(Stock!$O:$O,Stock!$A:$A,'Asset Line A share'!$A171,Stock!$I:$I,O$2)</f>
        <v>981384.4</v>
      </c>
      <c r="P171" s="41">
        <f ca="1">SUMIFS(Stock!$O:$O,Stock!$A:$A,'Asset Line A share'!$A171,Stock!$I:$I,P$2)</f>
        <v>653866</v>
      </c>
      <c r="Q171" s="40">
        <f t="shared" ca="1" si="86"/>
        <v>-2.4290787585374294E-3</v>
      </c>
      <c r="R171" s="40">
        <f t="shared" ca="1" si="87"/>
        <v>-8.6595724506244407E-4</v>
      </c>
      <c r="S171" s="41">
        <f t="shared" ca="1" si="60"/>
        <v>1488242.6</v>
      </c>
      <c r="T171">
        <v>2160206</v>
      </c>
      <c r="U171" s="20">
        <f t="shared" si="74"/>
        <v>3944069.6608474576</v>
      </c>
      <c r="W171" s="4">
        <f t="shared" si="88"/>
        <v>1.5091012616679222E-3</v>
      </c>
      <c r="X171" s="20">
        <f t="shared" si="89"/>
        <v>5943.031864406541</v>
      </c>
      <c r="Y171" s="17" t="s">
        <v>4133</v>
      </c>
      <c r="Z171" s="30">
        <f t="shared" si="85"/>
        <v>1.1542469602981245</v>
      </c>
    </row>
    <row r="172" spans="1:26" ht="121.5" x14ac:dyDescent="0.15">
      <c r="A172" s="1">
        <v>42930</v>
      </c>
      <c r="B172">
        <f t="shared" si="33"/>
        <v>5</v>
      </c>
      <c r="C172" s="30">
        <v>0</v>
      </c>
      <c r="D172" s="20">
        <v>2128899.7000000002</v>
      </c>
      <c r="E172" s="20">
        <v>2128899.7000000002</v>
      </c>
      <c r="F172" s="4">
        <f t="shared" si="47"/>
        <v>7.340393814646351E-3</v>
      </c>
      <c r="G172">
        <v>-775.08</v>
      </c>
      <c r="H172">
        <v>0</v>
      </c>
      <c r="I172" s="30">
        <v>-775.08</v>
      </c>
      <c r="J172">
        <v>16309</v>
      </c>
      <c r="K172" s="30">
        <f>92.38356-167.2</f>
        <v>-74.816439999999986</v>
      </c>
      <c r="L172" s="18">
        <f t="shared" si="82"/>
        <v>15459.10356</v>
      </c>
      <c r="M172" s="37">
        <f t="shared" si="90"/>
        <v>15513.090000000317</v>
      </c>
      <c r="N172" s="17" t="s">
        <v>4140</v>
      </c>
      <c r="O172" s="41">
        <f ca="1">SUMIFS(Stock!$O:$O,Stock!$A:$A,'Asset Line A share'!$A172,Stock!$I:$I,O$2)</f>
        <v>0</v>
      </c>
      <c r="P172" s="41">
        <f ca="1">SUMIFS(Stock!$O:$O,Stock!$A:$A,'Asset Line A share'!$A172,Stock!$I:$I,P$2)</f>
        <v>593448</v>
      </c>
      <c r="Q172" s="40" t="str">
        <f t="shared" ca="1" si="86"/>
        <v/>
      </c>
      <c r="R172" s="40">
        <f t="shared" ca="1" si="87"/>
        <v>-1.3060621992154325E-3</v>
      </c>
      <c r="S172" s="41">
        <f t="shared" ca="1" si="60"/>
        <v>894794.60000000021</v>
      </c>
      <c r="T172">
        <v>2164729</v>
      </c>
      <c r="U172" s="20">
        <f t="shared" si="74"/>
        <v>3963415.8016949156</v>
      </c>
      <c r="W172" s="4">
        <f t="shared" ref="W172" si="91">(U172-V172)/(U171)-1</f>
        <v>4.9051214889803685E-3</v>
      </c>
      <c r="X172" s="20">
        <f t="shared" ref="X172" si="92">(U172-V172)-(U171)</f>
        <v>19346.140847458038</v>
      </c>
      <c r="Y172" s="17" t="s">
        <v>4141</v>
      </c>
      <c r="Z172" s="30">
        <f t="shared" si="85"/>
        <v>1.1599086818666731</v>
      </c>
    </row>
    <row r="173" spans="1:26" ht="40.5" x14ac:dyDescent="0.15">
      <c r="A173" s="1">
        <v>42933</v>
      </c>
      <c r="B173">
        <f t="shared" si="33"/>
        <v>1</v>
      </c>
      <c r="C173" s="30">
        <v>0</v>
      </c>
      <c r="D173" s="20">
        <v>2129142.42</v>
      </c>
      <c r="E173" s="20">
        <v>2129142.42</v>
      </c>
      <c r="F173" s="4">
        <f t="shared" si="47"/>
        <v>1.1401194711035956E-4</v>
      </c>
      <c r="G173">
        <v>6666.56</v>
      </c>
      <c r="H173">
        <v>7063.41</v>
      </c>
      <c r="I173">
        <v>-396.85</v>
      </c>
      <c r="J173">
        <v>-6153</v>
      </c>
      <c r="K173" s="30">
        <f>85.9-5-135.74-216</f>
        <v>-270.84000000000003</v>
      </c>
      <c r="L173" s="18">
        <f t="shared" si="82"/>
        <v>242.72000000000037</v>
      </c>
      <c r="M173" s="37">
        <f t="shared" si="90"/>
        <v>242.71999999973923</v>
      </c>
      <c r="N173" s="17" t="s">
        <v>4167</v>
      </c>
      <c r="O173" s="41">
        <f ca="1">SUMIFS(Stock!$O:$O,Stock!$A:$A,'Asset Line A share'!$A173,Stock!$I:$I,O$2)</f>
        <v>828967.6</v>
      </c>
      <c r="P173" s="41">
        <f ca="1">SUMIFS(Stock!$O:$O,Stock!$A:$A,'Asset Line A share'!$A173,Stock!$I:$I,P$2)</f>
        <v>180068</v>
      </c>
      <c r="Q173" s="40">
        <f t="shared" ca="1" si="86"/>
        <v>8.5207310876806285E-3</v>
      </c>
      <c r="R173" s="40">
        <f t="shared" ca="1" si="87"/>
        <v>-2.2038896416909171E-3</v>
      </c>
      <c r="S173" s="41">
        <f t="shared" ca="1" si="60"/>
        <v>1543694.2000000002</v>
      </c>
      <c r="T173" s="30">
        <v>2167356</v>
      </c>
      <c r="U173" s="20">
        <f t="shared" si="74"/>
        <v>3965884.7928813556</v>
      </c>
      <c r="W173" s="4">
        <f t="shared" ref="W173" si="93">(U173-V173)/(U172)-1</f>
        <v>6.2294528507056413E-4</v>
      </c>
      <c r="X173" s="20">
        <f t="shared" ref="X173" si="94">(U173-V173)-(U172)</f>
        <v>2468.991186439991</v>
      </c>
      <c r="Y173" s="17" t="s">
        <v>4166</v>
      </c>
      <c r="Z173" s="30">
        <f t="shared" si="85"/>
        <v>1.1606312415111544</v>
      </c>
    </row>
    <row r="174" spans="1:26" ht="135" x14ac:dyDescent="0.15">
      <c r="A174" s="1">
        <v>42934</v>
      </c>
      <c r="B174">
        <f t="shared" si="33"/>
        <v>2</v>
      </c>
      <c r="C174" s="30">
        <v>0</v>
      </c>
      <c r="D174" s="20">
        <v>2115714.86</v>
      </c>
      <c r="E174" s="20">
        <v>2115714.86</v>
      </c>
      <c r="F174" s="4">
        <f t="shared" si="47"/>
        <v>-6.306557923917544E-3</v>
      </c>
      <c r="G174">
        <v>-2934.38</v>
      </c>
      <c r="H174">
        <v>1573.38</v>
      </c>
      <c r="I174">
        <v>-4507.76</v>
      </c>
      <c r="J174">
        <v>-10523.8</v>
      </c>
      <c r="K174" s="30">
        <f>44.63-14</f>
        <v>30.630000000000003</v>
      </c>
      <c r="L174" s="18">
        <f t="shared" si="82"/>
        <v>-13427.550000000001</v>
      </c>
      <c r="M174" s="37">
        <f t="shared" si="90"/>
        <v>-13427.560000000056</v>
      </c>
      <c r="N174" s="17" t="s">
        <v>4181</v>
      </c>
      <c r="O174" s="41">
        <f ca="1">SUMIFS(Stock!$O:$O,Stock!$A:$A,'Asset Line A share'!$A174,Stock!$I:$I,O$2)</f>
        <v>121000</v>
      </c>
      <c r="P174" s="41">
        <f ca="1">SUMIFS(Stock!$O:$O,Stock!$A:$A,'Asset Line A share'!$A174,Stock!$I:$I,P$2)</f>
        <v>1046370</v>
      </c>
      <c r="Q174" s="40">
        <f t="shared" ca="1" si="86"/>
        <v>1.300314049586777E-2</v>
      </c>
      <c r="R174" s="40">
        <f t="shared" ca="1" si="87"/>
        <v>-4.3079981268576125E-3</v>
      </c>
      <c r="S174" s="41">
        <f t="shared" ca="1" si="60"/>
        <v>618324.20000000007</v>
      </c>
      <c r="T174" s="30">
        <v>2171895</v>
      </c>
      <c r="U174" s="20">
        <f t="shared" si="74"/>
        <v>3956303.8430508478</v>
      </c>
      <c r="W174" s="4">
        <f t="shared" ref="W174" si="95">(U174-V174)/(U173)-1</f>
        <v>-2.4158416925538218E-3</v>
      </c>
      <c r="X174" s="20">
        <f t="shared" ref="X174" si="96">(U174-V174)-(U173)</f>
        <v>-9580.9498305078596</v>
      </c>
      <c r="Y174" s="17" t="s">
        <v>4180</v>
      </c>
      <c r="Z174" s="30">
        <f t="shared" si="85"/>
        <v>1.1578273401682313</v>
      </c>
    </row>
    <row r="175" spans="1:26" ht="162" x14ac:dyDescent="0.15">
      <c r="A175" s="1">
        <v>42935</v>
      </c>
      <c r="B175">
        <f t="shared" si="33"/>
        <v>3</v>
      </c>
      <c r="C175" s="30">
        <v>0</v>
      </c>
      <c r="D175" s="20">
        <v>2124713.7000000002</v>
      </c>
      <c r="E175" s="20">
        <v>2124713.7000000002</v>
      </c>
      <c r="F175" s="4">
        <f t="shared" si="47"/>
        <v>4.2533330791090229E-3</v>
      </c>
      <c r="G175">
        <v>175.86</v>
      </c>
      <c r="H175" s="30">
        <v>175.86</v>
      </c>
      <c r="I175">
        <v>0</v>
      </c>
      <c r="J175">
        <v>8713.65</v>
      </c>
      <c r="K175" s="30">
        <f>123.34-14</f>
        <v>109.34</v>
      </c>
      <c r="L175" s="18">
        <f t="shared" si="82"/>
        <v>8998.85</v>
      </c>
      <c r="M175" s="37">
        <f t="shared" si="90"/>
        <v>8998.8400000003166</v>
      </c>
      <c r="N175" s="17" t="s">
        <v>4186</v>
      </c>
      <c r="O175" s="41">
        <f ca="1">SUMIFS(Stock!$O:$O,Stock!$A:$A,'Asset Line A share'!$A175,Stock!$I:$I,O$2)</f>
        <v>56885</v>
      </c>
      <c r="P175" s="41">
        <f ca="1">SUMIFS(Stock!$O:$O,Stock!$A:$A,'Asset Line A share'!$A175,Stock!$I:$I,P$2)</f>
        <v>0</v>
      </c>
      <c r="Q175" s="40">
        <f t="shared" ca="1" si="86"/>
        <v>3.0915003955348515E-3</v>
      </c>
      <c r="R175" s="40" t="str">
        <f t="shared" ca="1" si="87"/>
        <v/>
      </c>
      <c r="S175" s="41">
        <f t="shared" ca="1" si="60"/>
        <v>675209.20000000007</v>
      </c>
      <c r="T175">
        <v>2180052</v>
      </c>
      <c r="U175" s="20">
        <f t="shared" si="74"/>
        <v>3972215.3949152548</v>
      </c>
      <c r="W175" s="4">
        <f t="shared" ref="W175" si="97">(U175-V175)/(U174)-1</f>
        <v>4.021822513039508E-3</v>
      </c>
      <c r="X175" s="20">
        <f t="shared" ref="X175" si="98">(U175-V175)-(U174)</f>
        <v>15911.551864407025</v>
      </c>
      <c r="Y175" s="17" t="s">
        <v>4187</v>
      </c>
      <c r="Z175" s="30">
        <f t="shared" si="85"/>
        <v>1.1624839162311325</v>
      </c>
    </row>
    <row r="176" spans="1:26" ht="54" x14ac:dyDescent="0.15">
      <c r="A176" s="1">
        <v>42936</v>
      </c>
      <c r="B176">
        <f t="shared" si="33"/>
        <v>4</v>
      </c>
      <c r="C176" s="30">
        <v>0</v>
      </c>
      <c r="D176" s="20">
        <v>2130907.33</v>
      </c>
      <c r="E176" s="20">
        <v>2130907.33</v>
      </c>
      <c r="F176" s="4">
        <f t="shared" si="47"/>
        <v>2.9150421536792148E-3</v>
      </c>
      <c r="G176">
        <v>-894.3</v>
      </c>
      <c r="H176">
        <v>0</v>
      </c>
      <c r="I176" s="30">
        <v>-894.3</v>
      </c>
      <c r="J176">
        <v>6922.55</v>
      </c>
      <c r="K176" s="30">
        <f>180.37-15</f>
        <v>165.37</v>
      </c>
      <c r="L176" s="18">
        <f t="shared" ref="L176:L181" si="99">G176+J176+K176</f>
        <v>6193.62</v>
      </c>
      <c r="M176" s="37">
        <f t="shared" si="90"/>
        <v>6193.6299999998882</v>
      </c>
      <c r="N176" s="17" t="s">
        <v>4193</v>
      </c>
      <c r="O176" s="41">
        <f ca="1">SUMIFS(Stock!$O:$O,Stock!$A:$A,'Asset Line A share'!$A176,Stock!$I:$I,O$2)</f>
        <v>0</v>
      </c>
      <c r="P176" s="41">
        <f ca="1">SUMIFS(Stock!$O:$O,Stock!$A:$A,'Asset Line A share'!$A176,Stock!$I:$I,P$2)</f>
        <v>100276</v>
      </c>
      <c r="Q176" s="40" t="str">
        <f t="shared" ca="1" si="86"/>
        <v/>
      </c>
      <c r="R176" s="40">
        <f t="shared" ca="1" si="87"/>
        <v>-8.9183852566915318E-3</v>
      </c>
      <c r="S176" s="41">
        <f t="shared" ca="1" si="60"/>
        <v>574933.20000000007</v>
      </c>
      <c r="T176" s="30">
        <v>2181069</v>
      </c>
      <c r="U176" s="20">
        <f t="shared" si="74"/>
        <v>3979270.8893220341</v>
      </c>
      <c r="W176" s="4">
        <f t="shared" ref="W176" si="100">(U176-V176)/(U175)-1</f>
        <v>1.7762114350119429E-3</v>
      </c>
      <c r="X176" s="20">
        <f t="shared" ref="X176" si="101">(U176-V176)-(U175)</f>
        <v>7055.4944067792967</v>
      </c>
      <c r="Y176" s="17" t="s">
        <v>4192</v>
      </c>
      <c r="Z176" s="30">
        <f t="shared" si="85"/>
        <v>1.1645487334561597</v>
      </c>
    </row>
    <row r="177" spans="1:26" ht="81" x14ac:dyDescent="0.15">
      <c r="A177" s="1">
        <v>42937</v>
      </c>
      <c r="B177">
        <f t="shared" si="33"/>
        <v>5</v>
      </c>
      <c r="C177" s="30">
        <v>0</v>
      </c>
      <c r="D177" s="20">
        <v>2127005.4</v>
      </c>
      <c r="E177" s="20">
        <v>2127005.4</v>
      </c>
      <c r="F177" s="4">
        <f t="shared" si="47"/>
        <v>-1.8311120080478638E-3</v>
      </c>
      <c r="G177">
        <v>-2544.5700000000002</v>
      </c>
      <c r="H177" s="30">
        <v>-2544.5700000000002</v>
      </c>
      <c r="I177">
        <v>0</v>
      </c>
      <c r="J177">
        <v>-1847.15</v>
      </c>
      <c r="K177" s="30">
        <f>509.38-13-6.6</f>
        <v>489.78</v>
      </c>
      <c r="L177" s="18">
        <f t="shared" si="99"/>
        <v>-3901.9400000000005</v>
      </c>
      <c r="M177" s="37">
        <f t="shared" si="90"/>
        <v>-3901.9300000001676</v>
      </c>
      <c r="N177" s="17" t="s">
        <v>4201</v>
      </c>
      <c r="O177" s="41">
        <f ca="1">SUMIFS(Stock!$O:$O,Stock!$A:$A,'Asset Line A share'!$A177,Stock!$I:$I,O$2)</f>
        <v>111636</v>
      </c>
      <c r="P177" s="41">
        <f ca="1">SUMIFS(Stock!$O:$O,Stock!$A:$A,'Asset Line A share'!$A177,Stock!$I:$I,P$2)</f>
        <v>0</v>
      </c>
      <c r="Q177" s="40">
        <f t="shared" ca="1" si="86"/>
        <v>-2.2793453724604968E-2</v>
      </c>
      <c r="R177" s="40" t="str">
        <f t="shared" ca="1" si="87"/>
        <v/>
      </c>
      <c r="S177" s="41">
        <f t="shared" ca="1" si="60"/>
        <v>686569.20000000007</v>
      </c>
      <c r="T177">
        <v>2178861</v>
      </c>
      <c r="U177" s="20">
        <f t="shared" si="74"/>
        <v>3973497.7728813561</v>
      </c>
      <c r="V177" s="20"/>
      <c r="W177" s="4">
        <f t="shared" ref="W177:W178" si="102">(U177-V177)/(U176)-1</f>
        <v>-1.4507975458944999E-3</v>
      </c>
      <c r="X177" s="20">
        <f t="shared" ref="X177:X178" si="103">(U177-V177)-(U176)</f>
        <v>-5773.1164406780154</v>
      </c>
      <c r="Y177" s="17" t="s">
        <v>4198</v>
      </c>
      <c r="Z177" s="30">
        <f t="shared" si="85"/>
        <v>1.162859209011587</v>
      </c>
    </row>
    <row r="178" spans="1:26" ht="27" x14ac:dyDescent="0.15">
      <c r="A178" s="1">
        <v>42940</v>
      </c>
      <c r="B178">
        <f t="shared" si="33"/>
        <v>1</v>
      </c>
      <c r="C178" s="30">
        <v>0</v>
      </c>
      <c r="D178" s="20">
        <v>2129195.35</v>
      </c>
      <c r="E178" s="20">
        <v>2129195.35</v>
      </c>
      <c r="F178" s="4">
        <f t="shared" si="47"/>
        <v>1.0295930607417958E-3</v>
      </c>
      <c r="G178">
        <v>-972.84</v>
      </c>
      <c r="H178" s="30">
        <v>-972.84</v>
      </c>
      <c r="I178">
        <v>0</v>
      </c>
      <c r="J178">
        <v>3028.05</v>
      </c>
      <c r="K178" s="30">
        <f>145.73-11</f>
        <v>134.72999999999999</v>
      </c>
      <c r="L178" s="18">
        <f t="shared" si="99"/>
        <v>2189.94</v>
      </c>
      <c r="M178" s="37">
        <f t="shared" si="90"/>
        <v>2189.9500000001863</v>
      </c>
      <c r="N178" s="17" t="s">
        <v>4214</v>
      </c>
      <c r="O178" s="41">
        <f ca="1">SUMIFS(Stock!$O:$O,Stock!$A:$A,'Asset Line A share'!$A178,Stock!$I:$I,O$2)</f>
        <v>288875.59999999998</v>
      </c>
      <c r="P178" s="41">
        <f ca="1">SUMIFS(Stock!$O:$O,Stock!$A:$A,'Asset Line A share'!$A178,Stock!$I:$I,P$2)</f>
        <v>0</v>
      </c>
      <c r="Q178" s="40">
        <f t="shared" ca="1" si="86"/>
        <v>-3.3676779901106223E-3</v>
      </c>
      <c r="R178" s="40" t="str">
        <f t="shared" ca="1" si="87"/>
        <v/>
      </c>
      <c r="S178" s="41">
        <f t="shared" ref="S178:S185" ca="1" si="104">+S179+P179-O179</f>
        <v>975444.8</v>
      </c>
      <c r="T178">
        <v>2180896</v>
      </c>
      <c r="U178" s="20">
        <f t="shared" si="74"/>
        <v>3977412.2991525428</v>
      </c>
      <c r="V178" s="20"/>
      <c r="W178" s="4">
        <f t="shared" si="102"/>
        <v>9.8515879331873002E-4</v>
      </c>
      <c r="X178" s="20">
        <f t="shared" si="103"/>
        <v>3914.526271186769</v>
      </c>
      <c r="Y178" s="17" t="s">
        <v>4215</v>
      </c>
      <c r="Z178" s="30">
        <f t="shared" si="85"/>
        <v>1.1640048099867364</v>
      </c>
    </row>
    <row r="179" spans="1:26" ht="67.5" x14ac:dyDescent="0.15">
      <c r="A179" s="1">
        <v>42941</v>
      </c>
      <c r="B179">
        <f t="shared" si="33"/>
        <v>2</v>
      </c>
      <c r="C179" s="30">
        <v>0</v>
      </c>
      <c r="D179" s="20">
        <v>2121443.35</v>
      </c>
      <c r="E179" s="20">
        <v>2121443.35</v>
      </c>
      <c r="F179" s="4">
        <f t="shared" si="47"/>
        <v>-3.6408120091000473E-3</v>
      </c>
      <c r="G179">
        <v>-1116.42</v>
      </c>
      <c r="H179" s="30">
        <v>-1116.42</v>
      </c>
      <c r="I179">
        <v>0</v>
      </c>
      <c r="J179">
        <v>-6775.05</v>
      </c>
      <c r="K179" s="30">
        <f>144.05-7</f>
        <v>137.05000000000001</v>
      </c>
      <c r="L179" s="18">
        <f t="shared" si="99"/>
        <v>-7754.42</v>
      </c>
      <c r="M179" s="37">
        <f t="shared" si="90"/>
        <v>-7752</v>
      </c>
      <c r="N179" s="17" t="s">
        <v>4227</v>
      </c>
      <c r="O179" s="41">
        <f ca="1">SUMIFS(Stock!$O:$O,Stock!$A:$A,'Asset Line A share'!$A179,Stock!$I:$I,O$2)</f>
        <v>394587.8</v>
      </c>
      <c r="P179" s="41">
        <f ca="1">SUMIFS(Stock!$O:$O,Stock!$A:$A,'Asset Line A share'!$A179,Stock!$I:$I,P$2)</f>
        <v>0</v>
      </c>
      <c r="Q179" s="40">
        <f t="shared" ca="1" si="86"/>
        <v>-2.829332280420226E-3</v>
      </c>
      <c r="R179" s="40" t="str">
        <f t="shared" ca="1" si="87"/>
        <v/>
      </c>
      <c r="S179" s="41">
        <f t="shared" ca="1" si="104"/>
        <v>1370032.6</v>
      </c>
      <c r="T179" s="30">
        <v>2180200</v>
      </c>
      <c r="U179" s="20">
        <f t="shared" si="74"/>
        <v>3969070.4686440676</v>
      </c>
      <c r="V179" s="20"/>
      <c r="W179" s="4">
        <f t="shared" ref="W179" si="105">(U179-V179)/(U178)-1</f>
        <v>-2.0973009286093802E-3</v>
      </c>
      <c r="X179" s="20">
        <f t="shared" ref="X179" si="106">(U179-V179)-(U178)</f>
        <v>-8341.8305084751919</v>
      </c>
      <c r="Y179" s="17" t="s">
        <v>4228</v>
      </c>
      <c r="Z179" s="30">
        <f>Z178*(1+W179)</f>
        <v>1.1615635416178454</v>
      </c>
    </row>
    <row r="180" spans="1:26" ht="40.5" x14ac:dyDescent="0.15">
      <c r="A180" s="1">
        <v>42942</v>
      </c>
      <c r="B180">
        <f t="shared" si="33"/>
        <v>3</v>
      </c>
      <c r="C180" s="30">
        <v>0</v>
      </c>
      <c r="D180" s="20">
        <v>2115220.56</v>
      </c>
      <c r="E180" s="20">
        <v>2115220.56</v>
      </c>
      <c r="F180" s="4">
        <f t="shared" si="47"/>
        <v>-2.9332812492965932E-3</v>
      </c>
      <c r="G180">
        <v>3163.78</v>
      </c>
      <c r="H180" s="30">
        <v>3163.78</v>
      </c>
      <c r="I180" s="30">
        <v>0</v>
      </c>
      <c r="J180">
        <v>-9479.4</v>
      </c>
      <c r="K180" s="30">
        <v>92.82</v>
      </c>
      <c r="L180" s="18">
        <f t="shared" si="99"/>
        <v>-6222.7999999999993</v>
      </c>
      <c r="M180" s="37">
        <f t="shared" si="90"/>
        <v>-6222.7900000000373</v>
      </c>
      <c r="N180" s="17" t="s">
        <v>4234</v>
      </c>
      <c r="O180" s="41">
        <f ca="1">SUMIFS(Stock!$O:$O,Stock!$A:$A,'Asset Line A share'!$A180,Stock!$I:$I,O$2)</f>
        <v>706100</v>
      </c>
      <c r="P180" s="41">
        <f ca="1">SUMIFS(Stock!$O:$O,Stock!$A:$A,'Asset Line A share'!$A180,Stock!$I:$I,P$2)</f>
        <v>0</v>
      </c>
      <c r="Q180" s="40">
        <f t="shared" ca="1" si="86"/>
        <v>4.48064013595808E-3</v>
      </c>
      <c r="R180" s="40" t="str">
        <f t="shared" ca="1" si="87"/>
        <v/>
      </c>
      <c r="S180" s="41">
        <f t="shared" ca="1" si="104"/>
        <v>2076132.6</v>
      </c>
      <c r="T180">
        <v>2185992</v>
      </c>
      <c r="U180" s="20">
        <f t="shared" si="74"/>
        <v>3967756.1532203392</v>
      </c>
      <c r="V180" s="20"/>
      <c r="W180" s="4">
        <f t="shared" ref="W180" si="107">(U180-V180)/(U179)-1</f>
        <v>-3.3113935217621293E-4</v>
      </c>
      <c r="X180" s="20">
        <f t="shared" ref="X180" si="108">(U180-V180)-(U179)</f>
        <v>-1314.3154237284325</v>
      </c>
      <c r="Y180" s="17" t="s">
        <v>4235</v>
      </c>
      <c r="Z180" s="30">
        <f>Z179*(1+W180)</f>
        <v>1.1611789022191625</v>
      </c>
    </row>
    <row r="181" spans="1:26" ht="108" x14ac:dyDescent="0.15">
      <c r="A181" s="1">
        <v>42943</v>
      </c>
      <c r="B181">
        <f t="shared" si="33"/>
        <v>4</v>
      </c>
      <c r="C181" s="30">
        <v>0</v>
      </c>
      <c r="D181" s="20">
        <v>2118035.48</v>
      </c>
      <c r="E181" s="20">
        <v>2118035.48</v>
      </c>
      <c r="F181" s="4">
        <f t="shared" si="47"/>
        <v>1.3307926621135557E-3</v>
      </c>
      <c r="G181">
        <v>147.114</v>
      </c>
      <c r="H181">
        <v>-166.8</v>
      </c>
      <c r="I181">
        <v>300.65600000000001</v>
      </c>
      <c r="J181">
        <v>2672.8</v>
      </c>
      <c r="K181" s="30">
        <f>-5</f>
        <v>-5</v>
      </c>
      <c r="L181" s="18">
        <f t="shared" si="99"/>
        <v>2814.9140000000002</v>
      </c>
      <c r="M181" s="37">
        <f t="shared" si="90"/>
        <v>2814.9199999999255</v>
      </c>
      <c r="N181" s="17" t="s">
        <v>4242</v>
      </c>
      <c r="O181" s="41">
        <f ca="1">SUMIFS(Stock!$O:$O,Stock!$A:$A,'Asset Line A share'!$A181,Stock!$I:$I,O$2)</f>
        <v>54614</v>
      </c>
      <c r="P181" s="41">
        <f ca="1">SUMIFS(Stock!$O:$O,Stock!$A:$A,'Asset Line A share'!$A181,Stock!$I:$I,P$2)</f>
        <v>663005</v>
      </c>
      <c r="Q181" s="40">
        <f t="shared" ref="Q181:Q187" ca="1" si="109">IF(O181&lt;&gt;0,+H181/O181,"")</f>
        <v>-3.0541619364997988E-3</v>
      </c>
      <c r="S181" s="41">
        <f t="shared" ca="1" si="104"/>
        <v>1467741.6</v>
      </c>
      <c r="T181">
        <v>2189773</v>
      </c>
      <c r="U181" s="20">
        <f t="shared" si="74"/>
        <v>3973775.3105084747</v>
      </c>
      <c r="V181" s="20"/>
      <c r="W181" s="4">
        <f t="shared" ref="W181" si="110">(U181-V181)/(U180)-1</f>
        <v>1.5170179455836763E-3</v>
      </c>
      <c r="X181" s="20">
        <f t="shared" ref="X181" si="111">(U181-V181)-(U180)</f>
        <v>6019.157288135495</v>
      </c>
      <c r="Y181" s="17" t="s">
        <v>4241</v>
      </c>
      <c r="Z181" s="30">
        <f t="shared" si="85"/>
        <v>1.1629404314518621</v>
      </c>
    </row>
    <row r="182" spans="1:26" ht="40.5" x14ac:dyDescent="0.15">
      <c r="A182" s="1">
        <v>42944</v>
      </c>
      <c r="B182">
        <f t="shared" si="33"/>
        <v>5</v>
      </c>
      <c r="C182" s="30">
        <v>0</v>
      </c>
      <c r="D182" s="20">
        <v>2128347.06</v>
      </c>
      <c r="E182" s="20">
        <v>2128347.06</v>
      </c>
      <c r="F182" s="4">
        <f t="shared" si="47"/>
        <v>4.8684642431013891E-3</v>
      </c>
      <c r="G182">
        <v>34.14</v>
      </c>
      <c r="H182">
        <v>6.64</v>
      </c>
      <c r="I182">
        <v>27.5</v>
      </c>
      <c r="J182">
        <v>10116.950000000001</v>
      </c>
      <c r="K182" s="30">
        <f>56.16*3-8</f>
        <v>160.47999999999999</v>
      </c>
      <c r="L182" s="18">
        <f t="shared" ref="L182:L187" si="112">G182+J182+K182</f>
        <v>10311.57</v>
      </c>
      <c r="M182" s="37">
        <f t="shared" si="90"/>
        <v>10311.580000000075</v>
      </c>
      <c r="N182" s="17" t="s">
        <v>4245</v>
      </c>
      <c r="O182" s="41">
        <f ca="1">SUMIFS(Stock!$O:$O,Stock!$A:$A,'Asset Line A share'!$A182,Stock!$I:$I,O$2)</f>
        <v>18204</v>
      </c>
      <c r="P182" s="41">
        <f ca="1">SUMIFS(Stock!$O:$O,Stock!$A:$A,'Asset Line A share'!$A182,Stock!$I:$I,P$2)</f>
        <v>290580</v>
      </c>
      <c r="Q182" s="40">
        <f t="shared" ca="1" si="109"/>
        <v>3.6475499890134034E-4</v>
      </c>
      <c r="R182" s="30"/>
      <c r="S182" s="41">
        <f t="shared" ca="1" si="104"/>
        <v>1195365.6000000001</v>
      </c>
      <c r="T182" s="30">
        <v>2190524</v>
      </c>
      <c r="U182" s="20">
        <f t="shared" si="74"/>
        <v>3984723.3311864408</v>
      </c>
      <c r="V182" s="20"/>
      <c r="W182" s="4">
        <f t="shared" ref="W182" si="113">(U182-V182)/(U181)-1</f>
        <v>2.7550678693419872E-3</v>
      </c>
      <c r="X182" s="20">
        <f t="shared" ref="X182" si="114">(U182-V182)-(U181)</f>
        <v>10948.020677966066</v>
      </c>
      <c r="Y182" s="17" t="s">
        <v>4246</v>
      </c>
      <c r="Z182" s="30">
        <f t="shared" si="85"/>
        <v>1.1661444112685138</v>
      </c>
    </row>
    <row r="183" spans="1:26" ht="27" x14ac:dyDescent="0.15">
      <c r="A183" s="1">
        <v>42947</v>
      </c>
      <c r="B183">
        <f t="shared" si="33"/>
        <v>1</v>
      </c>
      <c r="C183" s="30">
        <v>0</v>
      </c>
      <c r="D183" s="20">
        <v>2127238.87</v>
      </c>
      <c r="E183" s="20">
        <v>2127238.87</v>
      </c>
      <c r="F183" s="4">
        <f t="shared" si="47"/>
        <v>-5.2068105847358215E-4</v>
      </c>
      <c r="G183">
        <v>251.39</v>
      </c>
      <c r="H183">
        <v>251.39</v>
      </c>
      <c r="I183">
        <v>0</v>
      </c>
      <c r="J183">
        <v>-1467.95</v>
      </c>
      <c r="K183" s="30">
        <f>115.37-7</f>
        <v>108.37</v>
      </c>
      <c r="L183" s="18">
        <f t="shared" si="112"/>
        <v>-1108.19</v>
      </c>
      <c r="M183" s="37">
        <f t="shared" si="90"/>
        <v>-1108.1899999999441</v>
      </c>
      <c r="N183" s="17" t="s">
        <v>4250</v>
      </c>
      <c r="O183" s="41">
        <f ca="1">SUMIFS(Stock!$O:$O,Stock!$A:$A,'Asset Line A share'!$A183,Stock!$I:$I,O$2)</f>
        <v>116442</v>
      </c>
      <c r="P183" s="41">
        <f ca="1">SUMIFS(Stock!$O:$O,Stock!$A:$A,'Asset Line A share'!$A183,Stock!$I:$I,P$2)</f>
        <v>0</v>
      </c>
      <c r="Q183" s="40">
        <f t="shared" ca="1" si="109"/>
        <v>2.1589289088129711E-3</v>
      </c>
      <c r="R183" s="30"/>
      <c r="S183" s="41">
        <f t="shared" ca="1" si="104"/>
        <v>1311807.6000000001</v>
      </c>
      <c r="T183" s="30">
        <v>2191174</v>
      </c>
      <c r="U183" s="20">
        <f t="shared" si="74"/>
        <v>3984165.9886440681</v>
      </c>
      <c r="V183" s="20"/>
      <c r="W183" s="4">
        <f t="shared" ref="W183" si="115">(U183-V183)/(U182)-1</f>
        <v>-1.3986982182945251E-4</v>
      </c>
      <c r="X183" s="20">
        <f t="shared" ref="X183" si="116">(U183-V183)-(U182)</f>
        <v>-557.34254237264395</v>
      </c>
      <c r="Y183" s="17" t="s">
        <v>4251</v>
      </c>
      <c r="Z183" s="30">
        <f t="shared" si="85"/>
        <v>1.1659813028574821</v>
      </c>
    </row>
    <row r="184" spans="1:26" ht="54" x14ac:dyDescent="0.15">
      <c r="A184" s="1">
        <v>42948</v>
      </c>
      <c r="B184">
        <f t="shared" si="33"/>
        <v>2</v>
      </c>
      <c r="C184" s="30">
        <v>0</v>
      </c>
      <c r="D184" s="20">
        <v>2144214.79</v>
      </c>
      <c r="E184" s="20">
        <v>2144214.79</v>
      </c>
      <c r="F184" s="4">
        <f t="shared" si="47"/>
        <v>7.9802603456564647E-3</v>
      </c>
      <c r="G184">
        <v>2550.2199999999998</v>
      </c>
      <c r="H184">
        <v>2550.2199999999998</v>
      </c>
      <c r="I184">
        <v>0</v>
      </c>
      <c r="J184">
        <v>14305.6</v>
      </c>
      <c r="K184" s="30">
        <f>119.0959+1</f>
        <v>120.0959</v>
      </c>
      <c r="L184" s="18">
        <f t="shared" si="112"/>
        <v>16975.9159</v>
      </c>
      <c r="M184" s="37">
        <f t="shared" si="90"/>
        <v>16975.919999999925</v>
      </c>
      <c r="N184" s="17" t="s">
        <v>4267</v>
      </c>
      <c r="O184" s="41">
        <f ca="1">SUMIFS(Stock!$O:$O,Stock!$A:$A,'Asset Line A share'!$A184,Stock!$I:$I,O$2)</f>
        <v>604902</v>
      </c>
      <c r="P184" s="41">
        <f ca="1">SUMIFS(Stock!$O:$O,Stock!$A:$A,'Asset Line A share'!$A184,Stock!$I:$I,P$2)</f>
        <v>0</v>
      </c>
      <c r="Q184" s="40">
        <f t="shared" ca="1" si="109"/>
        <v>4.2159225791946458E-3</v>
      </c>
      <c r="R184" s="30"/>
      <c r="S184" s="41">
        <f t="shared" ca="1" si="104"/>
        <v>1916709.6</v>
      </c>
      <c r="T184" s="30">
        <v>2198432</v>
      </c>
      <c r="U184" s="20">
        <f t="shared" si="74"/>
        <v>4007292.7561016949</v>
      </c>
      <c r="V184" s="20"/>
      <c r="W184" s="4">
        <f t="shared" ref="W184:W192" si="117">(U184-V184)/(U183)-1</f>
        <v>5.8046696657578778E-3</v>
      </c>
      <c r="X184" s="20">
        <f t="shared" ref="X184:X190" si="118">(U184-V184)-(U183)</f>
        <v>23126.76745762676</v>
      </c>
      <c r="Y184" s="17" t="s">
        <v>4266</v>
      </c>
      <c r="Z184" s="30">
        <f t="shared" si="85"/>
        <v>1.1727494391570199</v>
      </c>
    </row>
    <row r="185" spans="1:26" ht="40.5" x14ac:dyDescent="0.15">
      <c r="A185" s="1">
        <v>42949</v>
      </c>
      <c r="B185">
        <f t="shared" si="33"/>
        <v>3</v>
      </c>
      <c r="C185" s="30">
        <v>84071.12</v>
      </c>
      <c r="D185" s="20">
        <v>2219394.06</v>
      </c>
      <c r="E185" s="20">
        <f t="shared" ref="E185:E241" si="119">-C185+D185</f>
        <v>2135322.94</v>
      </c>
      <c r="F185" s="4">
        <f t="shared" si="47"/>
        <v>-4.1469026524157959E-3</v>
      </c>
      <c r="G185">
        <v>210.03</v>
      </c>
      <c r="H185" s="30">
        <v>210.03</v>
      </c>
      <c r="I185">
        <v>0</v>
      </c>
      <c r="J185">
        <v>-9097.4500000000007</v>
      </c>
      <c r="K185" s="30">
        <v>0</v>
      </c>
      <c r="L185" s="18">
        <f t="shared" si="112"/>
        <v>-8887.42</v>
      </c>
      <c r="M185" s="37">
        <f t="shared" si="90"/>
        <v>-8891.8500000000931</v>
      </c>
      <c r="N185" s="17" t="s">
        <v>4273</v>
      </c>
      <c r="O185" s="41">
        <f ca="1">SUMIFS(Stock!$O:$O,Stock!$A:$A,'Asset Line A share'!$A185,Stock!$I:$I,O$2)</f>
        <v>128325</v>
      </c>
      <c r="P185" s="41">
        <f ca="1">SUMIFS(Stock!$O:$O,Stock!$A:$A,'Asset Line A share'!$A185,Stock!$I:$I,P$2)</f>
        <v>0</v>
      </c>
      <c r="Q185" s="40">
        <f t="shared" ca="1" si="109"/>
        <v>1.6367036820572765E-3</v>
      </c>
      <c r="S185" s="41">
        <f t="shared" ca="1" si="104"/>
        <v>2045034.6</v>
      </c>
      <c r="T185">
        <v>2200726</v>
      </c>
      <c r="U185" s="20">
        <f t="shared" si="74"/>
        <v>4000344.9738983051</v>
      </c>
      <c r="V185" s="20"/>
      <c r="W185" s="4">
        <f t="shared" si="117"/>
        <v>-1.7337845339128188E-3</v>
      </c>
      <c r="X185" s="20">
        <f t="shared" si="118"/>
        <v>-6947.7822033897974</v>
      </c>
      <c r="Y185" s="17" t="s">
        <v>4274</v>
      </c>
      <c r="Z185" s="30">
        <f t="shared" si="85"/>
        <v>1.1707161443172545</v>
      </c>
    </row>
    <row r="186" spans="1:26" ht="40.5" x14ac:dyDescent="0.15">
      <c r="A186" s="1">
        <v>42950</v>
      </c>
      <c r="B186">
        <f t="shared" si="33"/>
        <v>4</v>
      </c>
      <c r="C186" s="30">
        <v>645637.79</v>
      </c>
      <c r="D186" s="20">
        <v>2740484.05</v>
      </c>
      <c r="E186" s="20">
        <f t="shared" si="119"/>
        <v>2094846.2599999998</v>
      </c>
      <c r="F186" s="4">
        <f t="shared" si="47"/>
        <v>-1.8955765070364561E-2</v>
      </c>
      <c r="G186">
        <v>-5353.22</v>
      </c>
      <c r="H186" s="30">
        <v>-5353.22</v>
      </c>
      <c r="I186">
        <v>0</v>
      </c>
      <c r="J186">
        <v>-35106.550000000003</v>
      </c>
      <c r="K186" s="30">
        <v>-15.88</v>
      </c>
      <c r="L186" s="18">
        <f t="shared" si="112"/>
        <v>-40475.65</v>
      </c>
      <c r="M186" s="37">
        <f t="shared" si="90"/>
        <v>-40476.680000000168</v>
      </c>
      <c r="N186" s="17" t="s">
        <v>4320</v>
      </c>
      <c r="O186" s="41">
        <f ca="1">SUMIFS(Stock!$O:$O,Stock!$A:$A,'Asset Line A share'!$A186,Stock!$I:$I,O$2)</f>
        <v>677400</v>
      </c>
      <c r="P186" s="41">
        <f ca="1">SUMIFS(Stock!$O:$O,Stock!$A:$A,'Asset Line A share'!$A186,Stock!$I:$I,P$2)</f>
        <v>0</v>
      </c>
      <c r="Q186" s="40">
        <f t="shared" ca="1" si="109"/>
        <v>-7.9025981694715083E-3</v>
      </c>
      <c r="R186" s="30"/>
      <c r="S186" s="41">
        <f ca="1">+S187+P187-O187</f>
        <v>2722434.6</v>
      </c>
      <c r="T186" s="30">
        <v>2165217</v>
      </c>
      <c r="U186" s="20">
        <f t="shared" si="74"/>
        <v>3929775.9210169492</v>
      </c>
      <c r="W186" s="4">
        <f t="shared" si="117"/>
        <v>-1.7640741821470129E-2</v>
      </c>
      <c r="X186" s="20">
        <f t="shared" si="118"/>
        <v>-70569.052881355863</v>
      </c>
      <c r="Y186" s="17" t="s">
        <v>4284</v>
      </c>
      <c r="Z186" s="30">
        <f t="shared" si="85"/>
        <v>1.1500638430691268</v>
      </c>
    </row>
    <row r="187" spans="1:26" ht="54" x14ac:dyDescent="0.15">
      <c r="A187" s="1">
        <v>42951</v>
      </c>
      <c r="B187">
        <f t="shared" si="33"/>
        <v>5</v>
      </c>
      <c r="C187" s="30">
        <v>0</v>
      </c>
      <c r="D187" s="20">
        <v>2073703.7</v>
      </c>
      <c r="E187" s="20">
        <f t="shared" si="119"/>
        <v>2073703.7</v>
      </c>
      <c r="F187" s="4">
        <f t="shared" si="47"/>
        <v>-1.0092654723024785E-2</v>
      </c>
      <c r="G187">
        <v>-102.05</v>
      </c>
      <c r="H187">
        <v>0</v>
      </c>
      <c r="I187">
        <v>-102.05</v>
      </c>
      <c r="J187">
        <v>-20901.95</v>
      </c>
      <c r="K187" s="30">
        <v>-121.94</v>
      </c>
      <c r="L187" s="18">
        <f t="shared" si="112"/>
        <v>-21125.94</v>
      </c>
      <c r="M187" s="37">
        <f t="shared" si="90"/>
        <v>-21142.559999999823</v>
      </c>
      <c r="N187" s="17" t="s">
        <v>4297</v>
      </c>
      <c r="O187" s="41">
        <f ca="1">SUMIFS(Stock!$O:$O,Stock!$A:$A,'Asset Line A share'!$A187,Stock!$I:$I,O$2)</f>
        <v>0</v>
      </c>
      <c r="P187" s="41">
        <f ca="1">SUMIFS(Stock!$O:$O,Stock!$A:$A,'Asset Line A share'!$A187,Stock!$I:$I,P$2)</f>
        <v>2180119.6</v>
      </c>
      <c r="Q187" s="40" t="str">
        <f t="shared" ca="1" si="109"/>
        <v/>
      </c>
      <c r="S187" s="41">
        <v>542315</v>
      </c>
      <c r="T187">
        <v>2152990</v>
      </c>
      <c r="U187" s="20">
        <f t="shared" si="74"/>
        <v>3898271.4966101693</v>
      </c>
      <c r="W187" s="4">
        <f t="shared" si="117"/>
        <v>-8.0168500799983056E-3</v>
      </c>
      <c r="X187" s="20">
        <f t="shared" si="118"/>
        <v>-31504.42440677993</v>
      </c>
      <c r="Y187" s="17" t="s">
        <v>4296</v>
      </c>
      <c r="Z187" s="30">
        <f t="shared" si="85"/>
        <v>1.1408439536568149</v>
      </c>
    </row>
    <row r="188" spans="1:26" ht="108" x14ac:dyDescent="0.15">
      <c r="A188" s="1">
        <v>42954</v>
      </c>
      <c r="B188">
        <f t="shared" si="33"/>
        <v>1</v>
      </c>
      <c r="C188" s="30">
        <v>0</v>
      </c>
      <c r="D188" s="20">
        <v>2074102.07</v>
      </c>
      <c r="E188" s="20">
        <f t="shared" si="119"/>
        <v>2074102.07</v>
      </c>
      <c r="F188" s="4">
        <f t="shared" si="47"/>
        <v>1.9210555490656311E-4</v>
      </c>
      <c r="G188">
        <v>-642.41</v>
      </c>
      <c r="H188" s="30">
        <v>-642.41</v>
      </c>
      <c r="I188">
        <v>0</v>
      </c>
      <c r="J188">
        <v>1217.8</v>
      </c>
      <c r="K188" s="30">
        <v>-177</v>
      </c>
      <c r="L188" s="18">
        <f t="shared" ref="L188:L195" si="120">G188+J188+K188</f>
        <v>398.39</v>
      </c>
      <c r="M188" s="37">
        <f t="shared" ref="M188:M195" si="121">+E188-E187</f>
        <v>398.37000000011176</v>
      </c>
      <c r="N188" s="17" t="s">
        <v>4323</v>
      </c>
      <c r="O188" s="41">
        <f ca="1">SUMIFS(Stock!$O:$O,Stock!$A:$A,'Asset Line A share'!$A188,Stock!$I:$I,O$2)</f>
        <v>970685</v>
      </c>
      <c r="P188" s="41">
        <f ca="1">SUMIFS(Stock!$O:$O,Stock!$A:$A,'Asset Line A share'!$A188,Stock!$I:$I,P$2)</f>
        <v>0</v>
      </c>
      <c r="Q188" s="40">
        <f t="shared" ref="Q188" ca="1" si="122">IF(O188&lt;&gt;0,+H188/O188,"")</f>
        <v>-6.6181098914683961E-4</v>
      </c>
      <c r="R188" s="30"/>
      <c r="S188" s="41">
        <f t="shared" ref="S188:S193" ca="1" si="123">+S187+O188-P188</f>
        <v>1513000</v>
      </c>
      <c r="T188" s="30">
        <v>2155132</v>
      </c>
      <c r="U188" s="20">
        <f t="shared" si="74"/>
        <v>3900485.120847458</v>
      </c>
      <c r="W188" s="4">
        <f t="shared" si="117"/>
        <v>5.6784763175521391E-4</v>
      </c>
      <c r="X188" s="20">
        <f t="shared" si="118"/>
        <v>2213.6242372887209</v>
      </c>
      <c r="Y188" s="17" t="s">
        <v>4318</v>
      </c>
      <c r="Z188" s="30">
        <f t="shared" si="85"/>
        <v>1.1414917791941013</v>
      </c>
    </row>
    <row r="189" spans="1:26" x14ac:dyDescent="0.15">
      <c r="A189" s="1">
        <v>42955</v>
      </c>
      <c r="B189">
        <f t="shared" si="33"/>
        <v>2</v>
      </c>
      <c r="C189" s="30">
        <v>0</v>
      </c>
      <c r="D189" s="20">
        <v>2074459.45</v>
      </c>
      <c r="E189" s="20">
        <f t="shared" si="119"/>
        <v>2074459.45</v>
      </c>
      <c r="F189" s="4">
        <f t="shared" si="47"/>
        <v>1.7230588849459494E-4</v>
      </c>
      <c r="G189">
        <v>569.73</v>
      </c>
      <c r="H189" s="30">
        <v>569.73</v>
      </c>
      <c r="I189">
        <v>0</v>
      </c>
      <c r="J189">
        <v>-212.35</v>
      </c>
      <c r="K189" s="30">
        <v>0</v>
      </c>
      <c r="L189" s="18">
        <f t="shared" si="120"/>
        <v>357.38</v>
      </c>
      <c r="M189" s="37">
        <f t="shared" si="121"/>
        <v>357.37999999988824</v>
      </c>
      <c r="N189" s="17" t="s">
        <v>4326</v>
      </c>
      <c r="O189" s="41">
        <f ca="1">SUMIFS(Stock!$O:$O,Stock!$A:$A,'Asset Line A share'!$A189,Stock!$I:$I,O$2)</f>
        <v>267550</v>
      </c>
      <c r="P189" s="41">
        <f ca="1">SUMIFS(Stock!$O:$O,Stock!$A:$A,'Asset Line A share'!$A189,Stock!$I:$I,P$2)</f>
        <v>0</v>
      </c>
      <c r="Q189" s="40">
        <f t="shared" ref="Q189" ca="1" si="124">IF(O189&lt;&gt;0,+H189/O189,"")</f>
        <v>2.1294337507008036E-3</v>
      </c>
      <c r="R189" s="30"/>
      <c r="S189" s="41">
        <f t="shared" ca="1" si="123"/>
        <v>1780550</v>
      </c>
      <c r="T189" s="30">
        <v>2155076</v>
      </c>
      <c r="U189" s="20">
        <f t="shared" si="74"/>
        <v>3900795.0432203393</v>
      </c>
      <c r="W189" s="4">
        <f t="shared" si="117"/>
        <v>7.9457391396031696E-5</v>
      </c>
      <c r="X189" s="20">
        <f t="shared" si="118"/>
        <v>309.9223728813231</v>
      </c>
      <c r="Y189" s="17" t="s">
        <v>4327</v>
      </c>
      <c r="Z189" s="30">
        <f t="shared" si="85"/>
        <v>1.1415824791531761</v>
      </c>
    </row>
    <row r="190" spans="1:26" ht="94.5" x14ac:dyDescent="0.15">
      <c r="A190" s="1">
        <v>42956</v>
      </c>
      <c r="B190">
        <f t="shared" si="33"/>
        <v>3</v>
      </c>
      <c r="C190" s="30">
        <v>0</v>
      </c>
      <c r="D190" s="20">
        <v>2064804.3</v>
      </c>
      <c r="E190" s="20">
        <f t="shared" si="119"/>
        <v>2064804.3</v>
      </c>
      <c r="F190" s="4">
        <f t="shared" si="47"/>
        <v>-4.6542968097061932E-3</v>
      </c>
      <c r="G190">
        <v>0</v>
      </c>
      <c r="H190">
        <v>0</v>
      </c>
      <c r="I190">
        <v>0</v>
      </c>
      <c r="J190">
        <v>-9655.15</v>
      </c>
      <c r="K190" s="30">
        <v>0</v>
      </c>
      <c r="L190" s="18">
        <f t="shared" si="120"/>
        <v>-9655.15</v>
      </c>
      <c r="M190" s="37">
        <f t="shared" si="121"/>
        <v>-9655.1499999999069</v>
      </c>
      <c r="N190" s="17" t="s">
        <v>4328</v>
      </c>
      <c r="O190" s="41">
        <f ca="1">SUMIFS(Stock!$O:$O,Stock!$A:$A,'Asset Line A share'!$A190,Stock!$I:$I,O$2)</f>
        <v>0</v>
      </c>
      <c r="P190" s="41">
        <f ca="1">SUMIFS(Stock!$O:$O,Stock!$A:$A,'Asset Line A share'!$A190,Stock!$I:$I,P$2)</f>
        <v>0</v>
      </c>
      <c r="Q190" s="40" t="str">
        <f t="shared" ref="Q190" ca="1" si="125">IF(O190&lt;&gt;0,+H190/O190,"")</f>
        <v/>
      </c>
      <c r="R190" s="30"/>
      <c r="S190" s="41">
        <f t="shared" ca="1" si="123"/>
        <v>1780550</v>
      </c>
      <c r="T190">
        <v>2138093</v>
      </c>
      <c r="U190" s="20">
        <f t="shared" si="74"/>
        <v>3876747.5203389833</v>
      </c>
      <c r="W190" s="4">
        <f t="shared" si="117"/>
        <v>-6.1647747740940506E-3</v>
      </c>
      <c r="X190" s="20">
        <f t="shared" si="118"/>
        <v>-24047.522881356068</v>
      </c>
      <c r="Y190" s="17" t="s">
        <v>4332</v>
      </c>
      <c r="Z190" s="30">
        <f t="shared" si="85"/>
        <v>1.1345448802831448</v>
      </c>
    </row>
    <row r="191" spans="1:26" ht="135" x14ac:dyDescent="0.15">
      <c r="A191" s="1">
        <v>42957</v>
      </c>
      <c r="B191">
        <f t="shared" si="33"/>
        <v>4</v>
      </c>
      <c r="C191" s="30">
        <v>0</v>
      </c>
      <c r="D191" s="20">
        <v>2061842.57</v>
      </c>
      <c r="E191" s="20">
        <f t="shared" si="119"/>
        <v>2061842.57</v>
      </c>
      <c r="F191" s="4">
        <f t="shared" si="47"/>
        <v>-1.4343877528731896E-3</v>
      </c>
      <c r="G191">
        <v>110.22</v>
      </c>
      <c r="H191" s="30">
        <v>110.22</v>
      </c>
      <c r="I191">
        <v>0</v>
      </c>
      <c r="J191">
        <v>-3071.95</v>
      </c>
      <c r="K191" s="30">
        <v>0</v>
      </c>
      <c r="L191" s="18">
        <f t="shared" si="120"/>
        <v>-2961.73</v>
      </c>
      <c r="M191" s="37">
        <f t="shared" si="121"/>
        <v>-2961.7299999999814</v>
      </c>
      <c r="N191" s="17" t="s">
        <v>4330</v>
      </c>
      <c r="O191" s="41">
        <f ca="1">SUMIFS(Stock!$O:$O,Stock!$A:$A,'Asset Line A share'!$A191,Stock!$I:$I,O$2)</f>
        <v>132600</v>
      </c>
      <c r="P191" s="41">
        <f ca="1">SUMIFS(Stock!$O:$O,Stock!$A:$A,'Asset Line A share'!$A191,Stock!$I:$I,P$2)</f>
        <v>0</v>
      </c>
      <c r="Q191" s="40">
        <f t="shared" ref="Q191" ca="1" si="126">IF(O191&lt;&gt;0,+H191/O191,"")</f>
        <v>8.3122171945701354E-4</v>
      </c>
      <c r="R191" s="30"/>
      <c r="S191" s="41">
        <f t="shared" ca="1" si="123"/>
        <v>1913150</v>
      </c>
      <c r="T191" s="30">
        <v>2138500</v>
      </c>
      <c r="U191" s="20">
        <f t="shared" si="74"/>
        <v>3874130.7055932204</v>
      </c>
      <c r="W191" s="4">
        <f t="shared" si="117"/>
        <v>-6.7500262321285032E-4</v>
      </c>
      <c r="X191" s="20">
        <f t="shared" ref="X191:X192" si="127">(U191-V191)-(U190)</f>
        <v>-2616.8147457628511</v>
      </c>
      <c r="Y191" s="17" t="s">
        <v>4331</v>
      </c>
      <c r="Z191" s="30">
        <f t="shared" si="85"/>
        <v>1.133779059512801</v>
      </c>
    </row>
    <row r="192" spans="1:26" ht="67.5" x14ac:dyDescent="0.15">
      <c r="A192" s="1">
        <v>42958</v>
      </c>
      <c r="B192">
        <f t="shared" si="33"/>
        <v>5</v>
      </c>
      <c r="C192" s="30">
        <v>0</v>
      </c>
      <c r="D192" s="20">
        <v>2041849.99</v>
      </c>
      <c r="E192" s="20">
        <f t="shared" si="119"/>
        <v>2041849.99</v>
      </c>
      <c r="F192" s="4">
        <f t="shared" si="47"/>
        <v>-9.6964629069619113E-3</v>
      </c>
      <c r="G192" s="30">
        <v>3980.67</v>
      </c>
      <c r="H192">
        <v>0</v>
      </c>
      <c r="I192" s="30">
        <v>3980.67</v>
      </c>
      <c r="J192">
        <v>-23973.25</v>
      </c>
      <c r="K192" s="30">
        <v>0</v>
      </c>
      <c r="L192" s="18">
        <f t="shared" si="120"/>
        <v>-19992.580000000002</v>
      </c>
      <c r="M192" s="37">
        <f t="shared" si="121"/>
        <v>-19992.580000000075</v>
      </c>
      <c r="N192" s="63" t="s">
        <v>4336</v>
      </c>
      <c r="O192" s="41">
        <f ca="1">SUMIFS(Stock!$O:$O,Stock!$A:$A,'Asset Line A share'!$A192,Stock!$I:$I,O$2)</f>
        <v>0</v>
      </c>
      <c r="P192" s="41">
        <f ca="1">SUMIFS(Stock!$O:$O,Stock!$A:$A,'Asset Line A share'!$A192,Stock!$I:$I,P$2)</f>
        <v>1557092.4000000001</v>
      </c>
      <c r="Q192" s="40" t="str">
        <f t="shared" ref="Q192" ca="1" si="128">IF(O192&lt;&gt;0,+H192/O192,"")</f>
        <v/>
      </c>
      <c r="R192" s="30"/>
      <c r="S192" s="41">
        <f t="shared" ca="1" si="123"/>
        <v>356057.59999999986</v>
      </c>
      <c r="T192">
        <v>2118714</v>
      </c>
      <c r="U192" s="20">
        <f t="shared" si="74"/>
        <v>3837370.3289830508</v>
      </c>
      <c r="W192" s="4">
        <f t="shared" si="117"/>
        <v>-9.4886774359722592E-3</v>
      </c>
      <c r="X192" s="20">
        <f t="shared" si="127"/>
        <v>-36760.376610169653</v>
      </c>
      <c r="Y192" s="17" t="s">
        <v>4337</v>
      </c>
      <c r="Z192" s="30">
        <f t="shared" si="85"/>
        <v>1.1230209957334241</v>
      </c>
    </row>
    <row r="193" spans="1:26" ht="40.5" x14ac:dyDescent="0.15">
      <c r="A193" s="1">
        <v>42961</v>
      </c>
      <c r="B193" s="30">
        <f t="shared" si="33"/>
        <v>1</v>
      </c>
      <c r="C193" s="30">
        <v>0</v>
      </c>
      <c r="D193" s="20">
        <v>2040429.5100000002</v>
      </c>
      <c r="E193" s="20">
        <f t="shared" si="119"/>
        <v>2040429.5100000002</v>
      </c>
      <c r="F193" s="4">
        <f t="shared" si="47"/>
        <v>-6.9568284005028236E-4</v>
      </c>
      <c r="G193" s="30">
        <v>0</v>
      </c>
      <c r="H193">
        <v>0</v>
      </c>
      <c r="I193">
        <v>0</v>
      </c>
      <c r="J193">
        <v>-1404.5</v>
      </c>
      <c r="K193" s="30">
        <f>-17+1.02</f>
        <v>-15.98</v>
      </c>
      <c r="L193" s="18">
        <f t="shared" si="120"/>
        <v>-1420.48</v>
      </c>
      <c r="M193" s="37">
        <f t="shared" si="121"/>
        <v>-1420.4799999997485</v>
      </c>
      <c r="N193" s="17" t="s">
        <v>4339</v>
      </c>
      <c r="O193" s="41">
        <f ca="1">SUMIFS(Stock!$O:$O,Stock!$A:$A,'Asset Line A share'!$A193,Stock!$I:$I,O$2)</f>
        <v>0</v>
      </c>
      <c r="P193" s="41">
        <f ca="1">SUMIFS(Stock!$O:$O,Stock!$A:$A,'Asset Line A share'!$A193,Stock!$I:$I,P$2)</f>
        <v>0</v>
      </c>
      <c r="Q193" s="40" t="str">
        <f t="shared" ref="Q193" ca="1" si="129">IF(O193&lt;&gt;0,+H193/O193,"")</f>
        <v/>
      </c>
      <c r="R193" s="30"/>
      <c r="S193" s="41">
        <f t="shared" ca="1" si="123"/>
        <v>356057.59999999986</v>
      </c>
      <c r="T193" s="30">
        <v>2120440</v>
      </c>
      <c r="U193" s="20">
        <f t="shared" si="74"/>
        <v>3837412.560847458</v>
      </c>
      <c r="V193" s="2"/>
      <c r="W193" s="4">
        <f t="shared" ref="W193" si="130">(U193-V193)/(U192)-1</f>
        <v>1.1005417978049437E-5</v>
      </c>
      <c r="X193" s="20">
        <f t="shared" ref="X193" si="131">(U193-V193)-(U192)</f>
        <v>42.231864407192916</v>
      </c>
      <c r="Y193" s="17" t="s">
        <v>4338</v>
      </c>
      <c r="Z193" s="30">
        <f t="shared" si="85"/>
        <v>1.1230333550488802</v>
      </c>
    </row>
    <row r="194" spans="1:26" x14ac:dyDescent="0.15">
      <c r="A194" s="1">
        <v>42962</v>
      </c>
      <c r="B194" s="30">
        <f t="shared" ref="B194:B258" si="132">WEEKDAY(A194,2)</f>
        <v>2</v>
      </c>
      <c r="C194" s="30">
        <v>0</v>
      </c>
      <c r="D194" s="20">
        <v>2041553.08</v>
      </c>
      <c r="E194" s="20">
        <f t="shared" si="119"/>
        <v>2041553.08</v>
      </c>
      <c r="F194" s="4">
        <f t="shared" si="47"/>
        <v>5.5065367095186168E-4</v>
      </c>
      <c r="G194">
        <v>0</v>
      </c>
      <c r="H194">
        <v>0</v>
      </c>
      <c r="I194">
        <v>0</v>
      </c>
      <c r="J194">
        <v>983.15</v>
      </c>
      <c r="K194" s="30">
        <f>157.424657534247-17</f>
        <v>140.42465753424699</v>
      </c>
      <c r="L194" s="18">
        <f t="shared" si="120"/>
        <v>1123.5746575342469</v>
      </c>
      <c r="M194" s="37">
        <f t="shared" si="121"/>
        <v>1123.5699999998324</v>
      </c>
      <c r="N194" s="17" t="s">
        <v>4340</v>
      </c>
      <c r="O194" s="41">
        <f ca="1">SUMIFS(Stock!$O:$O,Stock!$A:$A,'Asset Line A share'!$A194,Stock!$I:$I,O$2)</f>
        <v>0</v>
      </c>
      <c r="P194" s="41">
        <f ca="1">SUMIFS(Stock!$O:$O,Stock!$A:$A,'Asset Line A share'!$A194,Stock!$I:$I,P$2)</f>
        <v>0</v>
      </c>
      <c r="Q194" s="40" t="str">
        <f t="shared" ref="Q194" ca="1" si="133">IF(O194&lt;&gt;0,+H194/O194,"")</f>
        <v/>
      </c>
      <c r="R194" s="30"/>
      <c r="S194" s="41">
        <f t="shared" ref="S194" ca="1" si="134">+S193+O194-P194</f>
        <v>356057.59999999986</v>
      </c>
      <c r="T194" s="30">
        <v>2118980</v>
      </c>
      <c r="U194" s="20">
        <f t="shared" si="74"/>
        <v>3837298.8427118645</v>
      </c>
      <c r="V194" s="2"/>
      <c r="W194" s="4">
        <f t="shared" ref="W194" si="135">(U194-V194)/(U193)-1</f>
        <v>-2.9634065608075133E-5</v>
      </c>
      <c r="X194" s="20">
        <f t="shared" ref="X194" si="136">(U194-V194)-(U193)</f>
        <v>-113.71813559345901</v>
      </c>
      <c r="Y194" s="17" t="s">
        <v>4341</v>
      </c>
      <c r="Z194" s="30">
        <f t="shared" si="85"/>
        <v>1.1230000750047566</v>
      </c>
    </row>
    <row r="195" spans="1:26" ht="27" x14ac:dyDescent="0.15">
      <c r="A195" s="1">
        <v>42963</v>
      </c>
      <c r="B195" s="30">
        <f t="shared" si="132"/>
        <v>3</v>
      </c>
      <c r="C195" s="30">
        <v>0</v>
      </c>
      <c r="D195" s="20">
        <v>2046273.88</v>
      </c>
      <c r="E195" s="20">
        <f t="shared" si="119"/>
        <v>2046273.88</v>
      </c>
      <c r="F195" s="4">
        <f t="shared" si="47"/>
        <v>2.3123572177705665E-3</v>
      </c>
      <c r="G195">
        <v>0</v>
      </c>
      <c r="H195">
        <v>0</v>
      </c>
      <c r="I195">
        <v>0</v>
      </c>
      <c r="J195">
        <v>3511.25</v>
      </c>
      <c r="K195" s="30">
        <f>196.547945205479+1030-17</f>
        <v>1209.547945205479</v>
      </c>
      <c r="L195" s="18">
        <f t="shared" si="120"/>
        <v>4720.7979452054788</v>
      </c>
      <c r="M195" s="37">
        <f t="shared" si="121"/>
        <v>4720.7999999998137</v>
      </c>
      <c r="N195" s="17" t="s">
        <v>4343</v>
      </c>
      <c r="O195" s="41">
        <f ca="1">SUMIFS(Stock!$O:$O,Stock!$A:$A,'Asset Line A share'!$A195,Stock!$I:$I,O$2)</f>
        <v>0</v>
      </c>
      <c r="P195" s="41">
        <f ca="1">SUMIFS(Stock!$O:$O,Stock!$A:$A,'Asset Line A share'!$A195,Stock!$I:$I,P$2)</f>
        <v>0</v>
      </c>
      <c r="Q195" s="40" t="str">
        <f t="shared" ref="Q195:Q252" ca="1" si="137">IF(O195&lt;&gt;0,+H195/O195,"")</f>
        <v/>
      </c>
      <c r="R195" s="30"/>
      <c r="S195" s="41">
        <f t="shared" ref="S195" ca="1" si="138">+S194+O195-P195</f>
        <v>356057.59999999986</v>
      </c>
      <c r="T195" s="30">
        <v>2119022</v>
      </c>
      <c r="U195" s="20">
        <f t="shared" si="74"/>
        <v>3842055.2359322035</v>
      </c>
      <c r="V195" s="2"/>
      <c r="W195" s="4">
        <f t="shared" ref="W195" si="139">(U195-V195)/(U194)-1</f>
        <v>1.2395159760290042E-3</v>
      </c>
      <c r="X195" s="20">
        <f t="shared" ref="X195" si="140">(U195-V195)-(U194)</f>
        <v>4756.3932203389704</v>
      </c>
      <c r="Y195" s="17" t="s">
        <v>4342</v>
      </c>
      <c r="Z195" s="30">
        <f t="shared" si="85"/>
        <v>1.1243920515388068</v>
      </c>
    </row>
    <row r="196" spans="1:26" ht="54" x14ac:dyDescent="0.15">
      <c r="A196" s="1">
        <v>42964</v>
      </c>
      <c r="B196" s="30">
        <f t="shared" si="132"/>
        <v>4</v>
      </c>
      <c r="C196" s="30">
        <v>0</v>
      </c>
      <c r="D196" s="20">
        <v>2046654.61</v>
      </c>
      <c r="E196" s="20">
        <f t="shared" si="119"/>
        <v>2046654.61</v>
      </c>
      <c r="F196" s="4">
        <f t="shared" si="47"/>
        <v>1.8606013775634977E-4</v>
      </c>
      <c r="G196" s="30">
        <v>0</v>
      </c>
      <c r="H196" s="30">
        <v>0</v>
      </c>
      <c r="I196" s="30">
        <v>0</v>
      </c>
      <c r="J196">
        <f>+-104.45+340</f>
        <v>235.55</v>
      </c>
      <c r="K196" s="30">
        <f>198.178082191781+-17</f>
        <v>181.17808219178099</v>
      </c>
      <c r="L196" s="18">
        <f t="shared" ref="L196:L213" si="141">G196+J196+K196</f>
        <v>416.72808219178103</v>
      </c>
      <c r="M196" s="37">
        <f t="shared" ref="M196:M215" si="142">+E196-E195</f>
        <v>380.7300000002142</v>
      </c>
      <c r="N196" s="17" t="s">
        <v>4344</v>
      </c>
      <c r="O196" s="41">
        <f ca="1">SUMIFS(Stock!$O:$O,Stock!$A:$A,'Asset Line A share'!$A196,Stock!$I:$I,O$2)</f>
        <v>0</v>
      </c>
      <c r="P196" s="41">
        <f ca="1">SUMIFS(Stock!$O:$O,Stock!$A:$A,'Asset Line A share'!$A196,Stock!$I:$I,P$2)</f>
        <v>0</v>
      </c>
      <c r="Q196" s="40" t="str">
        <f t="shared" ca="1" si="137"/>
        <v/>
      </c>
      <c r="R196" s="30"/>
      <c r="S196" s="41">
        <f t="shared" ref="S196" ca="1" si="143">+S195+O196-P196</f>
        <v>356057.59999999986</v>
      </c>
      <c r="T196" s="30">
        <v>2119056</v>
      </c>
      <c r="U196" s="20">
        <f t="shared" si="74"/>
        <v>3842464.7794915256</v>
      </c>
      <c r="V196" s="2"/>
      <c r="W196" s="4">
        <f t="shared" ref="W196" si="144">(U196-V196)/(U195)-1</f>
        <v>1.0659491708819857E-4</v>
      </c>
      <c r="X196" s="20">
        <f t="shared" ref="X196" si="145">(U196-V196)-(U195)</f>
        <v>409.54355932213366</v>
      </c>
      <c r="Y196" s="17" t="s">
        <v>4345</v>
      </c>
      <c r="Z196" s="30">
        <f t="shared" si="85"/>
        <v>1.1245119060163153</v>
      </c>
    </row>
    <row r="197" spans="1:26" x14ac:dyDescent="0.15">
      <c r="A197" s="1">
        <v>42965</v>
      </c>
      <c r="B197" s="30">
        <f t="shared" si="132"/>
        <v>5</v>
      </c>
      <c r="C197" s="30">
        <v>0</v>
      </c>
      <c r="D197" s="20">
        <v>2048982.17</v>
      </c>
      <c r="E197" s="20">
        <f t="shared" si="119"/>
        <v>2048982.17</v>
      </c>
      <c r="F197" s="4">
        <f t="shared" si="47"/>
        <v>1.137250999082795E-3</v>
      </c>
      <c r="G197" s="30">
        <v>0</v>
      </c>
      <c r="H197" s="30">
        <v>0</v>
      </c>
      <c r="I197" s="30">
        <v>0</v>
      </c>
      <c r="J197">
        <f>1264.05+370</f>
        <v>1634.05</v>
      </c>
      <c r="K197" s="30">
        <f>710.506849315069-17</f>
        <v>693.50684931506896</v>
      </c>
      <c r="L197" s="18">
        <f t="shared" si="141"/>
        <v>2327.556849315069</v>
      </c>
      <c r="M197" s="37">
        <f t="shared" si="142"/>
        <v>2327.559999999823</v>
      </c>
      <c r="N197" s="17" t="s">
        <v>4346</v>
      </c>
      <c r="O197" s="41">
        <f ca="1">SUMIFS(Stock!$O:$O,Stock!$A:$A,'Asset Line A share'!$A197,Stock!$I:$I,O$2)</f>
        <v>0</v>
      </c>
      <c r="P197" s="41">
        <f ca="1">SUMIFS(Stock!$O:$O,Stock!$A:$A,'Asset Line A share'!$A197,Stock!$I:$I,P$2)</f>
        <v>0</v>
      </c>
      <c r="Q197" s="40" t="str">
        <f t="shared" ca="1" si="137"/>
        <v/>
      </c>
      <c r="R197" s="30"/>
      <c r="S197" s="41">
        <f t="shared" ref="S197" ca="1" si="146">+S196+O197-P197</f>
        <v>356057.59999999986</v>
      </c>
      <c r="T197" s="30">
        <v>2119535</v>
      </c>
      <c r="U197" s="20">
        <f t="shared" si="74"/>
        <v>3845198.2716949154</v>
      </c>
      <c r="W197" s="4">
        <f t="shared" ref="W197" si="147">(U197-V197)/(U196)-1</f>
        <v>7.1139030811151471E-4</v>
      </c>
      <c r="X197" s="20">
        <f t="shared" ref="X197" si="148">(U197-V197)-(U196)</f>
        <v>2733.4922033897601</v>
      </c>
      <c r="Y197" s="17" t="s">
        <v>4347</v>
      </c>
      <c r="Z197" s="30">
        <f t="shared" si="85"/>
        <v>1.1253118728876113</v>
      </c>
    </row>
    <row r="198" spans="1:26" ht="27" x14ac:dyDescent="0.15">
      <c r="A198" s="1">
        <v>42968</v>
      </c>
      <c r="B198">
        <f t="shared" si="132"/>
        <v>1</v>
      </c>
      <c r="C198" s="30">
        <v>0</v>
      </c>
      <c r="D198" s="20">
        <v>2059031.15</v>
      </c>
      <c r="E198" s="20">
        <f t="shared" si="119"/>
        <v>2059031.15</v>
      </c>
      <c r="F198" s="4">
        <f t="shared" si="47"/>
        <v>4.904376498307883E-3</v>
      </c>
      <c r="G198" s="30">
        <v>162.69</v>
      </c>
      <c r="H198" s="30">
        <v>162.69</v>
      </c>
      <c r="I198" s="30">
        <v>0</v>
      </c>
      <c r="J198">
        <f>9283.7+410</f>
        <v>9693.7000000000007</v>
      </c>
      <c r="K198" s="30">
        <f>209.58904109589-17</f>
        <v>192.58904109589</v>
      </c>
      <c r="L198" s="18">
        <f t="shared" si="141"/>
        <v>10048.97904109589</v>
      </c>
      <c r="M198" s="37">
        <f t="shared" si="142"/>
        <v>10048.979999999981</v>
      </c>
      <c r="N198" s="17" t="s">
        <v>4350</v>
      </c>
      <c r="O198" s="41">
        <f ca="1">SUMIFS(Stock!$O:$O,Stock!$A:$A,'Asset Line A share'!$A198,Stock!$I:$I,O$2)</f>
        <v>15596</v>
      </c>
      <c r="P198" s="41">
        <f ca="1">SUMIFS(Stock!$O:$O,Stock!$A:$A,'Asset Line A share'!$A198,Stock!$I:$I,P$2)</f>
        <v>0</v>
      </c>
      <c r="Q198" s="40">
        <f t="shared" ca="1" si="137"/>
        <v>1.0431520902795588E-2</v>
      </c>
      <c r="R198" s="30"/>
      <c r="S198" s="41">
        <f t="shared" ref="S198" ca="1" si="149">+S197+O198-P198</f>
        <v>371653.59999999986</v>
      </c>
      <c r="T198" s="30">
        <v>2119551</v>
      </c>
      <c r="U198" s="20">
        <f t="shared" si="74"/>
        <v>3855260.8110169489</v>
      </c>
      <c r="W198" s="4">
        <f t="shared" ref="W198" si="150">(U198-V198)/(U197)-1</f>
        <v>2.6169103934394755E-3</v>
      </c>
      <c r="X198" s="20">
        <f t="shared" ref="X198" si="151">(U198-V198)-(U197)</f>
        <v>10062.539322033525</v>
      </c>
      <c r="Y198" s="17" t="s">
        <v>4351</v>
      </c>
      <c r="Z198" s="30">
        <f t="shared" si="85"/>
        <v>1.1282567132236316</v>
      </c>
    </row>
    <row r="199" spans="1:26" ht="27" x14ac:dyDescent="0.15">
      <c r="A199" s="1">
        <v>42969</v>
      </c>
      <c r="B199">
        <f t="shared" si="132"/>
        <v>2</v>
      </c>
      <c r="C199" s="30">
        <v>0</v>
      </c>
      <c r="D199" s="20">
        <v>2072641.52</v>
      </c>
      <c r="E199" s="20">
        <f t="shared" si="119"/>
        <v>2072641.52</v>
      </c>
      <c r="F199" s="4">
        <f t="shared" si="47"/>
        <v>6.6100845536019026E-3</v>
      </c>
      <c r="G199">
        <v>919.36</v>
      </c>
      <c r="H199" s="30">
        <v>1574.2</v>
      </c>
      <c r="I199">
        <v>-654.83000000000004</v>
      </c>
      <c r="J199">
        <f>12187.1+450</f>
        <v>12637.1</v>
      </c>
      <c r="K199" s="30">
        <f>207.73-16-137.82</f>
        <v>53.91</v>
      </c>
      <c r="L199" s="18">
        <f t="shared" si="141"/>
        <v>13610.37</v>
      </c>
      <c r="M199" s="37">
        <f t="shared" si="142"/>
        <v>13610.370000000112</v>
      </c>
      <c r="N199" s="64" t="s">
        <v>4359</v>
      </c>
      <c r="O199" s="41">
        <f ca="1">SUMIFS(Stock!$O:$O,Stock!$A:$A,'Asset Line A share'!$A199,Stock!$I:$I,O$2)</f>
        <v>144560</v>
      </c>
      <c r="P199" s="41">
        <f ca="1">SUMIFS(Stock!$O:$O,Stock!$A:$A,'Asset Line A share'!$A199,Stock!$I:$I,P$2)</f>
        <v>135110</v>
      </c>
      <c r="Q199" s="40">
        <f t="shared" ca="1" si="137"/>
        <v>1.0889596015495296E-2</v>
      </c>
      <c r="R199" s="30"/>
      <c r="S199" s="41">
        <f t="shared" ref="S199:S205" ca="1" si="152">+S198+O199-P199</f>
        <v>381103.59999999986</v>
      </c>
      <c r="T199">
        <v>2126890</v>
      </c>
      <c r="U199" s="20">
        <f t="shared" si="74"/>
        <v>3875090.6725423727</v>
      </c>
      <c r="W199" s="4">
        <f t="shared" ref="W199" si="153">(U199-V199)/(U198)-1</f>
        <v>5.1435849602592398E-3</v>
      </c>
      <c r="X199" s="20">
        <f t="shared" ref="X199" si="154">(U199-V199)-(U198)</f>
        <v>19829.861525423825</v>
      </c>
      <c r="Y199" s="17" t="s">
        <v>4358</v>
      </c>
      <c r="Z199" s="30">
        <f t="shared" si="85"/>
        <v>1.1340599974850802</v>
      </c>
    </row>
    <row r="200" spans="1:26" x14ac:dyDescent="0.15">
      <c r="A200" s="1">
        <v>42970</v>
      </c>
      <c r="B200">
        <f t="shared" si="132"/>
        <v>3</v>
      </c>
      <c r="C200" s="30">
        <v>0</v>
      </c>
      <c r="D200" s="20">
        <v>2075679.25</v>
      </c>
      <c r="E200" s="20">
        <f t="shared" si="119"/>
        <v>2075679.25</v>
      </c>
      <c r="F200" s="4">
        <f t="shared" si="47"/>
        <v>1.4656321272574768E-3</v>
      </c>
      <c r="G200">
        <v>0</v>
      </c>
      <c r="H200">
        <v>0</v>
      </c>
      <c r="I200">
        <v>0</v>
      </c>
      <c r="J200">
        <f>2344.55+490</f>
        <v>2834.55</v>
      </c>
      <c r="K200" s="30">
        <f>219.178082191781-16</f>
        <v>203.17808219178099</v>
      </c>
      <c r="L200" s="18">
        <f t="shared" si="141"/>
        <v>3037.7280821917811</v>
      </c>
      <c r="M200" s="37">
        <f t="shared" si="142"/>
        <v>3037.7299999999814</v>
      </c>
      <c r="N200" s="17" t="s">
        <v>4361</v>
      </c>
      <c r="O200" s="41">
        <f ca="1">SUMIFS(Stock!$O:$O,Stock!$A:$A,'Asset Line A share'!$A200,Stock!$I:$I,O$2)</f>
        <v>0</v>
      </c>
      <c r="P200" s="41">
        <f ca="1">SUMIFS(Stock!$O:$O,Stock!$A:$A,'Asset Line A share'!$A200,Stock!$I:$I,P$2)</f>
        <v>0</v>
      </c>
      <c r="Q200" s="40" t="str">
        <f t="shared" ca="1" si="137"/>
        <v/>
      </c>
      <c r="R200" s="30"/>
      <c r="S200" s="41">
        <f t="shared" ca="1" si="152"/>
        <v>381103.59999999986</v>
      </c>
      <c r="T200">
        <v>2126093</v>
      </c>
      <c r="U200" s="20">
        <f t="shared" si="74"/>
        <v>3877452.9788135597</v>
      </c>
      <c r="W200" s="4">
        <f t="shared" ref="W200" si="155">(U200-V200)/(U199)-1</f>
        <v>6.0961316026109102E-4</v>
      </c>
      <c r="X200" s="20">
        <f t="shared" ref="X200" si="156">(U200-V200)-(U199)</f>
        <v>2362.3062711870298</v>
      </c>
      <c r="Y200" s="17" t="s">
        <v>4360</v>
      </c>
      <c r="Z200" s="30">
        <f t="shared" si="85"/>
        <v>1.1347513353840728</v>
      </c>
    </row>
    <row r="201" spans="1:26" x14ac:dyDescent="0.15">
      <c r="A201" s="1">
        <v>42971</v>
      </c>
      <c r="B201">
        <f t="shared" si="132"/>
        <v>4</v>
      </c>
      <c r="C201" s="30">
        <v>0</v>
      </c>
      <c r="D201" s="20">
        <v>2076253.17</v>
      </c>
      <c r="E201" s="20">
        <f t="shared" si="119"/>
        <v>2076253.17</v>
      </c>
      <c r="F201" s="4">
        <f t="shared" si="47"/>
        <v>2.7649744053670489E-4</v>
      </c>
      <c r="G201">
        <v>0</v>
      </c>
      <c r="H201">
        <v>0</v>
      </c>
      <c r="I201">
        <v>0</v>
      </c>
      <c r="J201">
        <f>+-164+540</f>
        <v>376</v>
      </c>
      <c r="K201" s="30">
        <f>213.92-16</f>
        <v>197.92</v>
      </c>
      <c r="L201" s="18">
        <f t="shared" si="141"/>
        <v>573.91999999999996</v>
      </c>
      <c r="M201" s="37">
        <f t="shared" si="142"/>
        <v>573.91999999992549</v>
      </c>
      <c r="N201" s="17" t="s">
        <v>4362</v>
      </c>
      <c r="O201" s="41">
        <f ca="1">SUMIFS(Stock!$O:$O,Stock!$A:$A,'Asset Line A share'!$A201,Stock!$I:$I,O$2)</f>
        <v>0</v>
      </c>
      <c r="P201" s="41">
        <f ca="1">SUMIFS(Stock!$O:$O,Stock!$A:$A,'Asset Line A share'!$A201,Stock!$I:$I,P$2)</f>
        <v>0</v>
      </c>
      <c r="Q201" s="40" t="str">
        <f t="shared" ca="1" si="137"/>
        <v/>
      </c>
      <c r="R201" s="30"/>
      <c r="S201" s="41">
        <f t="shared" ca="1" si="152"/>
        <v>381103.59999999986</v>
      </c>
      <c r="T201">
        <v>2126155</v>
      </c>
      <c r="U201" s="20">
        <f t="shared" si="74"/>
        <v>3878079.4411864406</v>
      </c>
      <c r="W201" s="4">
        <f t="shared" ref="W201" si="157">(U201-V201)/(U200)-1</f>
        <v>1.6156543388246014E-4</v>
      </c>
      <c r="X201" s="20">
        <f t="shared" ref="X201" si="158">(U201-V201)-(U200)</f>
        <v>626.46237288089469</v>
      </c>
      <c r="Y201" s="17" t="s">
        <v>4363</v>
      </c>
      <c r="Z201" s="30">
        <f t="shared" si="85"/>
        <v>1.1349346719759228</v>
      </c>
    </row>
    <row r="202" spans="1:26" ht="40.5" x14ac:dyDescent="0.15">
      <c r="A202" s="1">
        <v>42972</v>
      </c>
      <c r="B202">
        <f t="shared" si="132"/>
        <v>5</v>
      </c>
      <c r="C202" s="30">
        <v>0</v>
      </c>
      <c r="D202" s="20">
        <v>2079477.32</v>
      </c>
      <c r="E202" s="20">
        <f t="shared" si="119"/>
        <v>2079477.32</v>
      </c>
      <c r="F202" s="4">
        <f t="shared" si="47"/>
        <v>1.5528693930904058E-3</v>
      </c>
      <c r="G202">
        <v>-218.95</v>
      </c>
      <c r="H202">
        <v>0</v>
      </c>
      <c r="I202" s="30">
        <v>-218.95</v>
      </c>
      <c r="J202">
        <f>2270.95+600</f>
        <v>2870.95</v>
      </c>
      <c r="K202" s="30">
        <f>589.150684931507-17</f>
        <v>572.15068493150704</v>
      </c>
      <c r="L202" s="18">
        <f t="shared" si="141"/>
        <v>3224.1506849315069</v>
      </c>
      <c r="M202" s="37">
        <f t="shared" si="142"/>
        <v>3224.1500000001397</v>
      </c>
      <c r="N202" s="17" t="s">
        <v>4366</v>
      </c>
      <c r="O202" s="41">
        <f ca="1">SUMIFS(Stock!$O:$O,Stock!$A:$A,'Asset Line A share'!$A202,Stock!$I:$I,O$2)</f>
        <v>0</v>
      </c>
      <c r="P202" s="41">
        <f ca="1">SUMIFS(Stock!$O:$O,Stock!$A:$A,'Asset Line A share'!$A202,Stock!$I:$I,P$2)</f>
        <v>49140</v>
      </c>
      <c r="Q202" s="40" t="str">
        <f t="shared" ca="1" si="137"/>
        <v/>
      </c>
      <c r="R202" s="30"/>
      <c r="S202" s="41">
        <f t="shared" ca="1" si="152"/>
        <v>331963.59999999986</v>
      </c>
      <c r="T202">
        <v>2126050</v>
      </c>
      <c r="U202" s="20">
        <f t="shared" si="74"/>
        <v>3881214.6081355931</v>
      </c>
      <c r="W202" s="4">
        <f t="shared" ref="W202" si="159">(U202-V202)/(U201)-1</f>
        <v>8.0843288455012541E-4</v>
      </c>
      <c r="X202" s="20">
        <f t="shared" ref="X202" si="160">(U202-V202)-(U201)</f>
        <v>3135.1669491524808</v>
      </c>
      <c r="Y202" s="17" t="s">
        <v>4367</v>
      </c>
      <c r="Z202" s="30">
        <f t="shared" si="85"/>
        <v>1.1358521904865642</v>
      </c>
    </row>
    <row r="203" spans="1:26" ht="27" x14ac:dyDescent="0.15">
      <c r="A203" s="1">
        <v>42975</v>
      </c>
      <c r="B203">
        <f t="shared" si="132"/>
        <v>1</v>
      </c>
      <c r="C203" s="30">
        <v>0</v>
      </c>
      <c r="D203" s="20">
        <v>2078680.72</v>
      </c>
      <c r="E203" s="20">
        <f t="shared" si="119"/>
        <v>2078680.72</v>
      </c>
      <c r="F203" s="4">
        <f t="shared" si="47"/>
        <v>-3.8307703206885702E-4</v>
      </c>
      <c r="G203">
        <v>0</v>
      </c>
      <c r="H203">
        <v>0</v>
      </c>
      <c r="I203">
        <v>0</v>
      </c>
      <c r="J203">
        <f>+-1621.6+660</f>
        <v>-961.59999999999991</v>
      </c>
      <c r="K203" s="30">
        <f>182-17</f>
        <v>165</v>
      </c>
      <c r="L203" s="18">
        <f t="shared" si="141"/>
        <v>-796.59999999999991</v>
      </c>
      <c r="M203" s="37">
        <f t="shared" si="142"/>
        <v>-796.60000000009313</v>
      </c>
      <c r="N203" s="17" t="s">
        <v>4368</v>
      </c>
      <c r="O203" s="41">
        <f ca="1">SUMIFS(Stock!$O:$O,Stock!$A:$A,'Asset Line A share'!$A203,Stock!$I:$I,O$2)</f>
        <v>0</v>
      </c>
      <c r="P203" s="41">
        <f ca="1">SUMIFS(Stock!$O:$O,Stock!$A:$A,'Asset Line A share'!$A203,Stock!$I:$I,P$2)</f>
        <v>0</v>
      </c>
      <c r="Q203" s="40" t="str">
        <f t="shared" ca="1" si="137"/>
        <v/>
      </c>
      <c r="R203" s="30"/>
      <c r="S203" s="41">
        <f t="shared" ca="1" si="152"/>
        <v>331963.59999999986</v>
      </c>
      <c r="T203" s="30">
        <v>2363768</v>
      </c>
      <c r="U203" s="20">
        <f t="shared" si="74"/>
        <v>4081873.9403389832</v>
      </c>
      <c r="V203" s="30">
        <f>30400*6.63</f>
        <v>201552</v>
      </c>
      <c r="W203" s="4">
        <f t="shared" ref="W203" si="161">(U203-V203)/(U202)-1</f>
        <v>-2.2999702071069272E-4</v>
      </c>
      <c r="X203" s="20">
        <f t="shared" ref="X203" si="162">(U203-V203)-(U202)</f>
        <v>-892.66779660992324</v>
      </c>
      <c r="Y203" s="17" t="s">
        <v>4369</v>
      </c>
      <c r="Z203" s="30">
        <f t="shared" si="85"/>
        <v>1.1355909478667845</v>
      </c>
    </row>
    <row r="204" spans="1:26" x14ac:dyDescent="0.15">
      <c r="A204" s="1">
        <v>42976</v>
      </c>
      <c r="B204">
        <f t="shared" si="132"/>
        <v>2</v>
      </c>
      <c r="C204" s="30">
        <v>0</v>
      </c>
      <c r="D204" s="20">
        <v>2080842.24</v>
      </c>
      <c r="E204" s="20">
        <f t="shared" si="119"/>
        <v>2080842.24</v>
      </c>
      <c r="F204" s="4">
        <f t="shared" si="47"/>
        <v>1.0398518537277912E-3</v>
      </c>
      <c r="G204" s="30">
        <v>0</v>
      </c>
      <c r="H204" s="30">
        <v>0</v>
      </c>
      <c r="I204" s="30">
        <v>0</v>
      </c>
      <c r="J204">
        <f>720+1249.4</f>
        <v>1969.4</v>
      </c>
      <c r="K204" s="30">
        <f>209.123287671233-17</f>
        <v>192.12328767123299</v>
      </c>
      <c r="L204" s="18">
        <f t="shared" si="141"/>
        <v>2161.523287671233</v>
      </c>
      <c r="M204" s="37">
        <f t="shared" si="142"/>
        <v>2161.5200000000186</v>
      </c>
      <c r="N204" s="17" t="s">
        <v>4370</v>
      </c>
      <c r="O204" s="41">
        <f ca="1">SUMIFS(Stock!$O:$O,Stock!$A:$A,'Asset Line A share'!$A204,Stock!$I:$I,O$2)</f>
        <v>0</v>
      </c>
      <c r="P204" s="41">
        <f ca="1">SUMIFS(Stock!$O:$O,Stock!$A:$A,'Asset Line A share'!$A204,Stock!$I:$I,P$2)</f>
        <v>0</v>
      </c>
      <c r="Q204" s="40" t="str">
        <f t="shared" ca="1" si="137"/>
        <v/>
      </c>
      <c r="R204" s="30"/>
      <c r="S204" s="41">
        <f t="shared" ca="1" si="152"/>
        <v>331963.59999999986</v>
      </c>
      <c r="T204" s="30">
        <v>2364103</v>
      </c>
      <c r="U204" s="20">
        <f t="shared" ref="U204:U205" si="163">T204/1.18+E204</f>
        <v>4084319.3586440682</v>
      </c>
      <c r="W204" s="4">
        <f t="shared" ref="W204" si="164">(U204-V204)/(U203)-1</f>
        <v>5.9909206918873359E-4</v>
      </c>
      <c r="X204" s="20">
        <f t="shared" ref="X204" si="165">(U204-V204)-(U203)</f>
        <v>2445.4183050850406</v>
      </c>
      <c r="Y204" s="17" t="s">
        <v>4371</v>
      </c>
      <c r="Z204" s="30">
        <f t="shared" si="85"/>
        <v>1.1362712713974941</v>
      </c>
    </row>
    <row r="205" spans="1:26" ht="27" x14ac:dyDescent="0.15">
      <c r="A205" s="1">
        <v>42977</v>
      </c>
      <c r="B205">
        <f t="shared" si="132"/>
        <v>3</v>
      </c>
      <c r="C205" s="30">
        <v>0</v>
      </c>
      <c r="D205" s="20">
        <v>2078752.09</v>
      </c>
      <c r="E205" s="20">
        <f t="shared" si="119"/>
        <v>2078752.09</v>
      </c>
      <c r="F205" s="4">
        <f t="shared" si="47"/>
        <v>-1.0044730733647089E-3</v>
      </c>
      <c r="G205" s="30">
        <v>0</v>
      </c>
      <c r="H205" s="30">
        <v>0</v>
      </c>
      <c r="I205" s="30">
        <v>0</v>
      </c>
      <c r="J205">
        <f>+-3113.25+800</f>
        <v>-2313.25</v>
      </c>
      <c r="K205" s="30">
        <f>5.155*1700/36.5-17</f>
        <v>223.0958904109589</v>
      </c>
      <c r="L205" s="18">
        <f t="shared" si="141"/>
        <v>-2090.1541095890411</v>
      </c>
      <c r="M205" s="37">
        <f t="shared" si="142"/>
        <v>-2090.1499999999069</v>
      </c>
      <c r="N205" s="17" t="s">
        <v>4373</v>
      </c>
      <c r="O205" s="41">
        <f ca="1">SUMIFS(Stock!$O:$O,Stock!$A:$A,'Asset Line A share'!$A205,Stock!$I:$I,O$2)</f>
        <v>0</v>
      </c>
      <c r="P205" s="41">
        <f ca="1">SUMIFS(Stock!$O:$O,Stock!$A:$A,'Asset Line A share'!$A205,Stock!$I:$I,P$2)</f>
        <v>0</v>
      </c>
      <c r="Q205" s="40" t="str">
        <f t="shared" ca="1" si="137"/>
        <v/>
      </c>
      <c r="R205" s="30"/>
      <c r="S205" s="41">
        <f t="shared" ca="1" si="152"/>
        <v>331963.59999999986</v>
      </c>
      <c r="T205">
        <v>2364456</v>
      </c>
      <c r="U205" s="20">
        <f t="shared" si="163"/>
        <v>4082528.361186441</v>
      </c>
      <c r="W205" s="4">
        <f t="shared" ref="W205" si="166">(U205-V205)/(U204)-1</f>
        <v>-4.385057338468501E-4</v>
      </c>
      <c r="X205" s="20">
        <f t="shared" ref="X205" si="167">(U205-V205)-(U204)</f>
        <v>-1790.997457627207</v>
      </c>
      <c r="Y205" s="17" t="s">
        <v>4372</v>
      </c>
      <c r="Z205" s="30">
        <f t="shared" si="85"/>
        <v>1.1357730099297809</v>
      </c>
    </row>
    <row r="206" spans="1:26" x14ac:dyDescent="0.15">
      <c r="A206" s="1">
        <v>42978</v>
      </c>
      <c r="B206">
        <f t="shared" si="132"/>
        <v>4</v>
      </c>
      <c r="C206" s="30">
        <v>0</v>
      </c>
      <c r="D206" s="20">
        <v>2077044.7</v>
      </c>
      <c r="E206" s="20">
        <f t="shared" si="119"/>
        <v>2077044.7</v>
      </c>
      <c r="F206" s="4">
        <f t="shared" si="47"/>
        <v>-8.2135335339583726E-4</v>
      </c>
      <c r="G206" s="30">
        <v>0</v>
      </c>
      <c r="H206" s="30">
        <v>0</v>
      </c>
      <c r="I206" s="30">
        <v>0</v>
      </c>
      <c r="J206">
        <f>+-2947.65+880</f>
        <v>-2067.65</v>
      </c>
      <c r="K206" s="30">
        <f>377.260273972603-17</f>
        <v>360.26027397260299</v>
      </c>
      <c r="L206" s="18">
        <f t="shared" si="141"/>
        <v>-1707.389726027397</v>
      </c>
      <c r="M206" s="37">
        <f t="shared" si="142"/>
        <v>-1707.3900000001304</v>
      </c>
      <c r="N206" s="17" t="s">
        <v>4374</v>
      </c>
      <c r="O206" s="41">
        <f ca="1">SUMIFS(Stock!$O:$O,Stock!$A:$A,'Asset Line A share'!$A206,Stock!$I:$I,O$2)</f>
        <v>0</v>
      </c>
      <c r="P206" s="41">
        <f ca="1">SUMIFS(Stock!$O:$O,Stock!$A:$A,'Asset Line A share'!$A206,Stock!$I:$I,P$2)</f>
        <v>0</v>
      </c>
      <c r="Q206" s="40" t="str">
        <f t="shared" ca="1" si="137"/>
        <v/>
      </c>
      <c r="R206" s="30"/>
      <c r="S206" s="41">
        <f t="shared" ref="S206" ca="1" si="168">+S205+O206-P206</f>
        <v>331963.59999999986</v>
      </c>
      <c r="T206" s="30">
        <v>2364305</v>
      </c>
      <c r="U206" s="20">
        <f t="shared" ref="U206" si="169">T206/1.18+E206</f>
        <v>4080693.0050847456</v>
      </c>
      <c r="W206" s="4">
        <f t="shared" ref="W206" si="170">(U206-V206)/(U205)-1</f>
        <v>-4.4956358886438785E-4</v>
      </c>
      <c r="X206" s="20">
        <f t="shared" ref="X206" si="171">(U206-V206)-(U205)</f>
        <v>-1835.3561016954482</v>
      </c>
      <c r="Y206" s="17" t="s">
        <v>4375</v>
      </c>
      <c r="Z206" s="30">
        <f t="shared" si="85"/>
        <v>1.1352624077393016</v>
      </c>
    </row>
    <row r="207" spans="1:26" x14ac:dyDescent="0.15">
      <c r="A207" s="1">
        <v>42979</v>
      </c>
      <c r="B207">
        <f t="shared" si="132"/>
        <v>5</v>
      </c>
      <c r="C207" s="30">
        <v>0</v>
      </c>
      <c r="D207" s="20">
        <v>2078495.97</v>
      </c>
      <c r="E207" s="20">
        <f t="shared" si="119"/>
        <v>2078495.97</v>
      </c>
      <c r="F207" s="4">
        <f t="shared" si="47"/>
        <v>6.9871871317928047E-4</v>
      </c>
      <c r="G207" s="30">
        <v>-765.49</v>
      </c>
      <c r="H207">
        <v>0</v>
      </c>
      <c r="I207">
        <v>-765.49</v>
      </c>
      <c r="J207">
        <f>357.55+960</f>
        <v>1317.55</v>
      </c>
      <c r="K207" s="30">
        <f>915.205479452055-16</f>
        <v>899.20547945205499</v>
      </c>
      <c r="L207" s="18">
        <f t="shared" si="141"/>
        <v>1451.2654794520549</v>
      </c>
      <c r="M207" s="37">
        <f t="shared" si="142"/>
        <v>1451.2700000000186</v>
      </c>
      <c r="N207" s="17" t="s">
        <v>4378</v>
      </c>
      <c r="O207" s="41">
        <f ca="1">SUMIFS(Stock!$O:$O,Stock!$A:$A,'Asset Line A share'!$A207,Stock!$I:$I,O$2)</f>
        <v>79492</v>
      </c>
      <c r="P207" s="41">
        <f ca="1">SUMIFS(Stock!$O:$O,Stock!$A:$A,'Asset Line A share'!$A207,Stock!$I:$I,P$2)</f>
        <v>0</v>
      </c>
      <c r="Q207" s="40">
        <f t="shared" ca="1" si="137"/>
        <v>0</v>
      </c>
      <c r="R207" s="30"/>
      <c r="S207" s="41">
        <f t="shared" ref="S207" ca="1" si="172">+S206+O207-P207</f>
        <v>411455.59999999986</v>
      </c>
      <c r="T207" s="30">
        <v>2364570</v>
      </c>
      <c r="U207" s="20">
        <f t="shared" ref="U207:U208" si="173">T207/1.18+E207</f>
        <v>4082368.8513559322</v>
      </c>
      <c r="W207" s="4">
        <f t="shared" ref="W207" si="174">(U207-V207)/(U206)-1</f>
        <v>4.1067687990703483E-4</v>
      </c>
      <c r="X207" s="20">
        <f t="shared" ref="X207" si="175">(U207-V207)-(U206)</f>
        <v>1675.8462711866014</v>
      </c>
      <c r="Y207" s="17" t="s">
        <v>4379</v>
      </c>
      <c r="Z207" s="30">
        <f t="shared" ref="Z207:Z252" si="176">Z206*(1+W207)</f>
        <v>1.1357286337627879</v>
      </c>
    </row>
    <row r="208" spans="1:26" x14ac:dyDescent="0.15">
      <c r="A208" s="1">
        <v>42982</v>
      </c>
      <c r="B208">
        <f t="shared" si="132"/>
        <v>1</v>
      </c>
      <c r="C208" s="30">
        <v>0</v>
      </c>
      <c r="D208" s="20">
        <v>2080758.5</v>
      </c>
      <c r="E208" s="20">
        <f t="shared" si="119"/>
        <v>2080758.5</v>
      </c>
      <c r="F208" s="4">
        <f t="shared" si="47"/>
        <v>1.0885419229367255E-3</v>
      </c>
      <c r="G208">
        <v>0</v>
      </c>
      <c r="H208">
        <v>0</v>
      </c>
      <c r="I208">
        <v>0</v>
      </c>
      <c r="J208">
        <f>1064.45+1060-16.88</f>
        <v>2107.5699999999997</v>
      </c>
      <c r="K208" s="30">
        <f>3.9*1600/36.5-16</f>
        <v>154.95890410958904</v>
      </c>
      <c r="L208" s="18">
        <f t="shared" si="141"/>
        <v>2262.5289041095889</v>
      </c>
      <c r="M208" s="37">
        <f t="shared" si="142"/>
        <v>2262.5300000000279</v>
      </c>
      <c r="N208" s="17" t="s">
        <v>4381</v>
      </c>
      <c r="O208" s="41">
        <f ca="1">SUMIFS(Stock!$O:$O,Stock!$A:$A,'Asset Line A share'!$A208,Stock!$I:$I,O$2)</f>
        <v>0</v>
      </c>
      <c r="P208" s="41">
        <f ca="1">SUMIFS(Stock!$O:$O,Stock!$A:$A,'Asset Line A share'!$A208,Stock!$I:$I,P$2)</f>
        <v>0</v>
      </c>
      <c r="Q208" s="40" t="str">
        <f t="shared" ca="1" si="137"/>
        <v/>
      </c>
      <c r="R208" s="30"/>
      <c r="S208" s="41">
        <f t="shared" ref="S208" ca="1" si="177">+S207+O208-P208</f>
        <v>411455.59999999986</v>
      </c>
      <c r="T208">
        <v>2364672</v>
      </c>
      <c r="U208" s="20">
        <f t="shared" si="173"/>
        <v>4084717.8220338984</v>
      </c>
      <c r="W208" s="4">
        <f t="shared" ref="W208" si="178">(U208-V208)/(U207)-1</f>
        <v>5.753940330956997E-4</v>
      </c>
      <c r="X208" s="20">
        <f t="shared" ref="X208" si="179">(U208-V208)-(U207)</f>
        <v>2348.970677966252</v>
      </c>
      <c r="Y208" s="17" t="s">
        <v>4380</v>
      </c>
      <c r="Z208" s="30">
        <f t="shared" si="176"/>
        <v>1.1363821252418709</v>
      </c>
    </row>
    <row r="209" spans="1:26" ht="27" x14ac:dyDescent="0.15">
      <c r="A209" s="1">
        <v>42983</v>
      </c>
      <c r="B209">
        <f t="shared" si="132"/>
        <v>2</v>
      </c>
      <c r="C209" s="30">
        <v>0</v>
      </c>
      <c r="D209" s="20">
        <v>2080525.26</v>
      </c>
      <c r="E209" s="20">
        <f t="shared" si="119"/>
        <v>2080525.26</v>
      </c>
      <c r="F209" s="4">
        <f t="shared" si="47"/>
        <v>-1.1209373889375929E-4</v>
      </c>
      <c r="G209" s="30">
        <v>212.54</v>
      </c>
      <c r="H209">
        <v>212.54</v>
      </c>
      <c r="I209">
        <v>0</v>
      </c>
      <c r="J209">
        <v>-602.04999999999995</v>
      </c>
      <c r="K209" s="30">
        <f>1600*3.93/36.5-16</f>
        <v>156.27397260273972</v>
      </c>
      <c r="L209" s="18">
        <f t="shared" si="141"/>
        <v>-233.23602739726027</v>
      </c>
      <c r="M209" s="37">
        <f t="shared" si="142"/>
        <v>-233.23999999999069</v>
      </c>
      <c r="N209" s="17" t="s">
        <v>4383</v>
      </c>
      <c r="O209" s="41">
        <f ca="1">SUMIFS(Stock!$O:$O,Stock!$A:$A,'Asset Line A share'!$A209,Stock!$I:$I,O$2)</f>
        <v>37312</v>
      </c>
      <c r="P209" s="41">
        <f ca="1">SUMIFS(Stock!$O:$O,Stock!$A:$A,'Asset Line A share'!$A209,Stock!$I:$I,P$2)</f>
        <v>0</v>
      </c>
      <c r="Q209" s="40">
        <f t="shared" ca="1" si="137"/>
        <v>5.6962907375643227E-3</v>
      </c>
      <c r="R209" s="30"/>
      <c r="S209" s="41">
        <f t="shared" ref="S209" ca="1" si="180">+S208+O209-P209</f>
        <v>448767.59999999986</v>
      </c>
      <c r="T209" s="30">
        <v>2364368</v>
      </c>
      <c r="U209" s="20">
        <f t="shared" ref="U209" si="181">T209/1.18+E209</f>
        <v>4084226.9549152544</v>
      </c>
      <c r="W209" s="4">
        <f t="shared" ref="W209" si="182">(U209-V209)/(U208)-1</f>
        <v>-1.2017161038546664E-4</v>
      </c>
      <c r="X209" s="20">
        <f t="shared" ref="X209" si="183">(U209-V209)-(U208)</f>
        <v>-490.86711864406243</v>
      </c>
      <c r="Y209" s="17" t="s">
        <v>4384</v>
      </c>
      <c r="Z209" s="30">
        <f t="shared" si="176"/>
        <v>1.1362455643718674</v>
      </c>
    </row>
    <row r="210" spans="1:26" x14ac:dyDescent="0.15">
      <c r="A210" s="1">
        <v>42984</v>
      </c>
      <c r="B210">
        <f t="shared" si="132"/>
        <v>3</v>
      </c>
      <c r="C210" s="30">
        <v>0</v>
      </c>
      <c r="D210" s="20">
        <v>2079850.8</v>
      </c>
      <c r="E210" s="20">
        <f t="shared" si="119"/>
        <v>2079850.8</v>
      </c>
      <c r="F210" s="4">
        <f t="shared" si="47"/>
        <v>-3.2417775115112235E-4</v>
      </c>
      <c r="G210" s="30">
        <v>-104.38</v>
      </c>
      <c r="H210" s="30">
        <v>-104.38</v>
      </c>
      <c r="I210">
        <v>0</v>
      </c>
      <c r="J210">
        <v>-717.05</v>
      </c>
      <c r="K210" s="30">
        <f>161.972602739726-15</f>
        <v>146.972602739726</v>
      </c>
      <c r="L210" s="18">
        <f t="shared" si="141"/>
        <v>-674.45739726027398</v>
      </c>
      <c r="M210" s="37">
        <f t="shared" si="142"/>
        <v>-674.45999999996275</v>
      </c>
      <c r="N210" s="17" t="s">
        <v>4387</v>
      </c>
      <c r="O210" s="41">
        <f ca="1">SUMIFS(Stock!$O:$O,Stock!$A:$A,'Asset Line A share'!$A210,Stock!$I:$I,O$2)</f>
        <v>88113</v>
      </c>
      <c r="P210" s="41">
        <f ca="1">SUMIFS(Stock!$O:$O,Stock!$A:$A,'Asset Line A share'!$A210,Stock!$I:$I,P$2)</f>
        <v>0</v>
      </c>
      <c r="Q210" s="40">
        <f t="shared" ca="1" si="137"/>
        <v>-1.1846152100144132E-3</v>
      </c>
      <c r="R210" s="30"/>
      <c r="S210" s="41">
        <f t="shared" ref="S210" ca="1" si="184">+S209+O210-P210</f>
        <v>536880.59999999986</v>
      </c>
      <c r="T210" s="30">
        <v>2364078</v>
      </c>
      <c r="U210" s="20">
        <f t="shared" ref="U210:U215" si="185">T210/1.18+E210</f>
        <v>4083306.73220339</v>
      </c>
      <c r="W210" s="4">
        <f t="shared" ref="W210" si="186">(U210-V210)/(U209)-1</f>
        <v>-2.2531135561820737E-4</v>
      </c>
      <c r="X210" s="20">
        <f t="shared" ref="X210" si="187">(U210-V210)-(U209)</f>
        <v>-920.2227118643932</v>
      </c>
      <c r="Y210" s="17" t="s">
        <v>4388</v>
      </c>
      <c r="Z210" s="30">
        <f t="shared" si="176"/>
        <v>1.1359895553434436</v>
      </c>
    </row>
    <row r="211" spans="1:26" x14ac:dyDescent="0.15">
      <c r="A211" s="1">
        <v>42985</v>
      </c>
      <c r="B211">
        <f t="shared" si="132"/>
        <v>4</v>
      </c>
      <c r="C211" s="30">
        <v>0</v>
      </c>
      <c r="D211" s="20">
        <v>2085062.74</v>
      </c>
      <c r="E211" s="20">
        <f t="shared" si="119"/>
        <v>2085062.74</v>
      </c>
      <c r="F211" s="4">
        <f t="shared" si="47"/>
        <v>2.5059201361943284E-3</v>
      </c>
      <c r="G211">
        <v>0</v>
      </c>
      <c r="H211">
        <v>0</v>
      </c>
      <c r="I211">
        <v>0</v>
      </c>
      <c r="J211" s="30">
        <f>+-764.5+5840</f>
        <v>5075.5</v>
      </c>
      <c r="K211" s="30">
        <f>151.44-15</f>
        <v>136.44</v>
      </c>
      <c r="L211" s="18">
        <f t="shared" si="141"/>
        <v>5211.9399999999996</v>
      </c>
      <c r="M211" s="37">
        <f t="shared" si="142"/>
        <v>5211.9399999999441</v>
      </c>
      <c r="N211" s="17" t="s">
        <v>4389</v>
      </c>
      <c r="O211" s="41">
        <f ca="1">SUMIFS(Stock!$O:$O,Stock!$A:$A,'Asset Line A share'!$A211,Stock!$I:$I,O$2)</f>
        <v>0</v>
      </c>
      <c r="P211" s="41">
        <f ca="1">SUMIFS(Stock!$O:$O,Stock!$A:$A,'Asset Line A share'!$A211,Stock!$I:$I,P$2)</f>
        <v>0</v>
      </c>
      <c r="Q211" s="40" t="str">
        <f t="shared" ca="1" si="137"/>
        <v/>
      </c>
      <c r="R211" s="30"/>
      <c r="S211" s="41">
        <f t="shared" ref="S211:S212" ca="1" si="188">+S210+O211-P211</f>
        <v>536880.59999999986</v>
      </c>
      <c r="T211">
        <v>2360755</v>
      </c>
      <c r="U211" s="20">
        <f t="shared" si="185"/>
        <v>4085702.5705084745</v>
      </c>
      <c r="W211" s="4">
        <f t="shared" ref="W211" si="189">(U211-V211)/(U210)-1</f>
        <v>5.8673973380196642E-4</v>
      </c>
      <c r="X211" s="20">
        <f t="shared" ref="X211" si="190">(U211-V211)-(U210)</f>
        <v>2395.8383050845005</v>
      </c>
      <c r="Y211" s="17" t="s">
        <v>4390</v>
      </c>
      <c r="Z211" s="30">
        <f t="shared" si="176"/>
        <v>1.1366560855527477</v>
      </c>
    </row>
    <row r="212" spans="1:26" x14ac:dyDescent="0.15">
      <c r="A212" s="1">
        <v>42986</v>
      </c>
      <c r="B212">
        <f t="shared" si="132"/>
        <v>5</v>
      </c>
      <c r="C212" s="30">
        <v>0</v>
      </c>
      <c r="D212" s="20">
        <v>2087455.66</v>
      </c>
      <c r="E212" s="20">
        <f t="shared" si="119"/>
        <v>2087455.66</v>
      </c>
      <c r="F212" s="4">
        <f t="shared" si="47"/>
        <v>1.1476489191879491E-3</v>
      </c>
      <c r="G212" s="30">
        <v>0</v>
      </c>
      <c r="H212" s="30">
        <v>0</v>
      </c>
      <c r="I212" s="30">
        <v>0</v>
      </c>
      <c r="J212">
        <f>52.85+1910</f>
        <v>1962.85</v>
      </c>
      <c r="K212" s="30">
        <f>445.07-15</f>
        <v>430.07</v>
      </c>
      <c r="L212" s="18">
        <f t="shared" si="141"/>
        <v>2392.92</v>
      </c>
      <c r="M212" s="37">
        <f t="shared" si="142"/>
        <v>2392.9199999999255</v>
      </c>
      <c r="N212" s="17" t="s">
        <v>4391</v>
      </c>
      <c r="O212" s="41">
        <f ca="1">SUMIFS(Stock!$O:$O,Stock!$A:$A,'Asset Line A share'!$A212,Stock!$I:$I,O$2)</f>
        <v>0</v>
      </c>
      <c r="P212" s="41">
        <f ca="1">SUMIFS(Stock!$O:$O,Stock!$A:$A,'Asset Line A share'!$A212,Stock!$I:$I,P$2)</f>
        <v>0</v>
      </c>
      <c r="Q212" s="40" t="str">
        <f t="shared" ca="1" si="137"/>
        <v/>
      </c>
      <c r="R212" s="30"/>
      <c r="S212" s="41">
        <f t="shared" ca="1" si="188"/>
        <v>536880.59999999986</v>
      </c>
      <c r="T212">
        <v>2358711</v>
      </c>
      <c r="U212" s="20">
        <f t="shared" si="185"/>
        <v>4086363.287118644</v>
      </c>
      <c r="W212" s="4">
        <f t="shared" ref="W212" si="191">(U212-V212)/(U211)-1</f>
        <v>1.617143193286541E-4</v>
      </c>
      <c r="X212" s="20">
        <f t="shared" ref="X212" si="192">(U212-V212)-(U211)</f>
        <v>660.71661016950384</v>
      </c>
      <c r="Y212" s="17" t="s">
        <v>4392</v>
      </c>
      <c r="Z212" s="30">
        <f t="shared" si="176"/>
        <v>1.1368398991179336</v>
      </c>
    </row>
    <row r="213" spans="1:26" x14ac:dyDescent="0.15">
      <c r="A213" s="1">
        <v>42989</v>
      </c>
      <c r="B213">
        <f t="shared" si="132"/>
        <v>1</v>
      </c>
      <c r="C213" s="30">
        <v>0</v>
      </c>
      <c r="D213" s="20">
        <v>2097262.2999999998</v>
      </c>
      <c r="E213" s="20">
        <f t="shared" si="119"/>
        <v>2097262.2999999998</v>
      </c>
      <c r="F213" s="4">
        <f t="shared" si="47"/>
        <v>4.6978914033555252E-3</v>
      </c>
      <c r="G213" s="30">
        <v>671.63</v>
      </c>
      <c r="H213" s="30">
        <v>671.63</v>
      </c>
      <c r="I213" s="30">
        <v>0</v>
      </c>
      <c r="J213">
        <f>1464.15+2100+5440</f>
        <v>9004.15</v>
      </c>
      <c r="K213" s="30">
        <f>144.657534246575-14</f>
        <v>130.65753424657501</v>
      </c>
      <c r="L213" s="18">
        <f t="shared" si="141"/>
        <v>9806.4375342465737</v>
      </c>
      <c r="M213" s="37">
        <f t="shared" si="142"/>
        <v>9806.6399999998976</v>
      </c>
      <c r="O213" s="41">
        <f ca="1">SUMIFS(Stock!$O:$O,Stock!$A:$A,'Asset Line A share'!$A213,Stock!$I:$I,O$2)</f>
        <v>47150</v>
      </c>
      <c r="P213" s="41">
        <f ca="1">SUMIFS(Stock!$O:$O,Stock!$A:$A,'Asset Line A share'!$A213,Stock!$I:$I,P$2)</f>
        <v>0</v>
      </c>
      <c r="Q213" s="40">
        <f t="shared" ca="1" si="137"/>
        <v>1.4244538706256627E-2</v>
      </c>
      <c r="R213" s="30"/>
      <c r="S213" s="41">
        <f t="shared" ref="S213" ca="1" si="193">+S212+O213-P213</f>
        <v>584030.59999999986</v>
      </c>
      <c r="T213">
        <v>2359076</v>
      </c>
      <c r="U213" s="20">
        <f t="shared" si="185"/>
        <v>4096479.2491525421</v>
      </c>
      <c r="W213" s="4">
        <f t="shared" ref="W213" si="194">(U213-V213)/(U212)-1</f>
        <v>2.4755415324395624E-3</v>
      </c>
      <c r="X213" s="20">
        <f t="shared" ref="X213" si="195">(U213-V213)-(U212)</f>
        <v>10115.962033898104</v>
      </c>
      <c r="Y213" s="17" t="s">
        <v>4393</v>
      </c>
      <c r="Z213" s="30">
        <f t="shared" si="176"/>
        <v>1.1396541935039344</v>
      </c>
    </row>
    <row r="214" spans="1:26" x14ac:dyDescent="0.15">
      <c r="A214" s="1">
        <v>42990</v>
      </c>
      <c r="B214">
        <f t="shared" si="132"/>
        <v>2</v>
      </c>
      <c r="C214" s="30">
        <v>0</v>
      </c>
      <c r="D214" s="20">
        <v>2104071</v>
      </c>
      <c r="E214" s="20">
        <f t="shared" si="119"/>
        <v>2104071</v>
      </c>
      <c r="F214" s="4">
        <f t="shared" si="47"/>
        <v>3.246470410496638E-3</v>
      </c>
      <c r="G214" s="30">
        <v>0</v>
      </c>
      <c r="H214">
        <v>0</v>
      </c>
      <c r="I214">
        <v>0</v>
      </c>
      <c r="J214">
        <f>2590.4+1780+2310</f>
        <v>6680.4</v>
      </c>
      <c r="K214" s="30">
        <f>142.3-14</f>
        <v>128.30000000000001</v>
      </c>
      <c r="L214" s="18">
        <f t="shared" ref="L214:L219" si="196">G214+J214+K214</f>
        <v>6808.7</v>
      </c>
      <c r="M214" s="37">
        <f t="shared" si="142"/>
        <v>6808.7000000001863</v>
      </c>
      <c r="N214" s="17" t="s">
        <v>4394</v>
      </c>
      <c r="O214" s="41">
        <f ca="1">SUMIFS(Stock!$O:$O,Stock!$A:$A,'Asset Line A share'!$A214,Stock!$I:$I,O$2)</f>
        <v>0</v>
      </c>
      <c r="P214" s="41">
        <f ca="1">SUMIFS(Stock!$O:$O,Stock!$A:$A,'Asset Line A share'!$A214,Stock!$I:$I,P$2)</f>
        <v>0</v>
      </c>
      <c r="Q214" s="40" t="str">
        <f t="shared" ca="1" si="137"/>
        <v/>
      </c>
      <c r="R214" s="30"/>
      <c r="S214" s="41">
        <f t="shared" ref="S214" ca="1" si="197">+S213+O214-P214</f>
        <v>584030.59999999986</v>
      </c>
      <c r="T214">
        <v>2360678</v>
      </c>
      <c r="U214" s="20">
        <f t="shared" si="185"/>
        <v>4104645.5762711866</v>
      </c>
      <c r="W214" s="4">
        <f t="shared" ref="W214:W215" si="198">(U214-V214)/(U213)-1</f>
        <v>1.9934989589740493E-3</v>
      </c>
      <c r="X214" s="20">
        <f t="shared" ref="X214:X215" si="199">(U214-V214)-(U213)</f>
        <v>8166.3271186444908</v>
      </c>
      <c r="Y214" s="17" t="s">
        <v>4395</v>
      </c>
      <c r="Z214" s="30">
        <f t="shared" si="176"/>
        <v>1.141926092952275</v>
      </c>
    </row>
    <row r="215" spans="1:26" x14ac:dyDescent="0.15">
      <c r="A215" s="1">
        <v>42991</v>
      </c>
      <c r="B215">
        <f t="shared" si="132"/>
        <v>3</v>
      </c>
      <c r="C215" s="30">
        <v>0</v>
      </c>
      <c r="D215" s="20">
        <v>2111338.02</v>
      </c>
      <c r="E215" s="20">
        <f t="shared" si="119"/>
        <v>2111338.02</v>
      </c>
      <c r="F215" s="4">
        <f t="shared" si="47"/>
        <v>3.4537902950992905E-3</v>
      </c>
      <c r="G215" s="30">
        <v>0</v>
      </c>
      <c r="H215" s="30">
        <v>0</v>
      </c>
      <c r="I215" s="30">
        <v>0</v>
      </c>
      <c r="J215">
        <f>2607.65+1960+2540</f>
        <v>7107.65</v>
      </c>
      <c r="K215" s="30">
        <f>4.52*1400/36.5-14</f>
        <v>159.36986301369859</v>
      </c>
      <c r="L215" s="18">
        <f t="shared" si="196"/>
        <v>7267.0198630136983</v>
      </c>
      <c r="M215" s="37">
        <f t="shared" si="142"/>
        <v>7267.0200000000186</v>
      </c>
      <c r="N215" s="17" t="s">
        <v>4396</v>
      </c>
      <c r="O215" s="41">
        <f ca="1">SUMIFS(Stock!$O:$O,Stock!$A:$A,'Asset Line A share'!$A215,Stock!$I:$I,O$2)</f>
        <v>0</v>
      </c>
      <c r="P215" s="41">
        <f ca="1">SUMIFS(Stock!$O:$O,Stock!$A:$A,'Asset Line A share'!$A215,Stock!$I:$I,P$2)</f>
        <v>0</v>
      </c>
      <c r="Q215" s="40" t="str">
        <f t="shared" ca="1" si="137"/>
        <v/>
      </c>
      <c r="R215" s="30"/>
      <c r="S215" s="41">
        <f t="shared" ref="S215" ca="1" si="200">+S214+O215-P215</f>
        <v>584030.59999999986</v>
      </c>
      <c r="T215">
        <v>2359221</v>
      </c>
      <c r="U215" s="20">
        <f t="shared" si="185"/>
        <v>4110677.8505084747</v>
      </c>
      <c r="W215" s="4">
        <f t="shared" si="198"/>
        <v>1.4696212194691416E-3</v>
      </c>
      <c r="X215" s="20">
        <f t="shared" si="199"/>
        <v>6032.2742372881621</v>
      </c>
      <c r="Z215" s="30">
        <f t="shared" si="176"/>
        <v>1.143604291769543</v>
      </c>
    </row>
    <row r="216" spans="1:26" x14ac:dyDescent="0.15">
      <c r="A216" s="1">
        <v>42992</v>
      </c>
      <c r="B216">
        <f t="shared" si="132"/>
        <v>4</v>
      </c>
      <c r="C216" s="30">
        <v>0</v>
      </c>
      <c r="D216" s="20">
        <v>2112166.2999999998</v>
      </c>
      <c r="E216" s="20">
        <f t="shared" si="119"/>
        <v>2112166.2999999998</v>
      </c>
      <c r="F216" s="4">
        <f t="shared" si="47"/>
        <v>3.923009921451559E-4</v>
      </c>
      <c r="G216" s="30">
        <v>0</v>
      </c>
      <c r="H216" s="30">
        <v>0</v>
      </c>
      <c r="I216" s="30">
        <v>0</v>
      </c>
      <c r="J216">
        <f>+-4289.75+2800+2160</f>
        <v>670.25</v>
      </c>
      <c r="K216" s="30">
        <f>4.485*1400/36.5-14</f>
        <v>158.02739726027397</v>
      </c>
      <c r="L216" s="18">
        <f t="shared" si="196"/>
        <v>828.27739726027403</v>
      </c>
      <c r="M216" s="37">
        <f t="shared" ref="M216" si="201">+E216-E215</f>
        <v>828.27999999979511</v>
      </c>
      <c r="N216" s="17" t="s">
        <v>4397</v>
      </c>
      <c r="O216" s="41">
        <f ca="1">SUMIFS(Stock!$O:$O,Stock!$A:$A,'Asset Line A share'!$A216,Stock!$I:$I,O$2)</f>
        <v>0</v>
      </c>
      <c r="P216" s="41">
        <f ca="1">SUMIFS(Stock!$O:$O,Stock!$A:$A,'Asset Line A share'!$A216,Stock!$I:$I,P$2)</f>
        <v>0</v>
      </c>
      <c r="Q216" s="40" t="str">
        <f t="shared" ca="1" si="137"/>
        <v/>
      </c>
      <c r="R216" s="30"/>
      <c r="S216" s="41">
        <f t="shared" ref="S216" ca="1" si="202">+S215+O216-P216</f>
        <v>584030.59999999986</v>
      </c>
      <c r="T216" s="30">
        <v>2357578</v>
      </c>
      <c r="U216" s="20">
        <f t="shared" ref="U216" si="203">T216/1.18+E216</f>
        <v>4110113.7576271184</v>
      </c>
      <c r="W216" s="4">
        <f t="shared" ref="W216" si="204">(U216-V216)/(U215)-1</f>
        <v>-1.3722624391176996E-4</v>
      </c>
      <c r="X216" s="20">
        <f t="shared" ref="X216" si="205">(U216-V216)-(U215)</f>
        <v>-564.09288135636598</v>
      </c>
      <c r="Y216" s="17" t="s">
        <v>4398</v>
      </c>
      <c r="Z216" s="30">
        <f t="shared" si="176"/>
        <v>1.1434473592480621</v>
      </c>
    </row>
    <row r="217" spans="1:26" ht="54" x14ac:dyDescent="0.15">
      <c r="A217" s="1">
        <v>42993</v>
      </c>
      <c r="B217">
        <f t="shared" si="132"/>
        <v>5</v>
      </c>
      <c r="C217" s="30">
        <v>0</v>
      </c>
      <c r="D217" s="20">
        <v>2115496.2400000002</v>
      </c>
      <c r="E217" s="20">
        <f t="shared" si="119"/>
        <v>2115496.2400000002</v>
      </c>
      <c r="F217" s="4">
        <f t="shared" si="47"/>
        <v>1.5765519978234721E-3</v>
      </c>
      <c r="G217" s="30">
        <v>-8.61</v>
      </c>
      <c r="H217" s="30">
        <v>-8.61</v>
      </c>
      <c r="I217" s="30">
        <v>0</v>
      </c>
      <c r="J217">
        <f>+-2594.55+2370+3080</f>
        <v>2855.45</v>
      </c>
      <c r="K217" s="30">
        <f>497.095890410959-14</f>
        <v>483.09589041095899</v>
      </c>
      <c r="L217" s="18">
        <f t="shared" si="196"/>
        <v>3329.9358904109586</v>
      </c>
      <c r="M217" s="37">
        <f t="shared" ref="M217" si="206">+E217-E216</f>
        <v>3329.9400000004098</v>
      </c>
      <c r="N217" s="17" t="s">
        <v>4401</v>
      </c>
      <c r="O217" s="41">
        <f ca="1">SUMIFS(Stock!$O:$O,Stock!$A:$A,'Asset Line A share'!$A217,Stock!$I:$I,O$2)</f>
        <v>39130</v>
      </c>
      <c r="P217" s="41">
        <f ca="1">SUMIFS(Stock!$O:$O,Stock!$A:$A,'Asset Line A share'!$A217,Stock!$I:$I,P$2)</f>
        <v>0</v>
      </c>
      <c r="Q217" s="40">
        <f t="shared" ca="1" si="137"/>
        <v>-2.2003577817531305E-4</v>
      </c>
      <c r="R217" s="30"/>
      <c r="S217" s="41">
        <f t="shared" ref="S217" ca="1" si="207">+S216+O217-P217</f>
        <v>623160.59999999986</v>
      </c>
      <c r="T217" s="30">
        <v>2357254</v>
      </c>
      <c r="U217" s="20">
        <f t="shared" ref="U217:U227" si="208">T217/1.18+E217</f>
        <v>4113169.1213559322</v>
      </c>
      <c r="W217" s="4">
        <f t="shared" ref="W217" si="209">(U217-V217)/(U216)-1</f>
        <v>7.4337692555204171E-4</v>
      </c>
      <c r="X217" s="20">
        <f t="shared" ref="X217" si="210">(U217-V217)-(U216)</f>
        <v>3055.363728813827</v>
      </c>
      <c r="Y217" s="17" t="s">
        <v>4402</v>
      </c>
      <c r="Z217" s="30">
        <f t="shared" si="176"/>
        <v>1.1442973716305105</v>
      </c>
    </row>
    <row r="218" spans="1:26" ht="27" x14ac:dyDescent="0.15">
      <c r="A218" s="1">
        <v>42996</v>
      </c>
      <c r="B218">
        <f t="shared" si="132"/>
        <v>1</v>
      </c>
      <c r="C218" s="30">
        <v>0</v>
      </c>
      <c r="D218" s="20">
        <v>2122706.56</v>
      </c>
      <c r="E218" s="20">
        <f t="shared" si="119"/>
        <v>2122706.56</v>
      </c>
      <c r="F218" s="4">
        <f t="shared" si="47"/>
        <v>3.4083350580664806E-3</v>
      </c>
      <c r="G218">
        <v>361.16</v>
      </c>
      <c r="H218" s="30">
        <v>361.16</v>
      </c>
      <c r="I218">
        <v>0</v>
      </c>
      <c r="J218">
        <f>1594.4+3344.57+1765.99</f>
        <v>6704.96</v>
      </c>
      <c r="K218" s="30">
        <f>4.125*1400/36.5-14</f>
        <v>144.21917808219177</v>
      </c>
      <c r="L218" s="18">
        <f t="shared" si="196"/>
        <v>7210.3391780821912</v>
      </c>
      <c r="M218" s="37">
        <f t="shared" ref="M218:M219" si="211">+E218-E217</f>
        <v>7210.3199999998324</v>
      </c>
      <c r="N218" s="17" t="s">
        <v>4412</v>
      </c>
      <c r="O218" s="41">
        <f ca="1">SUMIFS(Stock!$O:$O,Stock!$A:$A,'Asset Line A share'!$A218,Stock!$I:$I,O$2)</f>
        <v>83334</v>
      </c>
      <c r="P218" s="41">
        <f ca="1">SUMIFS(Stock!$O:$O,Stock!$A:$A,'Asset Line A share'!$A218,Stock!$I:$I,P$2)</f>
        <v>0</v>
      </c>
      <c r="Q218" s="40">
        <f t="shared" ca="1" si="137"/>
        <v>4.333885328917369E-3</v>
      </c>
      <c r="R218" s="30"/>
      <c r="S218" s="41">
        <f t="shared" ref="S218" ca="1" si="212">+S217+O218-P218</f>
        <v>706494.59999999986</v>
      </c>
      <c r="T218">
        <v>2359300</v>
      </c>
      <c r="U218" s="20">
        <f t="shared" si="208"/>
        <v>4122113.3396610171</v>
      </c>
      <c r="W218" s="4">
        <f t="shared" ref="W218" si="213">(U218-V218)/(U217)-1</f>
        <v>2.1745321043682431E-3</v>
      </c>
      <c r="X218" s="20">
        <f t="shared" ref="X218" si="214">(U218-V218)-(U217)</f>
        <v>8944.2183050848544</v>
      </c>
      <c r="Y218" s="17" t="s">
        <v>4411</v>
      </c>
      <c r="Z218" s="30">
        <f t="shared" si="176"/>
        <v>1.1467856830020653</v>
      </c>
    </row>
    <row r="219" spans="1:26" x14ac:dyDescent="0.15">
      <c r="A219" s="1">
        <v>42997</v>
      </c>
      <c r="B219">
        <f t="shared" si="132"/>
        <v>2</v>
      </c>
      <c r="C219" s="30">
        <v>0</v>
      </c>
      <c r="D219" s="20">
        <v>2121586.19</v>
      </c>
      <c r="E219" s="20">
        <f t="shared" si="119"/>
        <v>2121586.19</v>
      </c>
      <c r="F219" s="4">
        <f t="shared" si="47"/>
        <v>-5.278025804942299E-4</v>
      </c>
      <c r="G219">
        <v>-353</v>
      </c>
      <c r="H219">
        <v>0</v>
      </c>
      <c r="I219">
        <v>-353</v>
      </c>
      <c r="J219">
        <v>-912.55</v>
      </c>
      <c r="K219" s="30">
        <f>1400*4.15/36.5-14</f>
        <v>145.17808219178085</v>
      </c>
      <c r="L219" s="18">
        <f t="shared" si="196"/>
        <v>-1120.3719178082192</v>
      </c>
      <c r="M219" s="37">
        <f t="shared" si="211"/>
        <v>-1120.3700000001118</v>
      </c>
      <c r="N219" s="17" t="s">
        <v>4413</v>
      </c>
      <c r="O219" s="41">
        <f ca="1">SUMIFS(Stock!$O:$O,Stock!$A:$A,'Asset Line A share'!$A219,Stock!$I:$I,O$2)</f>
        <v>21792</v>
      </c>
      <c r="P219" s="41">
        <f ca="1">SUMIFS(Stock!$O:$O,Stock!$A:$A,'Asset Line A share'!$A219,Stock!$I:$I,P$2)</f>
        <v>0</v>
      </c>
      <c r="Q219" s="40">
        <f t="shared" ca="1" si="137"/>
        <v>0</v>
      </c>
      <c r="R219" s="30"/>
      <c r="S219" s="41">
        <f t="shared" ref="S219" ca="1" si="215">+S218+O219-P219</f>
        <v>728286.59999999986</v>
      </c>
      <c r="T219">
        <v>2354269</v>
      </c>
      <c r="U219" s="20">
        <f t="shared" si="208"/>
        <v>4116729.4103389829</v>
      </c>
      <c r="W219" s="4">
        <f t="shared" ref="W219" si="216">(U219-V219)/(U218)-1</f>
        <v>-1.306108997594202E-3</v>
      </c>
      <c r="X219" s="20">
        <f t="shared" ref="X219" si="217">(U219-V219)-(U218)</f>
        <v>-5383.9293220341206</v>
      </c>
      <c r="Y219" s="17" t="s">
        <v>4414</v>
      </c>
      <c r="Z219" s="30">
        <f t="shared" si="176"/>
        <v>1.145287855903184</v>
      </c>
    </row>
    <row r="220" spans="1:26" ht="27" x14ac:dyDescent="0.15">
      <c r="A220" s="1">
        <v>42998</v>
      </c>
      <c r="B220">
        <f t="shared" si="132"/>
        <v>3</v>
      </c>
      <c r="C220" s="30">
        <v>0</v>
      </c>
      <c r="D220" s="20">
        <v>2122455.06</v>
      </c>
      <c r="E220" s="20">
        <f t="shared" si="119"/>
        <v>2122455.06</v>
      </c>
      <c r="F220" s="4">
        <f t="shared" si="47"/>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40">
        <f t="shared" ca="1" si="137"/>
        <v>-2.0431423733596729E-2</v>
      </c>
      <c r="R220" s="30"/>
      <c r="S220" s="41">
        <f t="shared" ref="S220" ca="1" si="218">+S219+O220-P220</f>
        <v>784982.59999999986</v>
      </c>
      <c r="T220">
        <v>2354799</v>
      </c>
      <c r="U220" s="20">
        <f t="shared" si="208"/>
        <v>4118047.4328813562</v>
      </c>
      <c r="W220" s="4">
        <f t="shared" ref="W220" si="219">(U220-V220)/(U219)-1</f>
        <v>3.2016253948174977E-4</v>
      </c>
      <c r="X220" s="20">
        <f t="shared" ref="X220" si="220">(U220-V220)-(U219)</f>
        <v>1318.0225423732772</v>
      </c>
      <c r="Y220" s="17" t="s">
        <v>4416</v>
      </c>
      <c r="Z220" s="30">
        <f t="shared" si="176"/>
        <v>1.1456545341715676</v>
      </c>
    </row>
    <row r="221" spans="1:26" x14ac:dyDescent="0.15">
      <c r="A221" s="1">
        <v>42999</v>
      </c>
      <c r="B221">
        <f t="shared" si="132"/>
        <v>4</v>
      </c>
      <c r="C221" s="30">
        <v>0</v>
      </c>
      <c r="D221" s="20">
        <v>2128339.1</v>
      </c>
      <c r="E221" s="20">
        <f t="shared" si="119"/>
        <v>2128339.1</v>
      </c>
      <c r="F221" s="4">
        <f t="shared" si="47"/>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40">
        <f t="shared" ca="1" si="137"/>
        <v>-1.4568332115899849E-2</v>
      </c>
      <c r="R221" s="30"/>
      <c r="S221" s="41">
        <f t="shared" ref="S221" ca="1" si="221">+S220+O221-P221</f>
        <v>801410.59999999986</v>
      </c>
      <c r="T221">
        <v>2358037</v>
      </c>
      <c r="U221" s="20">
        <f t="shared" si="208"/>
        <v>4126675.5406779665</v>
      </c>
      <c r="W221" s="4">
        <f t="shared" ref="W221" si="222">(U221-V221)/(U220)-1</f>
        <v>2.0951938842952433E-3</v>
      </c>
      <c r="X221" s="20">
        <f t="shared" ref="X221" si="223">(U221-V221)-(U220)</f>
        <v>8628.107796610333</v>
      </c>
      <c r="Y221" s="17" t="s">
        <v>4419</v>
      </c>
      <c r="Z221" s="30">
        <f t="shared" si="176"/>
        <v>1.148054902545079</v>
      </c>
    </row>
    <row r="222" spans="1:26" x14ac:dyDescent="0.15">
      <c r="A222" s="1">
        <v>43000</v>
      </c>
      <c r="B222">
        <f t="shared" si="132"/>
        <v>5</v>
      </c>
      <c r="C222" s="30">
        <v>0</v>
      </c>
      <c r="D222" s="20">
        <v>2132264.42</v>
      </c>
      <c r="E222" s="20">
        <f t="shared" si="119"/>
        <v>2132264.42</v>
      </c>
      <c r="F222" s="4">
        <f t="shared" si="47"/>
        <v>1.8443113693678015E-3</v>
      </c>
      <c r="G222">
        <v>0</v>
      </c>
      <c r="H222">
        <v>0</v>
      </c>
      <c r="I222">
        <v>0</v>
      </c>
      <c r="J222">
        <v>3440.45</v>
      </c>
      <c r="K222" s="30">
        <f>4.66*1300/36.5*3-13</f>
        <v>484.91780821917808</v>
      </c>
      <c r="L222" s="18">
        <f t="shared" ref="L222:L223" si="224">G222+J222+K222</f>
        <v>3925.3678082191777</v>
      </c>
      <c r="M222" s="37">
        <f t="shared" ref="M222:M223" si="225">+E222-E221</f>
        <v>3925.3199999998324</v>
      </c>
      <c r="N222" s="17" t="s">
        <v>4421</v>
      </c>
      <c r="O222" s="41">
        <f ca="1">SUMIFS(Stock!$O:$O,Stock!$A:$A,'Asset Line A share'!$A222,Stock!$I:$I,O$2)</f>
        <v>0</v>
      </c>
      <c r="P222" s="41">
        <f ca="1">SUMIFS(Stock!$O:$O,Stock!$A:$A,'Asset Line A share'!$A222,Stock!$I:$I,P$2)</f>
        <v>0</v>
      </c>
      <c r="Q222" s="40" t="str">
        <f t="shared" ca="1" si="137"/>
        <v/>
      </c>
      <c r="R222" s="30"/>
      <c r="S222" s="41">
        <f t="shared" ref="S222:S224" ca="1" si="226">+S221+O222-P222</f>
        <v>801410.59999999986</v>
      </c>
      <c r="T222">
        <v>2357614</v>
      </c>
      <c r="U222" s="20">
        <f t="shared" si="208"/>
        <v>4130242.3861016948</v>
      </c>
      <c r="W222" s="4">
        <f t="shared" ref="W222" si="227">(U222-V222)/(U221)-1</f>
        <v>8.6433871249846916E-4</v>
      </c>
      <c r="X222" s="20">
        <f t="shared" ref="X222" si="228">(U222-V222)-(U221)</f>
        <v>3566.8454237282276</v>
      </c>
      <c r="Y222" s="17" t="s">
        <v>4422</v>
      </c>
      <c r="Z222" s="30">
        <f t="shared" si="176"/>
        <v>1.1490472108414225</v>
      </c>
    </row>
    <row r="223" spans="1:26" x14ac:dyDescent="0.15">
      <c r="A223" s="1">
        <v>43003</v>
      </c>
      <c r="B223">
        <f t="shared" si="132"/>
        <v>1</v>
      </c>
      <c r="C223" s="30">
        <v>0</v>
      </c>
      <c r="D223" s="20">
        <v>2137327.2200000002</v>
      </c>
      <c r="E223" s="20">
        <f t="shared" si="119"/>
        <v>2137327.2200000002</v>
      </c>
      <c r="F223" s="4">
        <f t="shared" si="47"/>
        <v>2.3743771891107102E-3</v>
      </c>
      <c r="G223">
        <v>150</v>
      </c>
      <c r="H223">
        <v>0</v>
      </c>
      <c r="I223">
        <v>0</v>
      </c>
      <c r="J223">
        <v>4751.1000000000004</v>
      </c>
      <c r="K223" s="30">
        <f>4.905*1300/36.5-13</f>
        <v>161.69863013698631</v>
      </c>
      <c r="L223" s="18">
        <f t="shared" si="224"/>
        <v>5062.7986301369865</v>
      </c>
      <c r="M223" s="37">
        <f t="shared" si="225"/>
        <v>5062.8000000002794</v>
      </c>
      <c r="N223" s="17" t="s">
        <v>4424</v>
      </c>
      <c r="O223" s="41">
        <f ca="1">SUMIFS(Stock!$O:$O,Stock!$A:$A,'Asset Line A share'!$A223,Stock!$I:$I,O$2)</f>
        <v>15785</v>
      </c>
      <c r="P223" s="41">
        <f ca="1">SUMIFS(Stock!$O:$O,Stock!$A:$A,'Asset Line A share'!$A223,Stock!$I:$I,P$2)</f>
        <v>0</v>
      </c>
      <c r="Q223" s="40">
        <f t="shared" ca="1" si="137"/>
        <v>0</v>
      </c>
      <c r="R223" s="30"/>
      <c r="S223" s="41">
        <f t="shared" ca="1" si="226"/>
        <v>817195.59999999986</v>
      </c>
      <c r="T223">
        <v>2356736</v>
      </c>
      <c r="U223" s="20">
        <f t="shared" si="208"/>
        <v>4134561.1183050852</v>
      </c>
      <c r="W223" s="4">
        <f t="shared" ref="W223" si="229">(U223-V223)/(U222)-1</f>
        <v>1.0456365025750536E-3</v>
      </c>
      <c r="X223" s="20">
        <f t="shared" ref="X223" si="230">(U223-V223)-(U222)</f>
        <v>4318.7322033904493</v>
      </c>
      <c r="Y223" s="17" t="s">
        <v>4423</v>
      </c>
      <c r="Z223" s="30">
        <f t="shared" si="176"/>
        <v>1.1502486965482603</v>
      </c>
    </row>
    <row r="224" spans="1:26" ht="40.5" x14ac:dyDescent="0.15">
      <c r="A224" s="1">
        <v>43004</v>
      </c>
      <c r="B224">
        <f t="shared" si="132"/>
        <v>2</v>
      </c>
      <c r="C224" s="30">
        <v>0</v>
      </c>
      <c r="D224" s="20">
        <v>2134791.75</v>
      </c>
      <c r="E224" s="20">
        <f t="shared" si="119"/>
        <v>2134791.75</v>
      </c>
      <c r="F224" s="4">
        <f t="shared" si="47"/>
        <v>-1.1862806856500763E-3</v>
      </c>
      <c r="G224">
        <v>0</v>
      </c>
      <c r="H224">
        <v>0</v>
      </c>
      <c r="I224">
        <v>0</v>
      </c>
      <c r="J224">
        <v>-2706.25</v>
      </c>
      <c r="K224" s="30">
        <f>1300*5.16/36.5-13</f>
        <v>170.78082191780823</v>
      </c>
      <c r="L224" s="18">
        <f>G224+J224+K224</f>
        <v>-2535.4691780821918</v>
      </c>
      <c r="M224" s="37">
        <f t="shared" ref="M224:M225" si="231">+E224-E223</f>
        <v>-2535.4700000002049</v>
      </c>
      <c r="N224" s="17" t="s">
        <v>4426</v>
      </c>
      <c r="O224" s="41">
        <f ca="1">SUMIFS(Stock!$O:$O,Stock!$A:$A,'Asset Line A share'!$A224,Stock!$I:$I,O$2)</f>
        <v>0</v>
      </c>
      <c r="P224" s="41">
        <f ca="1">SUMIFS(Stock!$O:$O,Stock!$A:$A,'Asset Line A share'!$A224,Stock!$I:$I,P$2)</f>
        <v>0</v>
      </c>
      <c r="Q224" s="40" t="str">
        <f t="shared" ca="1" si="137"/>
        <v/>
      </c>
      <c r="R224" s="30"/>
      <c r="S224" s="41">
        <f t="shared" ca="1" si="226"/>
        <v>817195.59999999986</v>
      </c>
      <c r="T224">
        <v>2358570</v>
      </c>
      <c r="U224" s="20">
        <f t="shared" si="208"/>
        <v>4133579.8855932206</v>
      </c>
      <c r="W224" s="4">
        <f t="shared" ref="W224" si="232">(U224-V224)/(U223)-1</f>
        <v>-2.3732451493352347E-4</v>
      </c>
      <c r="X224" s="20">
        <f t="shared" ref="X224" si="233">(U224-V224)-(U223)</f>
        <v>-981.23271186463535</v>
      </c>
      <c r="Y224" s="17" t="s">
        <v>4425</v>
      </c>
      <c r="Z224" s="30">
        <f t="shared" si="176"/>
        <v>1.149975714334299</v>
      </c>
    </row>
    <row r="225" spans="1:26" x14ac:dyDescent="0.15">
      <c r="A225" s="1">
        <v>43005</v>
      </c>
      <c r="B225">
        <f t="shared" si="132"/>
        <v>3</v>
      </c>
      <c r="C225" s="30">
        <v>0</v>
      </c>
      <c r="D225" s="20">
        <v>2136907.96</v>
      </c>
      <c r="E225" s="20">
        <f t="shared" si="119"/>
        <v>2136907.96</v>
      </c>
      <c r="F225" s="4">
        <f t="shared" si="47"/>
        <v>9.9129575519474322E-4</v>
      </c>
      <c r="G225">
        <v>-313</v>
      </c>
      <c r="H225" s="30">
        <v>-313</v>
      </c>
      <c r="I225">
        <v>0</v>
      </c>
      <c r="J225">
        <v>2242.0500000000002</v>
      </c>
      <c r="K225" s="30">
        <f>5.62*1300/36.5-13</f>
        <v>187.16438356164383</v>
      </c>
      <c r="L225" s="18">
        <f>G225+J225+K225</f>
        <v>2116.2143835616439</v>
      </c>
      <c r="M225" s="37">
        <f t="shared" si="231"/>
        <v>2116.2099999999627</v>
      </c>
      <c r="N225" s="17" t="s">
        <v>4431</v>
      </c>
      <c r="O225" s="41">
        <f ca="1">SUMIFS(Stock!$O:$O,Stock!$A:$A,'Asset Line A share'!$A225,Stock!$I:$I,O$2)</f>
        <v>10228</v>
      </c>
      <c r="P225" s="41">
        <f ca="1">SUMIFS(Stock!$O:$O,Stock!$A:$A,'Asset Line A share'!$A225,Stock!$I:$I,P$2)</f>
        <v>0</v>
      </c>
      <c r="Q225" s="40">
        <f t="shared" ca="1" si="137"/>
        <v>-3.0602268283144309E-2</v>
      </c>
      <c r="R225" s="30"/>
      <c r="S225" s="41">
        <f t="shared" ref="S225" ca="1" si="234">+S224+O225-P225</f>
        <v>827423.59999999986</v>
      </c>
      <c r="T225" s="30">
        <v>2354917</v>
      </c>
      <c r="U225" s="20">
        <f t="shared" si="208"/>
        <v>4132600.3328813557</v>
      </c>
      <c r="W225" s="4">
        <f t="shared" ref="W225" si="235">(U225-V225)/(U224)-1</f>
        <v>-2.3697442385928191E-4</v>
      </c>
      <c r="X225" s="20">
        <f t="shared" ref="X225" si="236">(U225-V225)-(U224)</f>
        <v>-979.55271186493337</v>
      </c>
      <c r="Y225" s="17" t="s">
        <v>4430</v>
      </c>
      <c r="Z225" s="30">
        <f t="shared" si="176"/>
        <v>1.1497031995019424</v>
      </c>
    </row>
    <row r="226" spans="1:26" ht="40.5" x14ac:dyDescent="0.15">
      <c r="A226" s="1">
        <v>43006</v>
      </c>
      <c r="B226">
        <f t="shared" si="132"/>
        <v>4</v>
      </c>
      <c r="C226" s="30">
        <v>0</v>
      </c>
      <c r="D226" s="20">
        <v>2142697.91</v>
      </c>
      <c r="E226" s="20">
        <f t="shared" si="119"/>
        <v>2142697.91</v>
      </c>
      <c r="F226" s="4">
        <f t="shared" si="47"/>
        <v>2.7094990090261728E-3</v>
      </c>
      <c r="G226">
        <v>-324.19</v>
      </c>
      <c r="H226" s="30">
        <v>0</v>
      </c>
      <c r="I226" s="30">
        <v>-324.19</v>
      </c>
      <c r="J226">
        <v>5827</v>
      </c>
      <c r="K226" s="30">
        <f>8.455*1300/36.5-14</f>
        <v>287.13698630136986</v>
      </c>
      <c r="L226" s="18">
        <f>G226+J226+K226</f>
        <v>5789.9469863013701</v>
      </c>
      <c r="M226" s="37">
        <f t="shared" ref="M226:M231" si="237">+E226-E225</f>
        <v>5789.9500000001863</v>
      </c>
      <c r="N226" s="17" t="s">
        <v>4432</v>
      </c>
      <c r="O226" s="41">
        <f ca="1">SUMIFS(Stock!$O:$O,Stock!$A:$A,'Asset Line A share'!$A226,Stock!$I:$I,O$2)</f>
        <v>0</v>
      </c>
      <c r="P226" s="41">
        <f ca="1">SUMIFS(Stock!$O:$O,Stock!$A:$A,'Asset Line A share'!$A226,Stock!$I:$I,P$2)</f>
        <v>103490</v>
      </c>
      <c r="Q226" s="40" t="str">
        <f t="shared" ca="1" si="137"/>
        <v/>
      </c>
      <c r="R226" s="30"/>
      <c r="S226" s="41">
        <f t="shared" ref="S226" ca="1" si="238">+S225+O226-P226</f>
        <v>723933.59999999986</v>
      </c>
      <c r="T226">
        <v>2355394</v>
      </c>
      <c r="U226" s="20">
        <f t="shared" si="208"/>
        <v>4138794.5201694919</v>
      </c>
      <c r="W226" s="4">
        <f t="shared" ref="W226" si="239">(U226-V226)/(U225)-1</f>
        <v>1.498859504717176E-3</v>
      </c>
      <c r="X226" s="20">
        <f t="shared" ref="X226" si="240">(U226-V226)-(U225)</f>
        <v>6194.1872881362215</v>
      </c>
      <c r="Y226" s="17" t="s">
        <v>4433</v>
      </c>
      <c r="Z226" s="30">
        <f t="shared" si="176"/>
        <v>1.1514264430701198</v>
      </c>
    </row>
    <row r="227" spans="1:26" ht="40.5" x14ac:dyDescent="0.15">
      <c r="A227" s="1">
        <v>43007</v>
      </c>
      <c r="B227">
        <f t="shared" si="132"/>
        <v>5</v>
      </c>
      <c r="C227" s="30">
        <v>0</v>
      </c>
      <c r="D227" s="20">
        <v>2144276.31</v>
      </c>
      <c r="E227" s="20">
        <f t="shared" si="119"/>
        <v>2144276.31</v>
      </c>
      <c r="F227" s="4">
        <f t="shared" si="47"/>
        <v>7.3664140550722124E-4</v>
      </c>
      <c r="G227" s="30">
        <v>0</v>
      </c>
      <c r="H227" s="30">
        <v>0</v>
      </c>
      <c r="I227">
        <v>0</v>
      </c>
      <c r="J227">
        <v>-1181.1500000000001</v>
      </c>
      <c r="K227" s="30">
        <f>2773.56-14</f>
        <v>2759.56</v>
      </c>
      <c r="L227" s="18">
        <f>G227+J227+K227</f>
        <v>1578.4099999999999</v>
      </c>
      <c r="M227" s="37">
        <f t="shared" si="237"/>
        <v>1578.3999999999069</v>
      </c>
      <c r="N227" s="17" t="s">
        <v>4434</v>
      </c>
      <c r="O227" s="41">
        <f ca="1">SUMIFS(Stock!$O:$O,Stock!$A:$A,'Asset Line A share'!$A227,Stock!$I:$I,O$2)</f>
        <v>0</v>
      </c>
      <c r="P227" s="41">
        <f ca="1">SUMIFS(Stock!$O:$O,Stock!$A:$A,'Asset Line A share'!$A227,Stock!$I:$I,P$2)</f>
        <v>0</v>
      </c>
      <c r="Q227" s="40" t="str">
        <f t="shared" ca="1" si="137"/>
        <v/>
      </c>
      <c r="R227" s="30"/>
      <c r="S227" s="41">
        <f t="shared" ref="S227" ca="1" si="241">+S226+O227-P227</f>
        <v>723933.59999999986</v>
      </c>
      <c r="T227">
        <v>2355924</v>
      </c>
      <c r="U227" s="20">
        <f t="shared" si="208"/>
        <v>4140822.0727118645</v>
      </c>
      <c r="W227" s="4">
        <f t="shared" ref="W227" si="242">(U227-V227)/(U226)-1</f>
        <v>4.8988963634011284E-4</v>
      </c>
      <c r="X227" s="20">
        <f t="shared" ref="X227" si="243">(U227-V227)-(U226)</f>
        <v>2027.5525423726067</v>
      </c>
      <c r="Y227" s="17" t="s">
        <v>4435</v>
      </c>
      <c r="Z227" s="30">
        <f t="shared" si="176"/>
        <v>1.1519905149515879</v>
      </c>
    </row>
    <row r="228" spans="1:26" s="30" customFormat="1" ht="27" x14ac:dyDescent="0.15">
      <c r="A228" s="1">
        <v>43014</v>
      </c>
      <c r="B228" s="30">
        <f t="shared" si="132"/>
        <v>5</v>
      </c>
      <c r="C228" s="30">
        <v>0</v>
      </c>
      <c r="D228" s="20">
        <v>2144276.31</v>
      </c>
      <c r="E228" s="20">
        <f t="shared" si="119"/>
        <v>2144276.31</v>
      </c>
      <c r="F228" s="4">
        <f t="shared" si="47"/>
        <v>0</v>
      </c>
      <c r="G228" s="30">
        <v>0</v>
      </c>
      <c r="H228" s="30">
        <v>0</v>
      </c>
      <c r="I228" s="30">
        <v>0</v>
      </c>
      <c r="J228" s="30">
        <v>0</v>
      </c>
      <c r="K228" s="30">
        <v>0</v>
      </c>
      <c r="L228" s="18">
        <f t="shared" ref="L228" si="244">G228+J228+K228</f>
        <v>0</v>
      </c>
      <c r="M228" s="37">
        <f t="shared" si="237"/>
        <v>0</v>
      </c>
      <c r="N228" s="17" t="s">
        <v>4437</v>
      </c>
      <c r="O228" s="41">
        <f ca="1">SUMIFS(Stock!$O:$O,Stock!$A:$A,'Asset Line A share'!$A228,Stock!$I:$I,O$2)</f>
        <v>0</v>
      </c>
      <c r="P228" s="41">
        <f ca="1">SUMIFS(Stock!$O:$O,Stock!$A:$A,'Asset Line A share'!$A228,Stock!$I:$I,P$2)</f>
        <v>0</v>
      </c>
      <c r="Q228" s="40" t="str">
        <f t="shared" ca="1" si="137"/>
        <v/>
      </c>
      <c r="S228" s="41">
        <f t="shared" ref="S228" ca="1" si="245">+S227+O228-P228</f>
        <v>723933.59999999986</v>
      </c>
      <c r="T228" s="30">
        <v>2357188</v>
      </c>
      <c r="U228" s="20">
        <f t="shared" ref="U228:U237" si="246">T228/1.18+E228</f>
        <v>4141893.2591525428</v>
      </c>
      <c r="W228" s="4">
        <f t="shared" ref="W228" si="247">(U228-V228)/(U227)-1</f>
        <v>2.5868931865913325E-4</v>
      </c>
      <c r="X228" s="20">
        <f t="shared" ref="X228" si="248">(U228-V228)-(U227)</f>
        <v>1071.1864406783134</v>
      </c>
      <c r="Y228" s="17" t="s">
        <v>4436</v>
      </c>
      <c r="Z228" s="30">
        <f t="shared" si="176"/>
        <v>1.1522885225930024</v>
      </c>
    </row>
    <row r="229" spans="1:26" x14ac:dyDescent="0.15">
      <c r="A229" s="1">
        <v>43017</v>
      </c>
      <c r="B229">
        <f t="shared" si="132"/>
        <v>1</v>
      </c>
      <c r="C229" s="30">
        <v>0</v>
      </c>
      <c r="D229" s="20">
        <v>2155619.77</v>
      </c>
      <c r="E229" s="20">
        <f t="shared" si="119"/>
        <v>2155619.77</v>
      </c>
      <c r="F229" s="4">
        <f t="shared" ref="F229" si="249">+E229/(E228)-1</f>
        <v>5.2901111424394909E-3</v>
      </c>
      <c r="G229" s="30">
        <v>0</v>
      </c>
      <c r="H229" s="30">
        <v>0</v>
      </c>
      <c r="I229">
        <v>0</v>
      </c>
      <c r="J229">
        <v>11084.65</v>
      </c>
      <c r="K229" s="30">
        <f>272.81-14</f>
        <v>258.81</v>
      </c>
      <c r="L229" s="18">
        <f t="shared" ref="L229:L233" si="250">G229+J229+K229</f>
        <v>11343.46</v>
      </c>
      <c r="M229" s="37">
        <f t="shared" si="237"/>
        <v>11343.459999999963</v>
      </c>
      <c r="N229" s="17" t="s">
        <v>4438</v>
      </c>
      <c r="O229" s="41">
        <f ca="1">SUMIFS(Stock!$O:$O,Stock!$A:$A,'Asset Line A share'!$A229,Stock!$I:$I,O$2)</f>
        <v>0</v>
      </c>
      <c r="P229" s="41">
        <f ca="1">SUMIFS(Stock!$O:$O,Stock!$A:$A,'Asset Line A share'!$A229,Stock!$I:$I,P$2)</f>
        <v>0</v>
      </c>
      <c r="Q229" s="40" t="str">
        <f t="shared" ca="1" si="137"/>
        <v/>
      </c>
      <c r="R229" s="30"/>
      <c r="S229" s="41">
        <f t="shared" ref="S229" ca="1" si="251">+S228+O229-P229</f>
        <v>723933.59999999986</v>
      </c>
      <c r="T229">
        <v>2355405</v>
      </c>
      <c r="U229" s="20">
        <f t="shared" si="246"/>
        <v>4151725.7022033902</v>
      </c>
      <c r="W229" s="4">
        <f t="shared" ref="W229" si="252">(U229-V229)/(U228)-1</f>
        <v>2.3739006381007233E-3</v>
      </c>
      <c r="X229" s="20">
        <f t="shared" ref="X229" si="253">(U229-V229)-(U228)</f>
        <v>9832.4430508473888</v>
      </c>
      <c r="Y229" s="17" t="s">
        <v>4439</v>
      </c>
      <c r="Z229" s="30">
        <f t="shared" si="176"/>
        <v>1.155023941052062</v>
      </c>
    </row>
    <row r="230" spans="1:26" x14ac:dyDescent="0.15">
      <c r="A230" s="1">
        <v>43018</v>
      </c>
      <c r="B230">
        <f t="shared" si="132"/>
        <v>2</v>
      </c>
      <c r="C230" s="30">
        <v>0</v>
      </c>
      <c r="D230" s="20">
        <v>2162995.31</v>
      </c>
      <c r="E230" s="20">
        <f t="shared" si="119"/>
        <v>2162995.31</v>
      </c>
      <c r="F230" s="4">
        <f t="shared" ref="F230:F235" si="254">+E230/(E229)-1</f>
        <v>3.4215403396491428E-3</v>
      </c>
      <c r="G230" s="30">
        <v>315</v>
      </c>
      <c r="H230" s="30">
        <v>315</v>
      </c>
      <c r="I230" s="30">
        <v>0</v>
      </c>
      <c r="J230">
        <v>6824.35</v>
      </c>
      <c r="K230" s="30">
        <f>1400*6.52/36.5-13-0.89</f>
        <v>236.19219178082193</v>
      </c>
      <c r="L230" s="18">
        <f t="shared" si="250"/>
        <v>7375.5421917808226</v>
      </c>
      <c r="M230" s="37">
        <f t="shared" si="237"/>
        <v>7375.5400000000373</v>
      </c>
      <c r="N230" s="17" t="s">
        <v>4441</v>
      </c>
      <c r="O230" s="41">
        <f ca="1">SUMIFS(Stock!$O:$O,Stock!$A:$A,'Asset Line A share'!$A230,Stock!$I:$I,O$2)</f>
        <v>19470</v>
      </c>
      <c r="P230" s="41">
        <f ca="1">SUMIFS(Stock!$O:$O,Stock!$A:$A,'Asset Line A share'!$A230,Stock!$I:$I,P$2)</f>
        <v>0</v>
      </c>
      <c r="Q230" s="40">
        <f t="shared" ca="1" si="137"/>
        <v>1.6178736517719568E-2</v>
      </c>
      <c r="R230" s="30"/>
      <c r="S230" s="41">
        <f t="shared" ref="S230" ca="1" si="255">+S229+O230-P230</f>
        <v>743403.59999999986</v>
      </c>
      <c r="T230">
        <v>2355569</v>
      </c>
      <c r="U230" s="20">
        <f t="shared" si="246"/>
        <v>4159240.2252542377</v>
      </c>
      <c r="W230" s="4">
        <f t="shared" ref="W230" si="256">(U230-V230)/(U229)-1</f>
        <v>1.8099758003904398E-3</v>
      </c>
      <c r="X230" s="20">
        <f t="shared" ref="X230" si="257">(U230-V230)-(U229)</f>
        <v>7514.5230508474633</v>
      </c>
      <c r="Y230" s="17" t="s">
        <v>4440</v>
      </c>
      <c r="Z230" s="30">
        <f t="shared" si="176"/>
        <v>1.1571145064342379</v>
      </c>
    </row>
    <row r="231" spans="1:26" ht="67.5" x14ac:dyDescent="0.15">
      <c r="A231" s="1">
        <v>43019</v>
      </c>
      <c r="B231">
        <f t="shared" si="132"/>
        <v>3</v>
      </c>
      <c r="C231" s="30">
        <v>0</v>
      </c>
      <c r="D231" s="20">
        <v>2171556.1</v>
      </c>
      <c r="E231" s="20">
        <f t="shared" si="119"/>
        <v>2171556.1</v>
      </c>
      <c r="F231" s="4">
        <f t="shared" si="254"/>
        <v>3.9578402969353554E-3</v>
      </c>
      <c r="G231">
        <v>-260.5</v>
      </c>
      <c r="H231" s="30">
        <v>-260.5</v>
      </c>
      <c r="I231">
        <v>0</v>
      </c>
      <c r="J231">
        <v>8580.7000000000007</v>
      </c>
      <c r="K231" s="30">
        <f>254.03-13-0.46</f>
        <v>240.57</v>
      </c>
      <c r="L231" s="18">
        <f t="shared" si="250"/>
        <v>8560.77</v>
      </c>
      <c r="M231" s="37">
        <f t="shared" si="237"/>
        <v>8560.7900000000373</v>
      </c>
      <c r="N231" s="17" t="s">
        <v>4442</v>
      </c>
      <c r="O231" s="41">
        <f ca="1">SUMIFS(Stock!$O:$O,Stock!$A:$A,'Asset Line A share'!$A231,Stock!$I:$I,O$2)</f>
        <v>43497</v>
      </c>
      <c r="P231" s="41">
        <f ca="1">SUMIFS(Stock!$O:$O,Stock!$A:$A,'Asset Line A share'!$A231,Stock!$I:$I,P$2)</f>
        <v>0</v>
      </c>
      <c r="Q231" s="40">
        <f t="shared" ca="1" si="137"/>
        <v>-5.9889187760075405E-3</v>
      </c>
      <c r="R231" s="30"/>
      <c r="S231" s="41">
        <f t="shared" ref="S231" ca="1" si="258">+S230+O231-P231</f>
        <v>786900.59999999986</v>
      </c>
      <c r="T231">
        <v>2356679</v>
      </c>
      <c r="U231" s="20">
        <f t="shared" si="246"/>
        <v>4168741.6932203392</v>
      </c>
      <c r="W231" s="4">
        <f t="shared" ref="W231" si="259">(U231-V231)/(U230)-1</f>
        <v>2.284423945606795E-3</v>
      </c>
      <c r="X231" s="20">
        <f t="shared" ref="X231" si="260">(U231-V231)-(U230)</f>
        <v>9501.467966101598</v>
      </c>
      <c r="Y231" s="17" t="s">
        <v>4443</v>
      </c>
      <c r="Z231" s="30">
        <f t="shared" si="176"/>
        <v>1.1597578465205451</v>
      </c>
    </row>
    <row r="232" spans="1:26" x14ac:dyDescent="0.15">
      <c r="A232" s="1">
        <v>43020</v>
      </c>
      <c r="B232">
        <f t="shared" si="132"/>
        <v>4</v>
      </c>
      <c r="C232" s="30">
        <v>0</v>
      </c>
      <c r="D232" s="20">
        <v>2168971.2400000002</v>
      </c>
      <c r="E232" s="20">
        <f t="shared" si="119"/>
        <v>2168971.2400000002</v>
      </c>
      <c r="F232" s="4">
        <f t="shared" si="254"/>
        <v>-1.1903261444637936E-3</v>
      </c>
      <c r="G232">
        <v>127</v>
      </c>
      <c r="H232">
        <v>127</v>
      </c>
      <c r="I232">
        <v>0</v>
      </c>
      <c r="J232">
        <v>-2852.1</v>
      </c>
      <c r="K232" s="30">
        <f>153.24-13</f>
        <v>140.24</v>
      </c>
      <c r="L232" s="18">
        <f t="shared" si="250"/>
        <v>-2584.8599999999997</v>
      </c>
      <c r="M232" s="37">
        <f t="shared" ref="M232:M242" si="261">+E232-E231</f>
        <v>-2584.8599999998696</v>
      </c>
      <c r="N232" s="17" t="s">
        <v>4445</v>
      </c>
      <c r="O232" s="41">
        <f ca="1">SUMIFS(Stock!$O:$O,Stock!$A:$A,'Asset Line A share'!$A232,Stock!$I:$I,O$2)</f>
        <v>11028</v>
      </c>
      <c r="P232" s="41">
        <f ca="1">SUMIFS(Stock!$O:$O,Stock!$A:$A,'Asset Line A share'!$A232,Stock!$I:$I,P$2)</f>
        <v>0</v>
      </c>
      <c r="Q232" s="40">
        <f t="shared" ca="1" si="137"/>
        <v>1.151614073268045E-2</v>
      </c>
      <c r="R232" s="30"/>
      <c r="S232" s="41">
        <f t="shared" ref="S232" ca="1" si="262">+S231+O232-P232</f>
        <v>797928.59999999986</v>
      </c>
      <c r="T232">
        <v>2358187</v>
      </c>
      <c r="U232" s="20">
        <f t="shared" si="246"/>
        <v>4167434.7993220342</v>
      </c>
      <c r="W232" s="4">
        <f t="shared" ref="W232" si="263">(U232-V232)/(U231)-1</f>
        <v>-3.1349841138639256E-4</v>
      </c>
      <c r="X232" s="20">
        <f t="shared" ref="X232" si="264">(U232-V232)-(U231)</f>
        <v>-1306.8938983050175</v>
      </c>
      <c r="Y232" s="17" t="s">
        <v>4444</v>
      </c>
      <c r="Z232" s="30">
        <f t="shared" si="176"/>
        <v>1.1593942642780681</v>
      </c>
    </row>
    <row r="233" spans="1:26" x14ac:dyDescent="0.15">
      <c r="A233" s="1">
        <v>43021</v>
      </c>
      <c r="B233">
        <f t="shared" si="132"/>
        <v>5</v>
      </c>
      <c r="C233" s="30">
        <v>0</v>
      </c>
      <c r="D233" s="20">
        <v>2174878.84</v>
      </c>
      <c r="E233" s="20">
        <f t="shared" si="119"/>
        <v>2174878.84</v>
      </c>
      <c r="F233" s="4">
        <f t="shared" si="254"/>
        <v>2.7236875671987626E-3</v>
      </c>
      <c r="G233">
        <v>0</v>
      </c>
      <c r="H233">
        <v>0</v>
      </c>
      <c r="I233">
        <v>0</v>
      </c>
      <c r="J233">
        <v>5589.9</v>
      </c>
      <c r="K233" s="30">
        <f>1300*3.095/36.5*3-13</f>
        <v>317.69863013698631</v>
      </c>
      <c r="L233" s="18">
        <f t="shared" si="250"/>
        <v>5907.5986301369858</v>
      </c>
      <c r="M233" s="37">
        <f t="shared" si="261"/>
        <v>5907.5999999996275</v>
      </c>
      <c r="N233" s="17" t="s">
        <v>4446</v>
      </c>
      <c r="O233" s="41">
        <f ca="1">SUMIFS(Stock!$O:$O,Stock!$A:$A,'Asset Line A share'!$A233,Stock!$I:$I,O$2)</f>
        <v>0</v>
      </c>
      <c r="P233" s="41">
        <f ca="1">SUMIFS(Stock!$O:$O,Stock!$A:$A,'Asset Line A share'!$A233,Stock!$I:$I,P$2)</f>
        <v>0</v>
      </c>
      <c r="Q233" s="40" t="str">
        <f t="shared" ca="1" si="137"/>
        <v/>
      </c>
      <c r="R233" s="30"/>
      <c r="S233" s="41">
        <f t="shared" ref="S233" ca="1" si="265">+S232+O233-P233</f>
        <v>797928.59999999986</v>
      </c>
      <c r="T233">
        <v>2358754</v>
      </c>
      <c r="U233" s="20">
        <f t="shared" si="246"/>
        <v>4173822.9077966101</v>
      </c>
      <c r="W233" s="4">
        <f t="shared" ref="W233" si="266">(U233-V233)/(U232)-1</f>
        <v>1.5328634477054237E-3</v>
      </c>
      <c r="X233" s="20">
        <f t="shared" ref="X233" si="267">(U233-V233)-(U232)</f>
        <v>6388.1084745759144</v>
      </c>
      <c r="Z233" s="30">
        <f t="shared" si="176"/>
        <v>1.1611714573672594</v>
      </c>
    </row>
    <row r="234" spans="1:26" x14ac:dyDescent="0.15">
      <c r="A234" s="1">
        <v>43024</v>
      </c>
      <c r="B234">
        <f t="shared" si="132"/>
        <v>1</v>
      </c>
      <c r="C234" s="30">
        <v>0</v>
      </c>
      <c r="D234" s="20">
        <v>2179523.88</v>
      </c>
      <c r="E234" s="20">
        <f t="shared" si="119"/>
        <v>2179523.88</v>
      </c>
      <c r="F234" s="4">
        <f t="shared" si="254"/>
        <v>2.1357695493511297E-3</v>
      </c>
      <c r="G234" s="30">
        <v>-124.57</v>
      </c>
      <c r="H234">
        <v>-124.57</v>
      </c>
      <c r="I234">
        <v>0</v>
      </c>
      <c r="J234">
        <v>4670.45</v>
      </c>
      <c r="K234" s="30">
        <f>2.88*600/36.5+3.015*700/36.5-6</f>
        <v>99.164383561643831</v>
      </c>
      <c r="L234" s="18">
        <f t="shared" ref="L234:L242" si="268">G234+J234+K234</f>
        <v>4645.0443835616443</v>
      </c>
      <c r="M234" s="37">
        <f t="shared" si="261"/>
        <v>4645.0400000000373</v>
      </c>
      <c r="N234" s="17" t="s">
        <v>4719</v>
      </c>
      <c r="O234" s="41">
        <f ca="1">SUMIFS(Stock!$O:$O,Stock!$A:$A,'Asset Line A share'!$A234,Stock!$I:$I,O$2)</f>
        <v>55318</v>
      </c>
      <c r="P234" s="41">
        <f ca="1">SUMIFS(Stock!$O:$O,Stock!$A:$A,'Asset Line A share'!$A234,Stock!$I:$I,P$2)</f>
        <v>0</v>
      </c>
      <c r="Q234" s="40">
        <f t="shared" ca="1" si="137"/>
        <v>-2.2518890776962288E-3</v>
      </c>
      <c r="R234" s="30"/>
      <c r="S234" s="41">
        <f t="shared" ref="S234" ca="1" si="269">+S233+O234-P234</f>
        <v>853246.59999999986</v>
      </c>
      <c r="T234">
        <v>2359937</v>
      </c>
      <c r="U234" s="20">
        <f t="shared" si="246"/>
        <v>4179470.4901694916</v>
      </c>
      <c r="W234" s="4">
        <f t="shared" ref="W234" si="270">(U234-V234)/(U233)-1</f>
        <v>1.353095830283424E-3</v>
      </c>
      <c r="X234" s="20">
        <f t="shared" ref="X234" si="271">(U234-V234)-(U233)</f>
        <v>5647.5823728814721</v>
      </c>
      <c r="Y234" s="17" t="s">
        <v>4718</v>
      </c>
      <c r="Z234" s="30">
        <f t="shared" si="176"/>
        <v>1.1627426336244671</v>
      </c>
    </row>
    <row r="235" spans="1:26" x14ac:dyDescent="0.15">
      <c r="A235" s="1">
        <v>43025</v>
      </c>
      <c r="B235">
        <f t="shared" si="132"/>
        <v>2</v>
      </c>
      <c r="C235" s="30">
        <v>0</v>
      </c>
      <c r="D235" s="20">
        <v>2177829.5499999998</v>
      </c>
      <c r="E235" s="20">
        <f t="shared" si="119"/>
        <v>2177829.5499999998</v>
      </c>
      <c r="F235" s="4">
        <f t="shared" si="254"/>
        <v>-7.773853801501529E-4</v>
      </c>
      <c r="G235">
        <v>0</v>
      </c>
      <c r="H235">
        <v>0</v>
      </c>
      <c r="I235">
        <v>0</v>
      </c>
      <c r="J235">
        <v>-1743.5</v>
      </c>
      <c r="K235" s="30">
        <f>600*3.77/36.5-12.8</f>
        <v>49.172602739726031</v>
      </c>
      <c r="L235" s="18">
        <f t="shared" si="268"/>
        <v>-1694.327397260274</v>
      </c>
      <c r="M235" s="37">
        <f t="shared" si="261"/>
        <v>-1694.3300000000745</v>
      </c>
      <c r="O235" s="41">
        <f ca="1">SUMIFS(Stock!$O:$O,Stock!$A:$A,'Asset Line A share'!$A235,Stock!$I:$I,O$2)</f>
        <v>0</v>
      </c>
      <c r="P235" s="41">
        <f ca="1">SUMIFS(Stock!$O:$O,Stock!$A:$A,'Asset Line A share'!$A235,Stock!$I:$I,P$2)</f>
        <v>0</v>
      </c>
      <c r="Q235" s="40" t="str">
        <f t="shared" ca="1" si="137"/>
        <v/>
      </c>
      <c r="R235" s="30"/>
      <c r="S235" s="41">
        <f t="shared" ref="S235:S236" ca="1" si="272">+S234+O235-P235</f>
        <v>853246.59999999986</v>
      </c>
      <c r="T235">
        <v>2359222</v>
      </c>
      <c r="U235" s="20">
        <f t="shared" si="246"/>
        <v>4177170.2279661018</v>
      </c>
      <c r="W235" s="4">
        <f t="shared" ref="W235" si="273">(U235-V235)/(U234)-1</f>
        <v>-5.5037168196314656E-4</v>
      </c>
      <c r="X235" s="20">
        <f t="shared" ref="X235" si="274">(U235-V235)-(U234)</f>
        <v>-2300.2622033897787</v>
      </c>
      <c r="Y235" s="17" t="s">
        <v>4720</v>
      </c>
      <c r="Z235" s="30">
        <f t="shared" si="176"/>
        <v>1.1621026930055089</v>
      </c>
    </row>
    <row r="236" spans="1:26" x14ac:dyDescent="0.15">
      <c r="A236" s="1">
        <v>43026</v>
      </c>
      <c r="B236">
        <f t="shared" si="132"/>
        <v>3</v>
      </c>
      <c r="C236" s="30">
        <v>0</v>
      </c>
      <c r="D236" s="20">
        <v>2187879.56</v>
      </c>
      <c r="E236" s="20">
        <f t="shared" si="119"/>
        <v>2187879.56</v>
      </c>
      <c r="F236" s="4">
        <f t="shared" ref="F236:F241" si="275">+E236/(E235)-1</f>
        <v>4.6146908053479319E-3</v>
      </c>
      <c r="G236" s="30">
        <v>0</v>
      </c>
      <c r="H236" s="30">
        <v>0</v>
      </c>
      <c r="I236" s="30">
        <v>0</v>
      </c>
      <c r="J236">
        <v>9948.35</v>
      </c>
      <c r="K236" s="30">
        <f>3.47*600/36.5+3.085*600/36.5+3.06*80/36.5-12.8</f>
        <v>101.66027397260275</v>
      </c>
      <c r="L236" s="18">
        <f t="shared" si="268"/>
        <v>10050.010273972603</v>
      </c>
      <c r="M236" s="37">
        <f t="shared" si="261"/>
        <v>10050.010000000242</v>
      </c>
      <c r="N236" s="17" t="s">
        <v>4721</v>
      </c>
      <c r="O236" s="41">
        <f ca="1">SUMIFS(Stock!$O:$O,Stock!$A:$A,'Asset Line A share'!$A236,Stock!$I:$I,O$2)</f>
        <v>0</v>
      </c>
      <c r="P236" s="41">
        <f ca="1">SUMIFS(Stock!$O:$O,Stock!$A:$A,'Asset Line A share'!$A236,Stock!$I:$I,P$2)</f>
        <v>0</v>
      </c>
      <c r="Q236" s="40" t="str">
        <f t="shared" ca="1" si="137"/>
        <v/>
      </c>
      <c r="R236" s="30"/>
      <c r="S236" s="41">
        <f t="shared" ca="1" si="272"/>
        <v>853246.59999999986</v>
      </c>
      <c r="T236">
        <v>2361166</v>
      </c>
      <c r="U236" s="20">
        <f t="shared" si="246"/>
        <v>4188867.6955932202</v>
      </c>
      <c r="W236" s="4">
        <f t="shared" ref="W236" si="276">(U236-V236)/(U235)-1</f>
        <v>2.800332997875854E-3</v>
      </c>
      <c r="X236" s="20">
        <f t="shared" ref="X236" si="277">(U236-V236)-(U235)</f>
        <v>11697.467627118342</v>
      </c>
      <c r="Y236" s="17" t="s">
        <v>4722</v>
      </c>
      <c r="Z236" s="30">
        <f t="shared" si="176"/>
        <v>1.1653569675236526</v>
      </c>
    </row>
    <row r="237" spans="1:26" ht="40.5" x14ac:dyDescent="0.15">
      <c r="A237" s="1">
        <v>43027</v>
      </c>
      <c r="B237">
        <f t="shared" si="132"/>
        <v>4</v>
      </c>
      <c r="C237" s="30">
        <v>0</v>
      </c>
      <c r="D237" s="20">
        <v>2199719.0499999998</v>
      </c>
      <c r="E237" s="20">
        <f t="shared" si="119"/>
        <v>2199719.0499999998</v>
      </c>
      <c r="F237" s="4">
        <f t="shared" si="275"/>
        <v>5.4113993368078983E-3</v>
      </c>
      <c r="G237">
        <v>332.64</v>
      </c>
      <c r="H237" s="30">
        <v>332.64</v>
      </c>
      <c r="I237">
        <v>0</v>
      </c>
      <c r="J237">
        <v>11431.3</v>
      </c>
      <c r="K237" s="30">
        <f>1200*2.52/36.5+2.352*80/36.5-12.45</f>
        <v>75.554383561643832</v>
      </c>
      <c r="L237" s="18">
        <f t="shared" si="268"/>
        <v>11839.494383561643</v>
      </c>
      <c r="M237" s="37">
        <f t="shared" si="261"/>
        <v>11839.489999999758</v>
      </c>
      <c r="N237" s="17" t="s">
        <v>4723</v>
      </c>
      <c r="O237" s="41">
        <f ca="1">SUMIFS(Stock!$O:$O,Stock!$A:$A,'Asset Line A share'!$A237,Stock!$I:$I,O$2)</f>
        <v>35755</v>
      </c>
      <c r="P237" s="41">
        <f ca="1">SUMIFS(Stock!$O:$O,Stock!$A:$A,'Asset Line A share'!$A237,Stock!$I:$I,P$2)</f>
        <v>0</v>
      </c>
      <c r="Q237" s="40">
        <f t="shared" ca="1" si="137"/>
        <v>9.3033142217871616E-3</v>
      </c>
      <c r="R237" s="30"/>
      <c r="S237" s="41">
        <f t="shared" ref="S237" ca="1" si="278">+S236+O237-P237</f>
        <v>889001.59999999986</v>
      </c>
      <c r="T237">
        <v>2359425</v>
      </c>
      <c r="U237" s="20">
        <f t="shared" si="246"/>
        <v>4199231.761864407</v>
      </c>
      <c r="W237" s="4">
        <f t="shared" ref="W237" si="279">(U237-V237)/(U236)-1</f>
        <v>2.474192794890584E-3</v>
      </c>
      <c r="X237" s="20">
        <f t="shared" ref="X237" si="280">(U237-V237)-(U236)</f>
        <v>10364.066271186806</v>
      </c>
      <c r="Y237" s="17" t="s">
        <v>4724</v>
      </c>
      <c r="Z237" s="30">
        <f t="shared" si="176"/>
        <v>1.1682402853361751</v>
      </c>
    </row>
    <row r="238" spans="1:26" ht="27" x14ac:dyDescent="0.15">
      <c r="A238" s="1">
        <v>43028</v>
      </c>
      <c r="B238">
        <f t="shared" si="132"/>
        <v>5</v>
      </c>
      <c r="C238" s="30">
        <v>0</v>
      </c>
      <c r="D238" s="20">
        <v>2193334.2799999998</v>
      </c>
      <c r="E238" s="20">
        <f t="shared" si="119"/>
        <v>2193334.2799999998</v>
      </c>
      <c r="F238" s="4">
        <f t="shared" si="275"/>
        <v>-2.9025388492226467E-3</v>
      </c>
      <c r="G238">
        <v>59.6</v>
      </c>
      <c r="H238">
        <v>59.6</v>
      </c>
      <c r="I238">
        <v>0</v>
      </c>
      <c r="J238">
        <v>-6648.05</v>
      </c>
      <c r="K238" s="30">
        <f>1200*2.1*3/36.5+2.383*45*3/36.5-12.25</f>
        <v>203.68712328767123</v>
      </c>
      <c r="L238" s="18">
        <f t="shared" si="268"/>
        <v>-6384.7628767123288</v>
      </c>
      <c r="M238" s="37">
        <f t="shared" si="261"/>
        <v>-6384.7700000000186</v>
      </c>
      <c r="N238" s="17" t="s">
        <v>4727</v>
      </c>
      <c r="O238" s="41">
        <f ca="1">SUMIFS(Stock!$O:$O,Stock!$A:$A,'Asset Line A share'!$A238,Stock!$I:$I,O$2)</f>
        <v>19800</v>
      </c>
      <c r="P238" s="41">
        <f ca="1">SUMIFS(Stock!$O:$O,Stock!$A:$A,'Asset Line A share'!$A238,Stock!$I:$I,P$2)</f>
        <v>0</v>
      </c>
      <c r="Q238" s="40">
        <f t="shared" ca="1" si="137"/>
        <v>3.0101010101010101E-3</v>
      </c>
      <c r="R238" s="30"/>
      <c r="S238" s="41">
        <f t="shared" ref="S238" ca="1" si="281">+S237+O238-P238</f>
        <v>908801.59999999986</v>
      </c>
      <c r="T238" s="30">
        <v>2358589</v>
      </c>
      <c r="U238" s="20">
        <f t="shared" ref="U238" si="282">T238/1.18+E238</f>
        <v>4192138.5172881354</v>
      </c>
      <c r="W238" s="4">
        <f t="shared" ref="W238" si="283">(U238-V238)/(U237)-1</f>
        <v>-1.6891767300603044E-3</v>
      </c>
      <c r="X238" s="20">
        <f t="shared" ref="X238" si="284">(U238-V238)-(U237)</f>
        <v>-7093.2445762716234</v>
      </c>
      <c r="Y238" s="17" t="s">
        <v>4726</v>
      </c>
      <c r="Z238" s="30">
        <f t="shared" si="176"/>
        <v>1.1662669210310661</v>
      </c>
    </row>
    <row r="239" spans="1:26" x14ac:dyDescent="0.15">
      <c r="A239" s="1">
        <v>43031</v>
      </c>
      <c r="B239">
        <f t="shared" si="132"/>
        <v>1</v>
      </c>
      <c r="C239" s="30">
        <v>0</v>
      </c>
      <c r="D239" s="20">
        <v>2193405.42</v>
      </c>
      <c r="E239" s="20">
        <f t="shared" si="119"/>
        <v>2193405.42</v>
      </c>
      <c r="F239" s="4">
        <f t="shared" si="275"/>
        <v>3.2434636456857291E-5</v>
      </c>
      <c r="G239">
        <v>92.74</v>
      </c>
      <c r="H239" s="30">
        <v>92.74</v>
      </c>
      <c r="I239">
        <v>0</v>
      </c>
      <c r="J239">
        <v>-94.65</v>
      </c>
      <c r="K239" s="30">
        <f>1200*2.535/36.5+2.495*25/36.5-12</f>
        <v>73.051369863013704</v>
      </c>
      <c r="L239" s="18">
        <f t="shared" si="268"/>
        <v>71.141369863013693</v>
      </c>
      <c r="M239" s="37">
        <f t="shared" si="261"/>
        <v>71.140000000130385</v>
      </c>
      <c r="N239" s="17" t="s">
        <v>4729</v>
      </c>
      <c r="O239" s="41">
        <f ca="1">SUMIFS(Stock!$O:$O,Stock!$A:$A,'Asset Line A share'!$A239,Stock!$I:$I,O$2)</f>
        <v>12924</v>
      </c>
      <c r="P239" s="41">
        <f ca="1">SUMIFS(Stock!$O:$O,Stock!$A:$A,'Asset Line A share'!$A239,Stock!$I:$I,P$2)</f>
        <v>0</v>
      </c>
      <c r="Q239" s="40">
        <f t="shared" ca="1" si="137"/>
        <v>7.1757969668833172E-3</v>
      </c>
      <c r="R239" s="30"/>
      <c r="S239" s="41">
        <f t="shared" ref="S239" ca="1" si="285">+S238+O239-P239</f>
        <v>921725.59999999986</v>
      </c>
      <c r="T239" s="30">
        <v>2358462</v>
      </c>
      <c r="U239" s="20">
        <f t="shared" ref="U239:U246" si="286">T239/1.18+E239</f>
        <v>4192102.0301694917</v>
      </c>
      <c r="W239" s="4">
        <f t="shared" ref="W239" si="287">(U239-V239)/(U238)-1</f>
        <v>-8.7037006275547668E-6</v>
      </c>
      <c r="X239" s="20">
        <f t="shared" ref="X239" si="288">(U239-V239)-(U238)</f>
        <v>-36.487118643708527</v>
      </c>
      <c r="Y239" s="17" t="s">
        <v>4728</v>
      </c>
      <c r="Z239" s="30">
        <f t="shared" si="176"/>
        <v>1.1662567701929336</v>
      </c>
    </row>
    <row r="240" spans="1:26" ht="27" x14ac:dyDescent="0.15">
      <c r="A240" s="1">
        <v>43032</v>
      </c>
      <c r="B240">
        <f t="shared" si="132"/>
        <v>2</v>
      </c>
      <c r="C240" s="30">
        <v>0</v>
      </c>
      <c r="D240" s="20">
        <v>2192749.79</v>
      </c>
      <c r="E240" s="20">
        <f t="shared" si="119"/>
        <v>2192749.79</v>
      </c>
      <c r="F240" s="4">
        <f t="shared" si="275"/>
        <v>-2.9890962884548955E-4</v>
      </c>
      <c r="G240">
        <v>0</v>
      </c>
      <c r="H240">
        <v>0</v>
      </c>
      <c r="I240">
        <v>0</v>
      </c>
      <c r="J240">
        <v>-746.2</v>
      </c>
      <c r="K240" s="30">
        <f>3.005*600/36.5+3.235*600/36.5-12</f>
        <v>90.575342465753437</v>
      </c>
      <c r="L240" s="18">
        <f t="shared" si="268"/>
        <v>-655.62465753424658</v>
      </c>
      <c r="M240" s="37">
        <f t="shared" si="261"/>
        <v>-655.62999999988824</v>
      </c>
      <c r="N240" s="17" t="s">
        <v>4731</v>
      </c>
      <c r="O240" s="41">
        <f ca="1">SUMIFS(Stock!$O:$O,Stock!$A:$A,'Asset Line A share'!$A240,Stock!$I:$I,O$2)</f>
        <v>0</v>
      </c>
      <c r="P240" s="41">
        <f ca="1">SUMIFS(Stock!$O:$O,Stock!$A:$A,'Asset Line A share'!$A240,Stock!$I:$I,P$2)</f>
        <v>0</v>
      </c>
      <c r="Q240" s="40" t="str">
        <f t="shared" ca="1" si="137"/>
        <v/>
      </c>
      <c r="R240" s="30"/>
      <c r="S240" s="41">
        <f t="shared" ref="S240" ca="1" si="289">+S239+O240-P240</f>
        <v>921725.59999999986</v>
      </c>
      <c r="T240" s="30">
        <v>2361191</v>
      </c>
      <c r="U240" s="20">
        <f t="shared" si="286"/>
        <v>4193759.1120338985</v>
      </c>
      <c r="W240" s="4">
        <f t="shared" ref="W240" si="290">(U240-V240)/(U239)-1</f>
        <v>3.952866252971976E-4</v>
      </c>
      <c r="X240" s="20">
        <f t="shared" ref="X240" si="291">(U240-V240)-(U239)</f>
        <v>1657.0818644068204</v>
      </c>
      <c r="Y240" s="17" t="s">
        <v>4730</v>
      </c>
      <c r="Z240" s="30">
        <f t="shared" si="176"/>
        <v>1.1667177758958531</v>
      </c>
    </row>
    <row r="241" spans="1:26" x14ac:dyDescent="0.15">
      <c r="A241" s="1">
        <v>43033</v>
      </c>
      <c r="B241">
        <f t="shared" si="132"/>
        <v>3</v>
      </c>
      <c r="C241" s="30">
        <v>0</v>
      </c>
      <c r="D241" s="20">
        <v>2198398.5499999998</v>
      </c>
      <c r="E241" s="20">
        <f t="shared" si="119"/>
        <v>2198398.5499999998</v>
      </c>
      <c r="F241" s="4">
        <f t="shared" si="275"/>
        <v>2.5761078741226573E-3</v>
      </c>
      <c r="G241">
        <v>250.57</v>
      </c>
      <c r="H241" s="30">
        <v>250.57</v>
      </c>
      <c r="I241">
        <v>0</v>
      </c>
      <c r="J241">
        <v>5315.7</v>
      </c>
      <c r="K241" s="30">
        <f>1200*2.865/36.5-11.7</f>
        <v>82.491780821917814</v>
      </c>
      <c r="L241" s="18">
        <f t="shared" si="268"/>
        <v>5648.7617808219175</v>
      </c>
      <c r="M241" s="37">
        <f t="shared" si="261"/>
        <v>5648.7599999997765</v>
      </c>
      <c r="N241" s="17" t="s">
        <v>5017</v>
      </c>
      <c r="O241" s="41">
        <f ca="1">SUMIFS(Stock!$O:$O,Stock!$A:$A,'Asset Line A share'!$A241,Stock!$I:$I,O$2)</f>
        <v>42590</v>
      </c>
      <c r="P241" s="41">
        <f ca="1">SUMIFS(Stock!$O:$O,Stock!$A:$A,'Asset Line A share'!$A241,Stock!$I:$I,P$2)</f>
        <v>0</v>
      </c>
      <c r="Q241" s="40">
        <f t="shared" ca="1" si="137"/>
        <v>5.8833059403615873E-3</v>
      </c>
      <c r="R241" s="30"/>
      <c r="S241" s="41">
        <f t="shared" ref="S241" ca="1" si="292">+S240+O241-P241</f>
        <v>964315.59999999986</v>
      </c>
      <c r="T241">
        <v>2363488</v>
      </c>
      <c r="U241" s="20">
        <f t="shared" si="286"/>
        <v>4201354.4822033895</v>
      </c>
      <c r="W241" s="4">
        <f t="shared" ref="W241" si="293">(U241-V241)/(U240)-1</f>
        <v>1.8111126477666772E-3</v>
      </c>
      <c r="X241" s="20">
        <f t="shared" ref="X241" si="294">(U241-V241)-(U240)</f>
        <v>7595.3701694910415</v>
      </c>
      <c r="Y241" s="17" t="s">
        <v>5018</v>
      </c>
      <c r="Z241" s="30">
        <f t="shared" si="176"/>
        <v>1.1688308332161523</v>
      </c>
    </row>
    <row r="242" spans="1:26" x14ac:dyDescent="0.15">
      <c r="A242" s="1">
        <v>43034</v>
      </c>
      <c r="B242">
        <f t="shared" si="132"/>
        <v>4</v>
      </c>
      <c r="C242" s="30">
        <v>0</v>
      </c>
      <c r="D242" s="20">
        <v>2208665.4900000002</v>
      </c>
      <c r="E242" s="20">
        <f t="shared" ref="E242:E253" si="295">-C242+D242</f>
        <v>2208665.4900000002</v>
      </c>
      <c r="F242" s="4">
        <f t="shared" ref="F242:F253" si="296">+E242/(E241)-1</f>
        <v>4.6701904893453605E-3</v>
      </c>
      <c r="G242">
        <v>50.82</v>
      </c>
      <c r="H242" s="30">
        <v>50.82</v>
      </c>
      <c r="I242">
        <v>0</v>
      </c>
      <c r="J242">
        <v>10110.950000000001</v>
      </c>
      <c r="K242" s="30">
        <f>500*3.88/36.5+600*3.34/36.5+3.71*70/36.5-10</f>
        <v>105.16986301369863</v>
      </c>
      <c r="L242" s="18">
        <f t="shared" si="268"/>
        <v>10266.939863013698</v>
      </c>
      <c r="M242" s="37">
        <f t="shared" si="261"/>
        <v>10266.94000000041</v>
      </c>
      <c r="N242" s="17" t="s">
        <v>5022</v>
      </c>
      <c r="O242" s="41">
        <f ca="1">SUMIFS(Stock!$O:$O,Stock!$A:$A,'Asset Line A share'!$A242,Stock!$I:$I,O$2)</f>
        <v>83430</v>
      </c>
      <c r="P242" s="41">
        <f ca="1">SUMIFS(Stock!$O:$O,Stock!$A:$A,'Asset Line A share'!$A242,Stock!$I:$I,P$2)</f>
        <v>0</v>
      </c>
      <c r="Q242" s="40">
        <f t="shared" ca="1" si="137"/>
        <v>6.0913340524991011E-4</v>
      </c>
      <c r="R242" s="30"/>
      <c r="S242" s="41">
        <f t="shared" ref="S242" ca="1" si="297">+S241+O242-P242</f>
        <v>1047745.5999999999</v>
      </c>
      <c r="T242">
        <v>2364878</v>
      </c>
      <c r="U242" s="20">
        <f t="shared" si="286"/>
        <v>4212799.3883050848</v>
      </c>
      <c r="W242" s="4">
        <f t="shared" ref="W242" si="298">(U242-V242)/(U241)-1</f>
        <v>2.7240991328332242E-3</v>
      </c>
      <c r="X242" s="20">
        <f t="shared" ref="X242" si="299">(U242-V242)-(U241)</f>
        <v>11444.906101695262</v>
      </c>
      <c r="Y242" s="17" t="s">
        <v>5021</v>
      </c>
      <c r="Z242" s="30">
        <f t="shared" si="176"/>
        <v>1.1720148442753451</v>
      </c>
    </row>
    <row r="243" spans="1:26" ht="27" x14ac:dyDescent="0.15">
      <c r="A243" s="1">
        <v>43035</v>
      </c>
      <c r="B243">
        <f t="shared" si="132"/>
        <v>5</v>
      </c>
      <c r="C243" s="30">
        <v>0</v>
      </c>
      <c r="D243" s="20">
        <v>2232583.17</v>
      </c>
      <c r="E243" s="20">
        <f t="shared" si="295"/>
        <v>2232583.17</v>
      </c>
      <c r="F243" s="4">
        <f t="shared" si="296"/>
        <v>1.0829018748330199E-2</v>
      </c>
      <c r="G243">
        <v>331.6</v>
      </c>
      <c r="H243">
        <v>331.6</v>
      </c>
      <c r="I243" s="30">
        <v>0</v>
      </c>
      <c r="J243">
        <v>23300.25</v>
      </c>
      <c r="K243" s="30">
        <f>600*3.32*3/36.5+400*4.035*3/36.5-10.56</f>
        <v>285.8235616438356</v>
      </c>
      <c r="L243" s="18">
        <f t="shared" ref="L243" si="300">G243+J243+K243</f>
        <v>23917.673561643835</v>
      </c>
      <c r="M243" s="37">
        <f t="shared" ref="M243" si="301">+E243-E242</f>
        <v>23917.679999999702</v>
      </c>
      <c r="N243" s="17" t="s">
        <v>5024</v>
      </c>
      <c r="O243" s="41">
        <f ca="1">SUMIFS(Stock!$O:$O,Stock!$A:$A,'Asset Line A share'!$A243,Stock!$I:$I,O$2)</f>
        <v>30808</v>
      </c>
      <c r="P243" s="41">
        <f ca="1">SUMIFS(Stock!$O:$O,Stock!$A:$A,'Asset Line A share'!$A243,Stock!$I:$I,P$2)</f>
        <v>0</v>
      </c>
      <c r="Q243" s="40">
        <f t="shared" ca="1" si="137"/>
        <v>1.0763438068034278E-2</v>
      </c>
      <c r="R243" s="30"/>
      <c r="S243" s="41">
        <f t="shared" ref="S243" ca="1" si="302">+S242+O243-P243</f>
        <v>1078553.5999999999</v>
      </c>
      <c r="T243" s="30">
        <v>2371170</v>
      </c>
      <c r="U243" s="20">
        <f t="shared" si="286"/>
        <v>4242049.2716949154</v>
      </c>
      <c r="W243" s="4">
        <f t="shared" ref="W243" si="303">(U243-V243)/(U242)-1</f>
        <v>6.9430990402794546E-3</v>
      </c>
      <c r="X243" s="20">
        <f t="shared" ref="X243" si="304">(U243-V243)-(U242)</f>
        <v>29249.883389830589</v>
      </c>
      <c r="Y243" s="17" t="s">
        <v>5023</v>
      </c>
      <c r="Z243" s="30">
        <f t="shared" si="176"/>
        <v>1.1801522594158265</v>
      </c>
    </row>
    <row r="244" spans="1:26" ht="27" x14ac:dyDescent="0.15">
      <c r="A244" s="1">
        <v>43038</v>
      </c>
      <c r="B244">
        <f t="shared" si="132"/>
        <v>1</v>
      </c>
      <c r="C244" s="30">
        <v>0</v>
      </c>
      <c r="D244" s="20">
        <v>2225792.91</v>
      </c>
      <c r="E244" s="20">
        <f t="shared" si="295"/>
        <v>2225792.91</v>
      </c>
      <c r="F244" s="4">
        <f t="shared" si="296"/>
        <v>-3.0414365257441789E-3</v>
      </c>
      <c r="G244">
        <v>0</v>
      </c>
      <c r="H244">
        <v>0</v>
      </c>
      <c r="I244">
        <v>0</v>
      </c>
      <c r="J244">
        <v>-6909.1</v>
      </c>
      <c r="K244" s="30">
        <f>4.18*500/36.5+4.7*500/36.5+5.057*56/36.5-10.56</f>
        <v>118.84252054794521</v>
      </c>
      <c r="L244" s="18">
        <f t="shared" ref="L244:L250" si="305">G244+J244+K244</f>
        <v>-6790.2574794520551</v>
      </c>
      <c r="M244" s="37">
        <f t="shared" ref="M244:M248" si="306">+E244-E243</f>
        <v>-6790.2599999997765</v>
      </c>
      <c r="N244" s="17" t="s">
        <v>5026</v>
      </c>
      <c r="O244" s="41">
        <f ca="1">SUMIFS(Stock!$O:$O,Stock!$A:$A,'Asset Line A share'!$A244,Stock!$I:$I,O$2)</f>
        <v>0</v>
      </c>
      <c r="P244" s="41">
        <f ca="1">SUMIFS(Stock!$O:$O,Stock!$A:$A,'Asset Line A share'!$A244,Stock!$I:$I,P$2)</f>
        <v>0</v>
      </c>
      <c r="Q244" s="40" t="str">
        <f t="shared" ca="1" si="137"/>
        <v/>
      </c>
      <c r="R244" s="30"/>
      <c r="S244" s="41">
        <f t="shared" ref="S244" ca="1" si="307">+S243+O244-P244</f>
        <v>1078553.5999999999</v>
      </c>
      <c r="T244">
        <v>2371631</v>
      </c>
      <c r="U244" s="20">
        <f t="shared" si="286"/>
        <v>4235649.6896610167</v>
      </c>
      <c r="W244" s="4">
        <f t="shared" ref="W244" si="308">(U244-V244)/(U243)-1</f>
        <v>-1.5086062475982986E-3</v>
      </c>
      <c r="X244" s="20">
        <f t="shared" ref="X244" si="309">(U244-V244)-(U243)</f>
        <v>-6399.5820338986814</v>
      </c>
      <c r="Y244" s="17" t="s">
        <v>5025</v>
      </c>
      <c r="Z244" s="30">
        <f t="shared" si="176"/>
        <v>1.1783718743441545</v>
      </c>
    </row>
    <row r="245" spans="1:26" ht="27" x14ac:dyDescent="0.15">
      <c r="A245" s="1">
        <v>43039</v>
      </c>
      <c r="B245">
        <f t="shared" si="132"/>
        <v>2</v>
      </c>
      <c r="C245" s="30">
        <v>0</v>
      </c>
      <c r="D245" s="20">
        <v>2226444.08</v>
      </c>
      <c r="E245" s="20">
        <f t="shared" si="295"/>
        <v>2226444.08</v>
      </c>
      <c r="F245" s="4">
        <f t="shared" si="296"/>
        <v>2.9255641756886774E-4</v>
      </c>
      <c r="G245" s="30">
        <v>301.8</v>
      </c>
      <c r="H245" s="30">
        <v>301.8</v>
      </c>
      <c r="I245" s="30">
        <v>0</v>
      </c>
      <c r="J245">
        <v>162.80000000000001</v>
      </c>
      <c r="K245" s="30">
        <f>300*6.71/36.5+6.01*300/36.5+7.4*400/36.5+7.116*56/36.5-10</f>
        <v>186.56153424657535</v>
      </c>
      <c r="L245" s="18">
        <f t="shared" si="305"/>
        <v>651.16153424657534</v>
      </c>
      <c r="M245" s="37">
        <f t="shared" si="306"/>
        <v>651.16999999992549</v>
      </c>
      <c r="N245" s="17" t="s">
        <v>5027</v>
      </c>
      <c r="O245" s="41">
        <f ca="1">SUMIFS(Stock!$O:$O,Stock!$A:$A,'Asset Line A share'!$A245,Stock!$I:$I,O$2)</f>
        <v>23800</v>
      </c>
      <c r="P245" s="41">
        <f ca="1">SUMIFS(Stock!$O:$O,Stock!$A:$A,'Asset Line A share'!$A245,Stock!$I:$I,P$2)</f>
        <v>0</v>
      </c>
      <c r="Q245" s="40">
        <f t="shared" ca="1" si="137"/>
        <v>1.2680672268907563E-2</v>
      </c>
      <c r="R245" s="30"/>
      <c r="S245" s="41">
        <f t="shared" ref="S245" ca="1" si="310">+S244+O245-P245</f>
        <v>1102353.5999999999</v>
      </c>
      <c r="T245">
        <v>2372556</v>
      </c>
      <c r="U245" s="20">
        <f t="shared" si="286"/>
        <v>4237084.7579661021</v>
      </c>
      <c r="W245" s="4">
        <f t="shared" ref="W245" si="311">(U245-V245)/(U244)-1</f>
        <v>3.3880712764999821E-4</v>
      </c>
      <c r="X245" s="20">
        <f t="shared" ref="X245" si="312">(U245-V245)-(U244)</f>
        <v>1435.0683050854132</v>
      </c>
      <c r="Y245" s="17" t="s">
        <v>5028</v>
      </c>
      <c r="Z245" s="30">
        <f t="shared" si="176"/>
        <v>1.1787711151342046</v>
      </c>
    </row>
    <row r="246" spans="1:26" x14ac:dyDescent="0.15">
      <c r="A246" s="1">
        <v>43040</v>
      </c>
      <c r="B246">
        <f t="shared" si="132"/>
        <v>3</v>
      </c>
      <c r="C246" s="30">
        <v>0</v>
      </c>
      <c r="D246" s="20">
        <v>2223603.41</v>
      </c>
      <c r="E246" s="20">
        <f t="shared" si="295"/>
        <v>2223603.41</v>
      </c>
      <c r="F246" s="4">
        <f t="shared" si="296"/>
        <v>-1.2758775419142721E-3</v>
      </c>
      <c r="G246">
        <v>-360.21</v>
      </c>
      <c r="H246">
        <v>-360.21</v>
      </c>
      <c r="I246" s="30">
        <v>0</v>
      </c>
      <c r="J246">
        <v>-2698.1</v>
      </c>
      <c r="K246" s="30">
        <f>8.295*1000/36.5-9.62</f>
        <v>217.64027397260273</v>
      </c>
      <c r="L246" s="18">
        <f t="shared" si="305"/>
        <v>-2840.6697260273972</v>
      </c>
      <c r="M246" s="37">
        <f t="shared" si="306"/>
        <v>-2840.6699999999255</v>
      </c>
      <c r="N246" s="17" t="s">
        <v>5029</v>
      </c>
      <c r="O246" s="41">
        <f ca="1">SUMIFS(Stock!$O:$O,Stock!$A:$A,'Asset Line A share'!$A246,Stock!$I:$I,O$2)</f>
        <v>70817</v>
      </c>
      <c r="P246" s="41">
        <f ca="1">SUMIFS(Stock!$O:$O,Stock!$A:$A,'Asset Line A share'!$A246,Stock!$I:$I,P$2)</f>
        <v>0</v>
      </c>
      <c r="Q246" s="40">
        <f t="shared" ca="1" si="137"/>
        <v>-5.0864905319344227E-3</v>
      </c>
      <c r="R246" s="30"/>
      <c r="S246" s="41">
        <f t="shared" ref="S246" ca="1" si="313">+S245+O246-P246</f>
        <v>1173170.5999999999</v>
      </c>
      <c r="T246">
        <v>2371664</v>
      </c>
      <c r="U246" s="20">
        <f t="shared" si="286"/>
        <v>4233488.1557627115</v>
      </c>
      <c r="W246" s="4">
        <f t="shared" ref="W246" si="314">(U246-V246)/(U245)-1</f>
        <v>-8.4883886182085533E-4</v>
      </c>
      <c r="X246" s="20">
        <f t="shared" ref="X246" si="315">(U246-V246)-(U245)</f>
        <v>-3596.602203390561</v>
      </c>
      <c r="Y246" s="17" t="s">
        <v>5031</v>
      </c>
      <c r="Z246" s="30">
        <f t="shared" si="176"/>
        <v>1.1777705284024869</v>
      </c>
    </row>
    <row r="247" spans="1:26" ht="27" x14ac:dyDescent="0.15">
      <c r="A247" s="1">
        <v>43041</v>
      </c>
      <c r="B247">
        <f t="shared" si="132"/>
        <v>4</v>
      </c>
      <c r="C247" s="30">
        <v>0</v>
      </c>
      <c r="D247" s="30">
        <v>2225032.75</v>
      </c>
      <c r="E247" s="20">
        <f t="shared" si="295"/>
        <v>2225032.75</v>
      </c>
      <c r="F247" s="4">
        <f t="shared" si="296"/>
        <v>6.4280347546330496E-4</v>
      </c>
      <c r="G247">
        <v>0</v>
      </c>
      <c r="H247">
        <v>0</v>
      </c>
      <c r="I247">
        <v>0</v>
      </c>
      <c r="J247">
        <v>1340.25</v>
      </c>
      <c r="K247" s="30">
        <f>3.74*900/36.5+3.82*62/36.5-9.62</f>
        <v>89.087945205479443</v>
      </c>
      <c r="L247" s="18">
        <f t="shared" si="305"/>
        <v>1429.3379452054794</v>
      </c>
      <c r="M247" s="37">
        <f t="shared" si="306"/>
        <v>1429.339999999851</v>
      </c>
      <c r="N247" s="17" t="s">
        <v>5030</v>
      </c>
      <c r="O247" s="41">
        <f ca="1">SUMIFS(Stock!$O:$O,Stock!$A:$A,'Asset Line A share'!$A247,Stock!$I:$I,O$2)</f>
        <v>0</v>
      </c>
      <c r="P247" s="41">
        <f ca="1">SUMIFS(Stock!$O:$O,Stock!$A:$A,'Asset Line A share'!$A247,Stock!$I:$I,P$2)</f>
        <v>0</v>
      </c>
      <c r="Q247" s="40" t="str">
        <f t="shared" ca="1" si="137"/>
        <v/>
      </c>
      <c r="R247" s="30"/>
      <c r="S247" s="41">
        <f t="shared" ref="S247" ca="1" si="316">+S246+O247-P247</f>
        <v>1173170.5999999999</v>
      </c>
      <c r="T247" s="30">
        <v>2371950</v>
      </c>
      <c r="U247" s="20">
        <f t="shared" ref="U247" si="317">T247/1.18+E247</f>
        <v>4235159.868644068</v>
      </c>
      <c r="W247" s="4">
        <f t="shared" ref="W247" si="318">(U247-V247)/(U246)-1</f>
        <v>3.9487836503826479E-4</v>
      </c>
      <c r="X247" s="20">
        <f t="shared" ref="X247" si="319">(U247-V247)-(U246)</f>
        <v>1671.7128813564777</v>
      </c>
      <c r="Y247" s="17" t="s">
        <v>5032</v>
      </c>
      <c r="Z247" s="30">
        <f t="shared" si="176"/>
        <v>1.1782356045031326</v>
      </c>
    </row>
    <row r="248" spans="1:26" ht="40.5" x14ac:dyDescent="0.15">
      <c r="A248" s="1">
        <v>43042</v>
      </c>
      <c r="B248">
        <f t="shared" si="132"/>
        <v>5</v>
      </c>
      <c r="C248" s="30">
        <v>0</v>
      </c>
      <c r="D248" s="20">
        <v>2233661.2799999998</v>
      </c>
      <c r="E248" s="20">
        <f t="shared" si="295"/>
        <v>2233661.2799999998</v>
      </c>
      <c r="F248" s="4">
        <f t="shared" si="296"/>
        <v>3.8779339315342387E-3</v>
      </c>
      <c r="G248" s="30">
        <v>0</v>
      </c>
      <c r="H248" s="30">
        <v>0</v>
      </c>
      <c r="I248" s="30">
        <v>0</v>
      </c>
      <c r="J248">
        <v>8342.7000000000007</v>
      </c>
      <c r="K248" s="30">
        <f>3*(3.755*900/36.5+3.47*62/36.5)-9.62</f>
        <v>285.82986301369863</v>
      </c>
      <c r="L248" s="18">
        <f t="shared" si="305"/>
        <v>8628.5298630136986</v>
      </c>
      <c r="M248" s="37">
        <f t="shared" si="306"/>
        <v>8628.5299999997951</v>
      </c>
      <c r="N248" s="17" t="s">
        <v>5034</v>
      </c>
      <c r="O248" s="41">
        <f ca="1">SUMIFS(Stock!$O:$O,Stock!$A:$A,'Asset Line A share'!$A248,Stock!$I:$I,O$2)</f>
        <v>0</v>
      </c>
      <c r="P248" s="41">
        <f ca="1">SUMIFS(Stock!$O:$O,Stock!$A:$A,'Asset Line A share'!$A248,Stock!$I:$I,P$2)</f>
        <v>0</v>
      </c>
      <c r="Q248" s="40" t="str">
        <f t="shared" ca="1" si="137"/>
        <v/>
      </c>
      <c r="R248" s="30"/>
      <c r="S248" s="41">
        <f t="shared" ref="S248" ca="1" si="320">+S247+O248-P248</f>
        <v>1173170.5999999999</v>
      </c>
      <c r="T248" s="30">
        <v>2371672</v>
      </c>
      <c r="U248" s="20">
        <f t="shared" ref="U248" si="321">T248/1.18+E248</f>
        <v>4243552.8054237291</v>
      </c>
      <c r="W248" s="4">
        <f t="shared" ref="W248" si="322">(U248-V248)/(U247)-1</f>
        <v>1.9817284447276595E-3</v>
      </c>
      <c r="X248" s="20">
        <f t="shared" ref="X248" si="323">(U248-V248)-(U247)</f>
        <v>8392.9367796611041</v>
      </c>
      <c r="Y248" s="17" t="s">
        <v>5033</v>
      </c>
      <c r="Z248" s="30">
        <f t="shared" si="176"/>
        <v>1.1805705475151673</v>
      </c>
    </row>
    <row r="249" spans="1:26" ht="27" x14ac:dyDescent="0.15">
      <c r="A249" s="1">
        <v>43045</v>
      </c>
      <c r="B249">
        <f t="shared" si="132"/>
        <v>1</v>
      </c>
      <c r="C249" s="30">
        <v>0</v>
      </c>
      <c r="D249" s="20">
        <v>2260747.86</v>
      </c>
      <c r="E249" s="20">
        <f t="shared" si="295"/>
        <v>2260747.86</v>
      </c>
      <c r="F249" s="4">
        <f>+E249/(E248)-1</f>
        <v>1.2126538720320212E-2</v>
      </c>
      <c r="G249">
        <v>-28.1</v>
      </c>
      <c r="H249" s="30">
        <v>0</v>
      </c>
      <c r="I249" s="30">
        <v>-28.1</v>
      </c>
      <c r="J249">
        <v>27044.7</v>
      </c>
      <c r="K249" s="30">
        <f>3.125*400/36.5+2.965*500/36.5+2.921*62/36.5-9.85</f>
        <v>69.974712328767126</v>
      </c>
      <c r="L249" s="18">
        <f t="shared" si="305"/>
        <v>27086.574712328769</v>
      </c>
      <c r="M249" s="37">
        <f>+E249-E248</f>
        <v>27086.580000000075</v>
      </c>
      <c r="N249" s="17" t="s">
        <v>5036</v>
      </c>
      <c r="O249" s="41">
        <f ca="1">SUMIFS(Stock!$O:$O,Stock!$A:$A,'Asset Line A share'!$A249,Stock!$I:$I,O$2)</f>
        <v>0</v>
      </c>
      <c r="P249" s="41">
        <f ca="1">SUMIFS(Stock!$O:$O,Stock!$A:$A,'Asset Line A share'!$A249,Stock!$I:$I,P$2)</f>
        <v>22652</v>
      </c>
      <c r="Q249" s="40" t="str">
        <f t="shared" ca="1" si="137"/>
        <v/>
      </c>
      <c r="R249" s="30"/>
      <c r="S249" s="41">
        <f t="shared" ref="S249" ca="1" si="324">+S248+O249-P249</f>
        <v>1150518.5999999999</v>
      </c>
      <c r="T249" s="30">
        <v>2372311</v>
      </c>
      <c r="U249" s="20">
        <f t="shared" ref="U249:U251" si="325">T249/1.18+E249</f>
        <v>4271180.9108474571</v>
      </c>
      <c r="W249" s="4">
        <f t="shared" ref="W249" si="326">(U249-V249)/(U248)-1</f>
        <v>6.5106071941454235E-3</v>
      </c>
      <c r="X249" s="20">
        <f t="shared" ref="X249" si="327">(U249-V249)-(U248)</f>
        <v>27628.105423728004</v>
      </c>
      <c r="Y249" s="17" t="s">
        <v>5035</v>
      </c>
      <c r="Z249" s="30">
        <f t="shared" si="176"/>
        <v>1.1882567786150158</v>
      </c>
    </row>
    <row r="250" spans="1:26" ht="27" x14ac:dyDescent="0.15">
      <c r="A250" s="1">
        <v>43046</v>
      </c>
      <c r="B250">
        <f t="shared" si="132"/>
        <v>2</v>
      </c>
      <c r="C250" s="30">
        <v>0</v>
      </c>
      <c r="D250" s="20">
        <v>2260939.85</v>
      </c>
      <c r="E250" s="20">
        <f t="shared" si="295"/>
        <v>2260939.85</v>
      </c>
      <c r="F250" s="4">
        <f t="shared" si="296"/>
        <v>8.4923225361466237E-5</v>
      </c>
      <c r="G250">
        <v>147</v>
      </c>
      <c r="H250">
        <v>147</v>
      </c>
      <c r="I250">
        <v>0</v>
      </c>
      <c r="J250">
        <v>-26.25</v>
      </c>
      <c r="K250" s="30">
        <f>900*3.035/36.5+1.782*23/36.5+2.956*62/36.5-9.74</f>
        <v>71.239671232876731</v>
      </c>
      <c r="L250" s="18">
        <f t="shared" si="305"/>
        <v>191.98967123287673</v>
      </c>
      <c r="M250" s="37">
        <f>+E250-E249</f>
        <v>191.99000000022352</v>
      </c>
      <c r="N250" s="17" t="s">
        <v>5038</v>
      </c>
      <c r="O250" s="41">
        <f ca="1">SUMIFS(Stock!$O:$O,Stock!$A:$A,'Asset Line A share'!$A250,Stock!$I:$I,O$2)</f>
        <v>10398</v>
      </c>
      <c r="P250" s="41">
        <f ca="1">SUMIFS(Stock!$O:$O,Stock!$A:$A,'Asset Line A share'!$A250,Stock!$I:$I,P$2)</f>
        <v>0</v>
      </c>
      <c r="Q250" s="40">
        <f t="shared" ca="1" si="137"/>
        <v>1.4137334102712061E-2</v>
      </c>
      <c r="R250" s="30"/>
      <c r="S250" s="41">
        <f t="shared" ref="S250" ca="1" si="328">+S249+O250-P250</f>
        <v>1160916.5999999999</v>
      </c>
      <c r="T250">
        <v>2376999</v>
      </c>
      <c r="U250" s="20">
        <f t="shared" si="325"/>
        <v>4275345.7822033903</v>
      </c>
      <c r="W250" s="4">
        <f t="shared" ref="W250" si="329">(U250-V250)/(U249)-1</f>
        <v>9.7511003229944215E-4</v>
      </c>
      <c r="X250" s="20">
        <f t="shared" ref="X250" si="330">(U250-V250)-(U249)</f>
        <v>4164.8713559331372</v>
      </c>
      <c r="Y250" s="17" t="s">
        <v>5037</v>
      </c>
      <c r="Z250" s="30">
        <f t="shared" si="176"/>
        <v>1.1894154597207911</v>
      </c>
    </row>
    <row r="251" spans="1:26" ht="27" x14ac:dyDescent="0.15">
      <c r="A251" s="1">
        <v>43047</v>
      </c>
      <c r="B251">
        <f t="shared" si="132"/>
        <v>3</v>
      </c>
      <c r="C251" s="30">
        <v>0</v>
      </c>
      <c r="D251" s="20">
        <v>2257503.48</v>
      </c>
      <c r="E251" s="20">
        <f t="shared" si="295"/>
        <v>2257503.48</v>
      </c>
      <c r="F251" s="4">
        <f t="shared" si="296"/>
        <v>-1.5198856351708034E-3</v>
      </c>
      <c r="G251">
        <v>-24.14</v>
      </c>
      <c r="H251" s="30">
        <v>-24.14</v>
      </c>
      <c r="I251">
        <v>0</v>
      </c>
      <c r="J251">
        <v>-3480.9</v>
      </c>
      <c r="K251" s="30">
        <f>2.935*900/36.5+2.947*74/36.5-9.67</f>
        <v>68.674602739726026</v>
      </c>
      <c r="L251" s="18">
        <f>G251+J251+K251</f>
        <v>-3436.3653972602738</v>
      </c>
      <c r="M251" s="37">
        <f>+E251-E250</f>
        <v>-3436.3700000001118</v>
      </c>
      <c r="N251" s="17" t="s">
        <v>5039</v>
      </c>
      <c r="O251" s="41">
        <f ca="1">SUMIFS(Stock!$O:$O,Stock!$A:$A,'Asset Line A share'!$A251,Stock!$I:$I,O$2)</f>
        <v>7066</v>
      </c>
      <c r="P251" s="41">
        <f ca="1">SUMIFS(Stock!$O:$O,Stock!$A:$A,'Asset Line A share'!$A251,Stock!$I:$I,P$2)</f>
        <v>0</v>
      </c>
      <c r="Q251" s="40">
        <f t="shared" ca="1" si="137"/>
        <v>-3.4163600339654687E-3</v>
      </c>
      <c r="R251" s="30"/>
      <c r="S251" s="41">
        <f t="shared" ref="S251" ca="1" si="331">+S250+O251-P251</f>
        <v>1167982.5999999999</v>
      </c>
      <c r="T251">
        <v>2372114</v>
      </c>
      <c r="U251" s="20">
        <f t="shared" si="325"/>
        <v>4267769.5816949159</v>
      </c>
      <c r="W251" s="4">
        <f t="shared" ref="W251" si="332">(U251-V251)/(U250)-1</f>
        <v>-1.7720673120782404E-3</v>
      </c>
      <c r="X251" s="20">
        <f t="shared" ref="X251" si="333">(U251-V251)-(U250)</f>
        <v>-7576.2005084743723</v>
      </c>
      <c r="Y251" s="17" t="s">
        <v>5040</v>
      </c>
      <c r="Z251" s="30">
        <f t="shared" si="176"/>
        <v>1.1873077354641395</v>
      </c>
    </row>
    <row r="252" spans="1:26" ht="27" x14ac:dyDescent="0.15">
      <c r="A252" s="1">
        <v>43048</v>
      </c>
      <c r="B252">
        <f t="shared" si="132"/>
        <v>4</v>
      </c>
      <c r="C252" s="30">
        <v>0</v>
      </c>
      <c r="D252" s="20">
        <v>2269068.88</v>
      </c>
      <c r="E252" s="20">
        <f t="shared" si="295"/>
        <v>2269068.88</v>
      </c>
      <c r="F252" s="4">
        <f t="shared" si="296"/>
        <v>5.1230928778014384E-3</v>
      </c>
      <c r="G252">
        <v>1944.73</v>
      </c>
      <c r="H252" s="30">
        <v>1944.73</v>
      </c>
      <c r="I252">
        <v>0</v>
      </c>
      <c r="J252">
        <v>9552.0499999999993</v>
      </c>
      <c r="K252" s="30">
        <f>900*2.915/36.5+2.911*67/36.5-8.6</f>
        <v>68.620191780821926</v>
      </c>
      <c r="L252" s="18">
        <f>G252+J252+K252</f>
        <v>11565.40019178082</v>
      </c>
      <c r="M252" s="37">
        <f>+E252-E251</f>
        <v>11565.399999999907</v>
      </c>
      <c r="N252" s="17" t="s">
        <v>5042</v>
      </c>
      <c r="O252" s="41">
        <f ca="1">SUMIFS(Stock!$O:$O,Stock!$A:$A,'Asset Line A share'!$A252,Stock!$I:$I,O$2)</f>
        <v>83737</v>
      </c>
      <c r="P252" s="41">
        <f ca="1">SUMIFS(Stock!$O:$O,Stock!$A:$A,'Asset Line A share'!$A252,Stock!$I:$I,P$2)</f>
        <v>0</v>
      </c>
      <c r="Q252" s="40">
        <f t="shared" ca="1" si="137"/>
        <v>2.3224261676439328E-2</v>
      </c>
      <c r="R252" s="30"/>
      <c r="S252" s="41">
        <f t="shared" ref="S252" ca="1" si="334">+S251+O252-P252</f>
        <v>1251719.5999999999</v>
      </c>
      <c r="T252" s="30">
        <v>2379417</v>
      </c>
      <c r="U252" s="20">
        <f>T252/1.18+E252</f>
        <v>4285523.9647457628</v>
      </c>
      <c r="W252" s="4">
        <f t="shared" ref="W252" si="335">(U252-V252)/(U251)-1</f>
        <v>4.1601081574313969E-3</v>
      </c>
      <c r="X252" s="20">
        <f t="shared" ref="X252" si="336">(U252-V252)-(U251)</f>
        <v>17754.383050846867</v>
      </c>
      <c r="Y252" s="17" t="s">
        <v>5041</v>
      </c>
      <c r="Z252" s="30">
        <f t="shared" si="176"/>
        <v>1.1922470640598253</v>
      </c>
    </row>
    <row r="253" spans="1:26" ht="54" x14ac:dyDescent="0.15">
      <c r="A253" s="1">
        <v>43049</v>
      </c>
      <c r="B253">
        <f t="shared" si="132"/>
        <v>5</v>
      </c>
      <c r="C253" s="30">
        <v>0</v>
      </c>
      <c r="D253" s="20">
        <v>2290952.65</v>
      </c>
      <c r="E253" s="20">
        <f t="shared" si="295"/>
        <v>2290952.65</v>
      </c>
      <c r="F253" s="4">
        <f t="shared" si="296"/>
        <v>9.6443832943493568E-3</v>
      </c>
      <c r="G253">
        <v>-130.47</v>
      </c>
      <c r="H253" s="30">
        <v>-130.47</v>
      </c>
      <c r="I253">
        <v>0</v>
      </c>
      <c r="J253">
        <v>21802.15</v>
      </c>
      <c r="K253" s="30">
        <f>3*(3.25*300/36.5+3.03*500/36.5+3.252*60/36.5)-8.61</f>
        <v>212.08479452054792</v>
      </c>
      <c r="L253" s="18">
        <f>G253+J253+K253</f>
        <v>21883.76479452055</v>
      </c>
      <c r="M253" s="37">
        <f>+E253-E252</f>
        <v>21883.770000000019</v>
      </c>
      <c r="N253" s="17" t="s">
        <v>5044</v>
      </c>
      <c r="O253" s="41">
        <f ca="1">SUMIFS(Stock!$O:$O,Stock!$A:$A,'Asset Line A share'!$A253,Stock!$I:$I,O$2)</f>
        <v>23400</v>
      </c>
      <c r="P253" s="41">
        <f ca="1">SUMIFS(Stock!$O:$O,Stock!$A:$A,'Asset Line A share'!$A253,Stock!$I:$I,P$2)</f>
        <v>0</v>
      </c>
      <c r="Q253" s="40">
        <f t="shared" ref="Q253" ca="1" si="337">IF(O253&lt;&gt;0,+H253/O253,"")</f>
        <v>-5.5756410256410259E-3</v>
      </c>
      <c r="R253" s="30"/>
      <c r="S253" s="41">
        <f t="shared" ref="S253" ca="1" si="338">+S252+O253-P253</f>
        <v>1275119.5999999999</v>
      </c>
      <c r="T253" s="30">
        <v>2386292</v>
      </c>
      <c r="U253" s="20">
        <f>T253/1.18+E253</f>
        <v>4313234.0059322035</v>
      </c>
      <c r="W253" s="4">
        <f t="shared" ref="W253" si="339">(U253-V253)/(U252)-1</f>
        <v>6.4659634188009019E-3</v>
      </c>
      <c r="X253" s="20">
        <f t="shared" ref="X253" si="340">(U253-V253)-(U252)</f>
        <v>27710.041186440736</v>
      </c>
      <c r="Y253" s="17" t="s">
        <v>5043</v>
      </c>
      <c r="Z253" s="30">
        <f t="shared" ref="Z253" si="341">Z252*(1+W253)</f>
        <v>1.1999560899622088</v>
      </c>
    </row>
    <row r="254" spans="1:26" x14ac:dyDescent="0.15">
      <c r="A254" s="1">
        <v>43052</v>
      </c>
      <c r="B254">
        <f t="shared" si="132"/>
        <v>1</v>
      </c>
      <c r="K254" s="30">
        <f>3.47*500/36.5+3.455*300/36.5+3.391*61/36.5</f>
        <v>81.59865753424657</v>
      </c>
      <c r="M254" s="2"/>
      <c r="W254" s="4"/>
    </row>
    <row r="255" spans="1:26" x14ac:dyDescent="0.15">
      <c r="A255" s="1">
        <v>43053</v>
      </c>
      <c r="B255">
        <f t="shared" si="132"/>
        <v>2</v>
      </c>
      <c r="W255" s="69"/>
    </row>
    <row r="256" spans="1:26" x14ac:dyDescent="0.15">
      <c r="A256" s="1">
        <v>43054</v>
      </c>
      <c r="B256">
        <f t="shared" si="132"/>
        <v>3</v>
      </c>
    </row>
    <row r="257" spans="1:2" x14ac:dyDescent="0.15">
      <c r="A257" s="1">
        <v>43055</v>
      </c>
      <c r="B257">
        <f t="shared" si="132"/>
        <v>4</v>
      </c>
    </row>
    <row r="258" spans="1:2" x14ac:dyDescent="0.15">
      <c r="A258" s="1">
        <v>43056</v>
      </c>
      <c r="B258">
        <f t="shared" si="132"/>
        <v>5</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filterMode="1"/>
  <dimension ref="A1:XFB2262"/>
  <sheetViews>
    <sheetView showGridLines="0" tabSelected="1" zoomScaleNormal="100" workbookViewId="0">
      <pane xSplit="1" ySplit="2" topLeftCell="B3" activePane="bottomRight" state="frozen"/>
      <selection pane="topRight" activeCell="B1" sqref="B1"/>
      <selection pane="bottomLeft" activeCell="A3" sqref="A3"/>
      <selection pane="bottomRight" activeCell="N2267" sqref="N2267"/>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43049.960044328705</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hidden="1"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hidden="1"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41.3</v>
      </c>
      <c r="V4" s="31">
        <f>IF(ISNA(VLOOKUP(LOWER(F4)&amp;H4,Prices!A:C,2,0)),0,VLOOKUP(LOWER(F4)&amp;H4,Prices!A:C,2,0))</f>
        <v>42.53</v>
      </c>
      <c r="W4" s="31">
        <f>IF(I4="B",(V4+T4)*K4,(V4+T4)*K4)</f>
        <v>3557</v>
      </c>
      <c r="X4" s="31">
        <f>K4*(V4-U4)</f>
        <v>246.0000000000008</v>
      </c>
      <c r="Y4" s="42">
        <f>W4/O4</f>
        <v>0.71945792880258896</v>
      </c>
      <c r="Z4" s="48" t="s">
        <v>1329</v>
      </c>
      <c r="AA4" s="36">
        <f>W4+W11+W14</f>
        <v>-51.534899999991467</v>
      </c>
    </row>
    <row r="5" spans="1:27" hidden="1"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71.150000000000006</v>
      </c>
      <c r="V5" s="31">
        <f>IF(ISNA(VLOOKUP(LOWER(F5)&amp;H5,Prices!A:C,2,0)),0,VLOOKUP(LOWER(F5)&amp;H5,Prices!A:C,2,0))</f>
        <v>74.599999999999994</v>
      </c>
      <c r="W5" s="31">
        <f>IF(I5="B",(V5+T5)*K5,(V5+T5)*K5)</f>
        <v>4001.9999999999995</v>
      </c>
      <c r="X5" s="31">
        <f t="shared" ref="X5:X68" si="7">K5*(V5-U5)</f>
        <v>344.99999999999886</v>
      </c>
      <c r="Y5" s="42">
        <f t="shared" ref="Y5:Y68" si="8">W5/O5</f>
        <v>1.1589921807124239</v>
      </c>
      <c r="Z5" s="48" t="s">
        <v>1329</v>
      </c>
      <c r="AA5" s="35">
        <f>W5+W6</f>
        <v>32.500000000000455</v>
      </c>
    </row>
    <row r="6" spans="1:27" hidden="1"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71.150000000000006</v>
      </c>
      <c r="V6" s="31">
        <f>IF(ISNA(VLOOKUP(LOWER(F6)&amp;H6,Prices!A:C,2,0)),0,VLOOKUP(LOWER(F6)&amp;H6,Prices!A:C,2,0))</f>
        <v>74.599999999999994</v>
      </c>
      <c r="W6" s="31">
        <f t="shared" ref="W6:W13" si="9">IF(I6="B",(V6+T6)*K6,(V6+T6)*K6)</f>
        <v>-3969.4999999999991</v>
      </c>
      <c r="X6" s="31">
        <f t="shared" si="7"/>
        <v>-344.99999999999886</v>
      </c>
      <c r="Y6" s="42">
        <f t="shared" si="8"/>
        <v>-1.1344669905687337</v>
      </c>
      <c r="Z6" s="48" t="s">
        <v>1329</v>
      </c>
      <c r="AA6" s="35" t="s">
        <v>1121</v>
      </c>
    </row>
    <row r="7" spans="1:27" hidden="1"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20.329999999999998</v>
      </c>
      <c r="V7" s="31">
        <f>IF(ISNA(VLOOKUP(LOWER(F7)&amp;H7,Prices!A:C,2,0)),0,VLOOKUP(LOWER(F7)&amp;H7,Prices!A:C,2,0))</f>
        <v>20.27</v>
      </c>
      <c r="W7" s="31">
        <f t="shared" si="9"/>
        <v>-473.52999999999668</v>
      </c>
      <c r="X7" s="31">
        <f t="shared" si="7"/>
        <v>-119.99999999999744</v>
      </c>
      <c r="Y7" s="42">
        <f>W7/O7</f>
        <v>-1.154951219512187E-2</v>
      </c>
      <c r="Z7" s="48" t="s">
        <v>1329</v>
      </c>
      <c r="AA7" s="35">
        <f>W7+W8</f>
        <v>571.08880000000534</v>
      </c>
    </row>
    <row r="8" spans="1:27" hidden="1"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20.329999999999998</v>
      </c>
      <c r="V8" s="31">
        <f>IF(ISNA(VLOOKUP(LOWER(F8)&amp;H8,Prices!A:C,2,0)),0,VLOOKUP(LOWER(F8)&amp;H8,Prices!A:C,2,0))</f>
        <v>20.27</v>
      </c>
      <c r="W8" s="34">
        <f t="shared" si="9"/>
        <v>1044.618800000002</v>
      </c>
      <c r="X8" s="34">
        <f t="shared" si="7"/>
        <v>119.99999999999744</v>
      </c>
      <c r="Y8" s="42">
        <f t="shared" si="8"/>
        <v>2.5086906820365081E-2</v>
      </c>
      <c r="Z8" s="48" t="s">
        <v>1329</v>
      </c>
      <c r="AA8" s="35" t="s">
        <v>1121</v>
      </c>
    </row>
    <row r="9" spans="1:27" hidden="1"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650.07000000000005</v>
      </c>
      <c r="V9" s="31">
        <f>IF(ISNA(VLOOKUP(LOWER(F9)&amp;H9,Prices!A:C,2,0)),0,VLOOKUP(LOWER(F9)&amp;H9,Prices!A:C,2,0))</f>
        <v>677.95</v>
      </c>
      <c r="W9" s="34">
        <f t="shared" si="9"/>
        <v>36303.611270000001</v>
      </c>
      <c r="X9" s="34">
        <f t="shared" si="7"/>
        <v>2787.9999999999995</v>
      </c>
      <c r="Y9" s="42">
        <f t="shared" si="8"/>
        <v>1.1531911715002701</v>
      </c>
      <c r="Z9" s="48" t="s">
        <v>1329</v>
      </c>
      <c r="AA9" s="35">
        <f>W9+W13</f>
        <v>60.071469999995315</v>
      </c>
    </row>
    <row r="10" spans="1:27" hidden="1"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31.44</v>
      </c>
      <c r="V10" s="31">
        <f>IF(ISNA(VLOOKUP(LOWER(F10)&amp;H10,Prices!A:C,2,0)),0,VLOOKUP(LOWER(F10)&amp;H10,Prices!A:C,2,0))</f>
        <v>32.450000000000003</v>
      </c>
      <c r="W10" s="34">
        <f t="shared" si="9"/>
        <v>15490.911870000005</v>
      </c>
      <c r="X10" s="34">
        <f t="shared" si="7"/>
        <v>1717.0000000000027</v>
      </c>
      <c r="Y10" s="42">
        <f t="shared" si="8"/>
        <v>0.39058298756965293</v>
      </c>
      <c r="Z10" s="48" t="s">
        <v>1329</v>
      </c>
      <c r="AA10" s="35">
        <f>W10+W12</f>
        <v>244.14912999999979</v>
      </c>
    </row>
    <row r="11" spans="1:27" hidden="1"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41.3</v>
      </c>
      <c r="V11" s="31">
        <f>IF(ISNA(VLOOKUP(LOWER(F11)&amp;H11,Prices!A:C,2,0)),0,VLOOKUP(LOWER(F11)&amp;H11,Prices!A:C,2,0))</f>
        <v>42.53</v>
      </c>
      <c r="W11" s="34">
        <f t="shared" si="9"/>
        <v>26973.588900000006</v>
      </c>
      <c r="X11" s="34">
        <f t="shared" si="7"/>
        <v>1845.0000000000059</v>
      </c>
      <c r="Y11" s="42">
        <f t="shared" si="8"/>
        <v>0.73277883455582737</v>
      </c>
      <c r="Z11" s="48" t="s">
        <v>1329</v>
      </c>
      <c r="AA11" s="35" t="s">
        <v>1121</v>
      </c>
    </row>
    <row r="12" spans="1:27" hidden="1"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31.44</v>
      </c>
      <c r="V12" s="13">
        <f>IF(ISNA(VLOOKUP(LOWER(F12)&amp;H12,Prices!A:C,2,0)),0,VLOOKUP(LOWER(F12)&amp;H12,Prices!A:C,2,0))</f>
        <v>32.450000000000003</v>
      </c>
      <c r="W12" s="19">
        <f t="shared" si="9"/>
        <v>-15246.762740000006</v>
      </c>
      <c r="X12" s="19">
        <f t="shared" si="7"/>
        <v>-1717.0000000000027</v>
      </c>
      <c r="Y12" s="43">
        <f t="shared" si="8"/>
        <v>-0.38148379262891902</v>
      </c>
      <c r="Z12" s="49" t="s">
        <v>1094</v>
      </c>
      <c r="AA12" s="27" t="s">
        <v>1121</v>
      </c>
    </row>
    <row r="13" spans="1:27" hidden="1"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650.07000000000005</v>
      </c>
      <c r="V13" s="13">
        <f>IF(ISNA(VLOOKUP(LOWER(F13)&amp;H13,Prices!A:C,2,0)),0,VLOOKUP(LOWER(F13)&amp;H13,Prices!A:C,2,0))</f>
        <v>677.95</v>
      </c>
      <c r="W13" s="19">
        <f t="shared" si="9"/>
        <v>-36243.539800000006</v>
      </c>
      <c r="X13" s="19">
        <f t="shared" si="7"/>
        <v>-2787.9999999999995</v>
      </c>
      <c r="Y13" s="43">
        <f t="shared" si="8"/>
        <v>-1.1473105349794241</v>
      </c>
      <c r="Z13" s="49"/>
      <c r="AA13" s="27" t="s">
        <v>1121</v>
      </c>
    </row>
    <row r="14" spans="1:27" hidden="1"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41.3</v>
      </c>
      <c r="V14" s="13">
        <f>IF(ISNA(VLOOKUP(LOWER(F14)&amp;H14,Prices!A:C,2,0)),0,VLOOKUP(LOWER(F14)&amp;H14,Prices!A:C,2,0))</f>
        <v>42.53</v>
      </c>
      <c r="W14" s="19">
        <f t="shared" ref="W14:W21" si="12">IF(I14="B",(V14+T14)*K14,(V14+T14)*K14)</f>
        <v>-30582.123799999998</v>
      </c>
      <c r="X14" s="19">
        <f t="shared" si="7"/>
        <v>-2091.0000000000068</v>
      </c>
      <c r="Y14" s="43">
        <f t="shared" si="8"/>
        <v>-0.7321727549139313</v>
      </c>
      <c r="Z14" s="49"/>
      <c r="AA14" s="27" t="s">
        <v>1121</v>
      </c>
    </row>
    <row r="15" spans="1:27" hidden="1"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33.880000000000003</v>
      </c>
      <c r="V15" s="13">
        <f>IF(ISNA(VLOOKUP(LOWER(F15)&amp;H15,Prices!A:C,2,0)),0,VLOOKUP(LOWER(F15)&amp;H15,Prices!A:C,2,0))</f>
        <v>35.01</v>
      </c>
      <c r="W15" s="19">
        <f t="shared" si="12"/>
        <v>-2234.0000000000005</v>
      </c>
      <c r="X15" s="19">
        <f t="shared" si="7"/>
        <v>112.99999999999955</v>
      </c>
      <c r="Y15" s="43">
        <f t="shared" si="8"/>
        <v>-0.38987783595113445</v>
      </c>
      <c r="Z15" s="50"/>
      <c r="AA15" s="27">
        <f>W15+W16</f>
        <v>134.11999999999989</v>
      </c>
    </row>
    <row r="16" spans="1:27" hidden="1"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33.880000000000003</v>
      </c>
      <c r="V16" s="13">
        <f>IF(ISNA(VLOOKUP(LOWER(F16)&amp;H16,Prices!A:C,2,0)),0,VLOOKUP(LOWER(F16)&amp;H16,Prices!A:C,2,0))</f>
        <v>35.01</v>
      </c>
      <c r="W16" s="19">
        <f t="shared" si="12"/>
        <v>2368.1200000000003</v>
      </c>
      <c r="X16" s="19">
        <f t="shared" si="7"/>
        <v>-112.99999999999955</v>
      </c>
      <c r="Y16" s="43">
        <f t="shared" si="8"/>
        <v>0.4027414965986395</v>
      </c>
      <c r="Z16" s="50"/>
      <c r="AA16" s="27" t="s">
        <v>1121</v>
      </c>
    </row>
    <row r="17" spans="1:27" hidden="1"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35.21</v>
      </c>
      <c r="V17" s="13">
        <f>IF(ISNA(VLOOKUP(LOWER(F17)&amp;H17,Prices!A:C,2,0)),0,VLOOKUP(LOWER(F17)&amp;H17,Prices!A:C,2,0))</f>
        <v>34.520000000000003</v>
      </c>
      <c r="W17" s="19">
        <f t="shared" si="12"/>
        <v>5014.1000000000031</v>
      </c>
      <c r="X17" s="19">
        <f t="shared" si="7"/>
        <v>-689.99999999999773</v>
      </c>
      <c r="Y17" s="43">
        <f t="shared" si="8"/>
        <v>0.16996949152542384</v>
      </c>
      <c r="Z17" s="50"/>
      <c r="AA17" s="27">
        <f>+W17+W21</f>
        <v>-60.276200000000244</v>
      </c>
    </row>
    <row r="18" spans="1:27" hidden="1"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35.64</v>
      </c>
      <c r="V18" s="13">
        <f>IF(ISNA(VLOOKUP(LOWER(F18)&amp;H18,Prices!A:C,2,0)),0,VLOOKUP(LOWER(F18)&amp;H18,Prices!A:C,2,0))</f>
        <v>39.200000000000003</v>
      </c>
      <c r="W18" s="19">
        <f t="shared" si="12"/>
        <v>75950.839200000017</v>
      </c>
      <c r="X18" s="19">
        <f t="shared" si="7"/>
        <v>10680.000000000007</v>
      </c>
      <c r="Y18" s="43">
        <f t="shared" si="8"/>
        <v>1.8239874927953894</v>
      </c>
      <c r="Z18" s="50"/>
      <c r="AA18" s="27">
        <f>W18+W19+W20</f>
        <v>73.223700000009558</v>
      </c>
    </row>
    <row r="19" spans="1:27" hidden="1"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35.64</v>
      </c>
      <c r="V19" s="13">
        <f>IF(ISNA(VLOOKUP(LOWER(F19)&amp;H19,Prices!A:C,2,0)),0,VLOOKUP(LOWER(F19)&amp;H19,Prices!A:C,2,0))</f>
        <v>39.200000000000003</v>
      </c>
      <c r="W19" s="19">
        <f t="shared" si="12"/>
        <v>-37931.317900000002</v>
      </c>
      <c r="X19" s="19">
        <f t="shared" si="7"/>
        <v>-5340.0000000000036</v>
      </c>
      <c r="Y19" s="43">
        <f t="shared" si="8"/>
        <v>-1.8153298827470687</v>
      </c>
      <c r="Z19" s="50"/>
      <c r="AA19" s="27" t="s">
        <v>1121</v>
      </c>
    </row>
    <row r="20" spans="1:27" hidden="1"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35.64</v>
      </c>
      <c r="V20" s="13">
        <f>IF(ISNA(VLOOKUP(LOWER(F20)&amp;H20,Prices!A:C,2,0)),0,VLOOKUP(LOWER(F20)&amp;H20,Prices!A:C,2,0))</f>
        <v>39.200000000000003</v>
      </c>
      <c r="W20" s="19">
        <f t="shared" si="12"/>
        <v>-37946.297600000005</v>
      </c>
      <c r="X20" s="19">
        <f t="shared" si="7"/>
        <v>-5340.0000000000036</v>
      </c>
      <c r="Y20" s="43">
        <f t="shared" si="8"/>
        <v>-1.8173514176245213</v>
      </c>
      <c r="Z20" s="50"/>
      <c r="AA20" s="27" t="s">
        <v>1121</v>
      </c>
    </row>
    <row r="21" spans="1:27" hidden="1"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35.21</v>
      </c>
      <c r="V21" s="13">
        <f>IF(ISNA(VLOOKUP(LOWER(F21)&amp;H21,Prices!A:C,2,0)),0,VLOOKUP(LOWER(F21)&amp;H21,Prices!A:C,2,0))</f>
        <v>34.520000000000003</v>
      </c>
      <c r="W21" s="19">
        <f t="shared" si="12"/>
        <v>-5074.3762000000033</v>
      </c>
      <c r="X21" s="19">
        <f t="shared" si="7"/>
        <v>689.99999999999773</v>
      </c>
      <c r="Y21" s="43">
        <f t="shared" si="8"/>
        <v>-0.17212361181778105</v>
      </c>
      <c r="Z21" s="50"/>
      <c r="AA21" s="27" t="s">
        <v>1121</v>
      </c>
    </row>
    <row r="22" spans="1:27" hidden="1"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30.21</v>
      </c>
      <c r="V22" s="13">
        <f>IF(ISNA(VLOOKUP(LOWER(F22)&amp;H22,Prices!A:C,2,0)),0,VLOOKUP(LOWER(F22)&amp;H22,Prices!A:C,2,0))</f>
        <v>29.99</v>
      </c>
      <c r="W22" s="19">
        <f>IF(I22="B",(V22+T22)*K22,(V22+T22)*K22)</f>
        <v>-13099.477599999997</v>
      </c>
      <c r="X22" s="19">
        <f t="shared" si="7"/>
        <v>-220.00000000000242</v>
      </c>
      <c r="Y22" s="43">
        <f t="shared" si="8"/>
        <v>-0.30407329619312901</v>
      </c>
      <c r="Z22" s="50"/>
      <c r="AA22" s="27" t="s">
        <v>1131</v>
      </c>
    </row>
    <row r="23" spans="1:27" ht="54" hidden="1"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650.07000000000005</v>
      </c>
      <c r="V23" s="13">
        <f>IF(ISNA(VLOOKUP(LOWER(F23)&amp;H23,Prices!A:C,2,0)),0,VLOOKUP(LOWER(F23)&amp;H23,Prices!A:C,2,0))</f>
        <v>677.95</v>
      </c>
      <c r="W23" s="19">
        <f>IF(I23="B",(V23+T23)*K23,(V23+T23)*K23)</f>
        <v>36333.079900000004</v>
      </c>
      <c r="X23" s="19">
        <f t="shared" si="7"/>
        <v>2787.9999999999995</v>
      </c>
      <c r="Y23" s="43">
        <f t="shared" si="8"/>
        <v>1.155081223970752</v>
      </c>
      <c r="Z23" s="50" t="s">
        <v>1238</v>
      </c>
      <c r="AA23" s="27" t="s">
        <v>1131</v>
      </c>
    </row>
    <row r="24" spans="1:27" hidden="1"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23.9</v>
      </c>
      <c r="V24" s="13">
        <f>IF(ISNA(VLOOKUP(LOWER(F24)&amp;H24,Prices!A:C,2,0)),0,VLOOKUP(LOWER(F24)&amp;H24,Prices!A:C,2,0))</f>
        <v>24.41</v>
      </c>
      <c r="W24" s="19">
        <f t="shared" ref="W24:W32" si="18">IF(I24="B",(V24+T24)*K24,(V24+T24)*K24)</f>
        <v>-14427.766000000001</v>
      </c>
      <c r="X24" s="19">
        <f t="shared" si="7"/>
        <v>510.00000000000159</v>
      </c>
      <c r="Y24" s="43">
        <f t="shared" si="8"/>
        <v>-0.3715623486994592</v>
      </c>
      <c r="Z24" s="50"/>
      <c r="AA24" s="27">
        <f>+W24+W33+W52+W55</f>
        <v>560.83600000000115</v>
      </c>
    </row>
    <row r="25" spans="1:27" hidden="1"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30.66</v>
      </c>
      <c r="V25" s="13">
        <f>IF(ISNA(VLOOKUP(LOWER(F25)&amp;H25,Prices!A:C,2,0)),0,VLOOKUP(LOWER(F25)&amp;H25,Prices!A:C,2,0))</f>
        <v>30.27</v>
      </c>
      <c r="W25" s="19">
        <f>IF(I25="B",(V25+T25)*K25,(V25+T25)*K25)</f>
        <v>-19953.715199999995</v>
      </c>
      <c r="X25" s="19">
        <f t="shared" si="7"/>
        <v>-312.00000000000045</v>
      </c>
      <c r="Y25" s="43">
        <f t="shared" si="8"/>
        <v>-0.45185043478260861</v>
      </c>
      <c r="Z25" s="50"/>
      <c r="AA25" s="27" t="s">
        <v>1131</v>
      </c>
    </row>
    <row r="26" spans="1:27" hidden="1"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14.53</v>
      </c>
      <c r="V26" s="13">
        <f>IF(ISNA(VLOOKUP(LOWER(F26)&amp;H26,Prices!A:C,2,0)),0,VLOOKUP(LOWER(F26)&amp;H26,Prices!A:C,2,0))</f>
        <v>14.26</v>
      </c>
      <c r="W26" s="19">
        <f t="shared" si="18"/>
        <v>-19261.314019999998</v>
      </c>
      <c r="X26" s="19">
        <f t="shared" si="7"/>
        <v>-350.99999999999943</v>
      </c>
      <c r="Y26" s="43">
        <f t="shared" si="8"/>
        <v>-0.50967992432060538</v>
      </c>
      <c r="Z26" s="50"/>
      <c r="AA26" s="27">
        <f>+W26+W39</f>
        <v>2113.9343399999998</v>
      </c>
    </row>
    <row r="27" spans="1:27" hidden="1"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33.880000000000003</v>
      </c>
      <c r="V27" s="13">
        <f>IF(ISNA(VLOOKUP(LOWER(F27)&amp;H27,Prices!A:C,2,0)),0,VLOOKUP(LOWER(F27)&amp;H27,Prices!A:C,2,0))</f>
        <v>35.01</v>
      </c>
      <c r="W27" s="19">
        <f>IF(I27="B",(V27+T27)*K27,(V27+T27)*K27)</f>
        <v>-21313.162200000002</v>
      </c>
      <c r="X27" s="19">
        <f t="shared" si="7"/>
        <v>790.99999999999682</v>
      </c>
      <c r="Y27" s="43">
        <f t="shared" si="8"/>
        <v>-0.4652411473226955</v>
      </c>
      <c r="Z27" s="50"/>
      <c r="AA27" s="27" t="s">
        <v>1131</v>
      </c>
    </row>
    <row r="28" spans="1:27" ht="40.5" hidden="1"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54.77</v>
      </c>
      <c r="V28" s="13">
        <f>IF(ISNA(VLOOKUP(LOWER(F28)&amp;H28,Prices!A:C,2,0)),0,VLOOKUP(LOWER(F28)&amp;H28,Prices!A:C,2,0))</f>
        <v>54.57</v>
      </c>
      <c r="W28" s="19">
        <f t="shared" si="18"/>
        <v>-8349.0380400000013</v>
      </c>
      <c r="X28" s="19">
        <f t="shared" si="7"/>
        <v>-120.00000000000171</v>
      </c>
      <c r="Y28" s="43">
        <f t="shared" si="8"/>
        <v>-0.20322861691251645</v>
      </c>
      <c r="Z28" s="50" t="s">
        <v>1234</v>
      </c>
      <c r="AA28" s="27" t="s">
        <v>1131</v>
      </c>
    </row>
    <row r="29" spans="1:27" hidden="1"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67.11</v>
      </c>
      <c r="V29" s="13">
        <f>IF(ISNA(VLOOKUP(LOWER(F29)&amp;H29,Prices!A:C,2,0)),0,VLOOKUP(LOWER(F29)&amp;H29,Prices!A:C,2,0))</f>
        <v>68.489999999999995</v>
      </c>
      <c r="W29" s="19">
        <f t="shared" si="18"/>
        <v>24172.999999999993</v>
      </c>
      <c r="X29" s="19">
        <f t="shared" si="7"/>
        <v>965.99999999999682</v>
      </c>
      <c r="Y29" s="43">
        <f t="shared" si="8"/>
        <v>1.0171681043551437</v>
      </c>
      <c r="Z29" s="50"/>
      <c r="AA29" s="27">
        <f>+W29+W46</f>
        <v>148.04999999999563</v>
      </c>
    </row>
    <row r="30" spans="1:27" hidden="1"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47.73</v>
      </c>
      <c r="V30" s="13">
        <f>IF(ISNA(VLOOKUP(LOWER(F30)&amp;H30,Prices!A:C,2,0)),0,VLOOKUP(LOWER(F30)&amp;H30,Prices!A:C,2,0))</f>
        <v>49.16</v>
      </c>
      <c r="W30" s="19">
        <f>IF(I30="B",(V30+T30)*K30,(V30+T30)*K30)</f>
        <v>545.55101999999636</v>
      </c>
      <c r="X30" s="19">
        <f t="shared" si="7"/>
        <v>1000.9999999999998</v>
      </c>
      <c r="Y30" s="43">
        <f t="shared" si="8"/>
        <v>1.6112437461236195E-2</v>
      </c>
      <c r="Z30" s="50"/>
      <c r="AA30" s="27">
        <f>+W30+W47</f>
        <v>77.084320000003686</v>
      </c>
    </row>
    <row r="31" spans="1:27" hidden="1"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33.049999999999997</v>
      </c>
      <c r="V31" s="13">
        <f>IF(ISNA(VLOOKUP(LOWER(F31)&amp;H31,Prices!A:C,2,0)),0,VLOOKUP(LOWER(F31)&amp;H31,Prices!A:C,2,0))</f>
        <v>32.56</v>
      </c>
      <c r="W31" s="19">
        <f t="shared" si="18"/>
        <v>-1895.889799999992</v>
      </c>
      <c r="X31" s="19">
        <f t="shared" si="7"/>
        <v>-489.99999999999488</v>
      </c>
      <c r="Y31" s="43">
        <f t="shared" si="8"/>
        <v>-5.5034683154808327E-2</v>
      </c>
      <c r="Z31" s="50"/>
      <c r="AA31" s="27">
        <f>+W31+W48</f>
        <v>681.89420000000223</v>
      </c>
    </row>
    <row r="32" spans="1:27" hidden="1"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41.35</v>
      </c>
      <c r="V32" s="13">
        <f>IF(ISNA(VLOOKUP(LOWER(F32)&amp;H32,Prices!A:C,2,0)),0,VLOOKUP(LOWER(F32)&amp;H32,Prices!A:C,2,0))</f>
        <v>42.03</v>
      </c>
      <c r="W32" s="19">
        <f t="shared" si="18"/>
        <v>7043.0040000000035</v>
      </c>
      <c r="X32" s="19">
        <f t="shared" si="7"/>
        <v>679.99999999999977</v>
      </c>
      <c r="Y32" s="43">
        <f t="shared" si="8"/>
        <v>0.20134373927958843</v>
      </c>
      <c r="Z32" s="50"/>
      <c r="AA32" s="27">
        <f>+W32+W43</f>
        <v>550.3080000000009</v>
      </c>
    </row>
    <row r="33" spans="1:27" hidden="1"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23.9</v>
      </c>
      <c r="V33" s="13">
        <f>IF(ISNA(VLOOKUP(LOWER(F33)&amp;H33,Prices!A:C,2,0)),0,VLOOKUP(LOWER(F33)&amp;H33,Prices!A:C,2,0))</f>
        <v>24.41</v>
      </c>
      <c r="W33" s="19">
        <f>IF(I33="B",(V33+T33)*K33,(V33+T33)*K33)</f>
        <v>-14167.714</v>
      </c>
      <c r="X33" s="19">
        <f t="shared" si="7"/>
        <v>510.00000000000159</v>
      </c>
      <c r="Y33" s="43">
        <f t="shared" si="8"/>
        <v>-0.36732470832253045</v>
      </c>
      <c r="Z33" s="50"/>
      <c r="AA33" s="27"/>
    </row>
    <row r="34" spans="1:27" hidden="1"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14.57</v>
      </c>
      <c r="V34" s="13">
        <f>IF(ISNA(VLOOKUP(LOWER(F34)&amp;H34,Prices!A:C,2,0)),0,VLOOKUP(LOWER(F34)&amp;H34,Prices!A:C,2,0))</f>
        <v>14.54</v>
      </c>
      <c r="W34" s="19">
        <f t="shared" ref="W34:W46" si="19">IF(I34="B",(V34+T34)*K34,(V34+T34)*K34)</f>
        <v>-11935.294000000002</v>
      </c>
      <c r="X34" s="19">
        <f t="shared" si="7"/>
        <v>-30.000000000001137</v>
      </c>
      <c r="Y34" s="43">
        <f t="shared" si="8"/>
        <v>-0.45089890442009828</v>
      </c>
      <c r="Z34" s="49"/>
      <c r="AA34" s="27">
        <f>+W34+W49</f>
        <v>422.39000000000124</v>
      </c>
    </row>
    <row r="35" spans="1:27" hidden="1"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49.04</v>
      </c>
      <c r="V35" s="13">
        <f>IF(ISNA(VLOOKUP(LOWER(F35)&amp;H35,Prices!A:C,2,0)),0,VLOOKUP(LOWER(F35)&amp;H35,Prices!A:C,2,0))</f>
        <v>50</v>
      </c>
      <c r="W35" s="19">
        <f t="shared" si="19"/>
        <v>9052.8116000000027</v>
      </c>
      <c r="X35" s="19">
        <f t="shared" si="7"/>
        <v>672.00000000000057</v>
      </c>
      <c r="Y35" s="43">
        <f t="shared" si="8"/>
        <v>0.34896351861845665</v>
      </c>
      <c r="Z35" s="49"/>
      <c r="AA35" s="27">
        <f>+W35+W57</f>
        <v>201.39560000000165</v>
      </c>
    </row>
    <row r="36" spans="1:27" hidden="1"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52.6</v>
      </c>
      <c r="V36" s="13">
        <f>IF(ISNA(VLOOKUP(LOWER(F36)&amp;H36,Prices!A:C,2,0)),0,VLOOKUP(LOWER(F36)&amp;H36,Prices!A:C,2,0))</f>
        <v>53.4</v>
      </c>
      <c r="W36" s="19">
        <f t="shared" si="19"/>
        <v>26474.616000000002</v>
      </c>
      <c r="X36" s="19">
        <f t="shared" si="7"/>
        <v>799.99999999999716</v>
      </c>
      <c r="Y36" s="43">
        <f t="shared" si="8"/>
        <v>0.98345527488855877</v>
      </c>
      <c r="Z36" s="49"/>
      <c r="AA36" s="27"/>
    </row>
    <row r="37" spans="1:27" hidden="1"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114.93</v>
      </c>
      <c r="V37" s="13">
        <f>IF(ISNA(VLOOKUP(LOWER(F37)&amp;H37,Prices!A:C,2,0)),0,VLOOKUP(LOWER(F37)&amp;H37,Prices!A:C,2,0))</f>
        <v>110.57</v>
      </c>
      <c r="W37" s="19">
        <f t="shared" si="19"/>
        <v>-6886.3786800000016</v>
      </c>
      <c r="X37" s="19">
        <f t="shared" si="7"/>
        <v>-872.00000000000273</v>
      </c>
      <c r="Y37" s="43">
        <f t="shared" si="8"/>
        <v>-0.23751047389114996</v>
      </c>
      <c r="Z37" s="49"/>
      <c r="AA37" s="27">
        <f>W37+W67+W53</f>
        <v>39.95971999999847</v>
      </c>
    </row>
    <row r="38" spans="1:27" hidden="1"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6.2</v>
      </c>
      <c r="V38" s="13">
        <f>IF(ISNA(VLOOKUP(LOWER(F38)&amp;H38,Prices!A:C,2,0)),0,VLOOKUP(LOWER(F38)&amp;H38,Prices!A:C,2,0))</f>
        <v>6.16</v>
      </c>
      <c r="W38" s="19">
        <f t="shared" si="19"/>
        <v>-3275.4349999999999</v>
      </c>
      <c r="X38" s="19">
        <f t="shared" si="7"/>
        <v>-120.00000000000011</v>
      </c>
      <c r="Y38" s="43">
        <f t="shared" si="8"/>
        <v>-0.15059471264367816</v>
      </c>
      <c r="Z38" s="49"/>
      <c r="AA38" s="27">
        <f>+W38+W51+W56</f>
        <v>277.0536999999988</v>
      </c>
    </row>
    <row r="39" spans="1:27" hidden="1"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14.53</v>
      </c>
      <c r="V39" s="13">
        <f>IF(ISNA(VLOOKUP(LOWER(F39)&amp;H39,Prices!A:C,2,0)),0,VLOOKUP(LOWER(F39)&amp;H39,Prices!A:C,2,0))</f>
        <v>14.26</v>
      </c>
      <c r="W39" s="19">
        <f t="shared" si="19"/>
        <v>21375.248359999998</v>
      </c>
      <c r="X39" s="19">
        <f t="shared" si="7"/>
        <v>350.99999999999943</v>
      </c>
      <c r="Y39" s="43">
        <f t="shared" si="8"/>
        <v>0.53488935388619185</v>
      </c>
      <c r="Z39" s="49"/>
      <c r="AA39" s="27" t="s">
        <v>1162</v>
      </c>
    </row>
    <row r="40" spans="1:27" hidden="1"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15.25</v>
      </c>
      <c r="V40" s="13">
        <f>IF(ISNA(VLOOKUP(LOWER(F40)&amp;H40,Prices!A:C,2,0)),0,VLOOKUP(LOWER(F40)&amp;H40,Prices!A:C,2,0))</f>
        <v>15.12</v>
      </c>
      <c r="W40" s="19">
        <f t="shared" si="19"/>
        <v>-3935.854199999997</v>
      </c>
      <c r="X40" s="19">
        <f t="shared" si="7"/>
        <v>-195.00000000000117</v>
      </c>
      <c r="Y40" s="43">
        <f t="shared" si="8"/>
        <v>-0.14790883878241254</v>
      </c>
      <c r="Z40" s="49"/>
      <c r="AA40" s="27">
        <f>W40+W66</f>
        <v>111.4986000000099</v>
      </c>
    </row>
    <row r="41" spans="1:27" hidden="1"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9.86</v>
      </c>
      <c r="V41" s="13">
        <f>IF(ISNA(VLOOKUP(LOWER(F41)&amp;H41,Prices!A:C,2,0)),0,VLOOKUP(LOWER(F41)&amp;H41,Prices!A:C,2,0))</f>
        <v>9.75</v>
      </c>
      <c r="W41" s="19">
        <f t="shared" si="19"/>
        <v>-3307.1610000000005</v>
      </c>
      <c r="X41" s="19">
        <f t="shared" si="7"/>
        <v>-329.99999999999829</v>
      </c>
      <c r="Y41" s="43">
        <f t="shared" si="8"/>
        <v>-0.10160248847926269</v>
      </c>
      <c r="Z41" s="49"/>
      <c r="AA41" s="27">
        <f>+W41+W65</f>
        <v>492.46919999999864</v>
      </c>
    </row>
    <row r="42" spans="1:27" hidden="1"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25.53</v>
      </c>
      <c r="V42" s="13">
        <f>IF(ISNA(VLOOKUP(LOWER(F42)&amp;H42,Prices!A:C,2,0)),0,VLOOKUP(LOWER(F42)&amp;H42,Prices!A:C,2,0))</f>
        <v>27.28</v>
      </c>
      <c r="W42" s="19">
        <f t="shared" si="19"/>
        <v>22232.889599999999</v>
      </c>
      <c r="X42" s="19">
        <f t="shared" si="7"/>
        <v>3500</v>
      </c>
      <c r="Y42" s="43">
        <f t="shared" si="8"/>
        <v>0.68789881188118807</v>
      </c>
      <c r="Z42" s="49"/>
      <c r="AA42" s="27">
        <f>+W42+W68</f>
        <v>13.386000000002241</v>
      </c>
    </row>
    <row r="43" spans="1:27" hidden="1"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41.35</v>
      </c>
      <c r="V43" s="13">
        <f>IF(ISNA(VLOOKUP(LOWER(F43)&amp;H43,Prices!A:C,2,0)),0,VLOOKUP(LOWER(F43)&amp;H43,Prices!A:C,2,0))</f>
        <v>42.03</v>
      </c>
      <c r="W43" s="19">
        <f t="shared" si="19"/>
        <v>-6492.6960000000026</v>
      </c>
      <c r="X43" s="19">
        <f t="shared" si="7"/>
        <v>-679.99999999999977</v>
      </c>
      <c r="Y43" s="43">
        <f t="shared" si="8"/>
        <v>-0.18248161888701525</v>
      </c>
      <c r="Z43" s="49" t="s">
        <v>1161</v>
      </c>
      <c r="AA43" s="27" t="s">
        <v>1162</v>
      </c>
    </row>
    <row r="44" spans="1:27" hidden="1"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30.26</v>
      </c>
      <c r="V44" s="13">
        <f>IF(ISNA(VLOOKUP(LOWER(F44)&amp;H44,Prices!A:C,2,0)),0,VLOOKUP(LOWER(F44)&amp;H44,Prices!A:C,2,0))</f>
        <v>29.81</v>
      </c>
      <c r="W44" s="19">
        <f t="shared" si="19"/>
        <v>-7436.4708000000001</v>
      </c>
      <c r="X44" s="19">
        <f t="shared" si="7"/>
        <v>-675.00000000000432</v>
      </c>
      <c r="Y44" s="43">
        <f t="shared" si="8"/>
        <v>-0.14262506329113925</v>
      </c>
      <c r="Z44" s="49"/>
      <c r="AA44" s="27"/>
    </row>
    <row r="45" spans="1:27" hidden="1"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19.47</v>
      </c>
      <c r="V45" s="13">
        <f>IF(ISNA(VLOOKUP(LOWER(F45)&amp;H45,Prices!A:C,2,0)),0,VLOOKUP(LOWER(F45)&amp;H45,Prices!A:C,2,0))</f>
        <v>19.46</v>
      </c>
      <c r="W45" s="19">
        <f t="shared" si="19"/>
        <v>267.494500000004</v>
      </c>
      <c r="X45" s="19">
        <f t="shared" si="7"/>
        <v>-12.999999999997414</v>
      </c>
      <c r="Y45" s="43">
        <f t="shared" si="8"/>
        <v>1.0689090909091068E-2</v>
      </c>
      <c r="Z45" s="49" t="s">
        <v>1247</v>
      </c>
      <c r="AA45" s="27"/>
    </row>
    <row r="46" spans="1:27" hidden="1"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67.11</v>
      </c>
      <c r="V46" s="13">
        <f>IF(ISNA(VLOOKUP(LOWER(F46)&amp;H46,Prices!A:C,2,0)),0,VLOOKUP(LOWER(F46)&amp;H46,Prices!A:C,2,0))</f>
        <v>68.489999999999995</v>
      </c>
      <c r="W46" s="19">
        <f t="shared" si="19"/>
        <v>-24024.949999999997</v>
      </c>
      <c r="X46" s="19">
        <f t="shared" si="7"/>
        <v>-965.99999999999682</v>
      </c>
      <c r="Y46" s="43">
        <f t="shared" si="8"/>
        <v>-1.0032551050235936</v>
      </c>
      <c r="Z46" s="49" t="s">
        <v>1161</v>
      </c>
      <c r="AA46" s="27" t="s">
        <v>1162</v>
      </c>
    </row>
    <row r="47" spans="1:27" hidden="1"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47.73</v>
      </c>
      <c r="V47" s="13">
        <f>IF(ISNA(VLOOKUP(LOWER(F47)&amp;H47,Prices!A:C,2,0)),0,VLOOKUP(LOWER(F47)&amp;H47,Prices!A:C,2,0))</f>
        <v>49.16</v>
      </c>
      <c r="W47" s="19">
        <f>IF(I47="B",(V47+T47)*K47,(V47+T47)*K47)</f>
        <v>-468.46669999999267</v>
      </c>
      <c r="X47" s="19">
        <f t="shared" si="7"/>
        <v>-1000.9999999999998</v>
      </c>
      <c r="Y47" s="43">
        <f t="shared" si="8"/>
        <v>-1.3784513756068638E-2</v>
      </c>
      <c r="Z47" s="49" t="s">
        <v>1161</v>
      </c>
      <c r="AA47" s="27" t="s">
        <v>1162</v>
      </c>
    </row>
    <row r="48" spans="1:27" hidden="1"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33.049999999999997</v>
      </c>
      <c r="V48" s="13">
        <f>IF(ISNA(VLOOKUP(LOWER(F48)&amp;H48,Prices!A:C,2,0)),0,VLOOKUP(LOWER(F48)&amp;H48,Prices!A:C,2,0))</f>
        <v>32.56</v>
      </c>
      <c r="W48" s="19">
        <f t="shared" ref="W48:W58" si="20">IF(I48="B",(V48+T48)*K48,(V48+T48)*K48)</f>
        <v>2577.7839999999942</v>
      </c>
      <c r="X48" s="19">
        <f t="shared" si="7"/>
        <v>489.99999999999488</v>
      </c>
      <c r="Y48" s="43">
        <f t="shared" si="8"/>
        <v>7.3274133030130598E-2</v>
      </c>
      <c r="Z48" s="49"/>
      <c r="AA48" s="27"/>
    </row>
    <row r="49" spans="1:27" hidden="1"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14.57</v>
      </c>
      <c r="V49" s="13">
        <f>IF(ISNA(VLOOKUP(LOWER(F49)&amp;H49,Prices!A:C,2,0)),0,VLOOKUP(LOWER(F49)&amp;H49,Prices!A:C,2,0))</f>
        <v>14.54</v>
      </c>
      <c r="W49" s="19">
        <f t="shared" si="20"/>
        <v>12357.684000000003</v>
      </c>
      <c r="X49" s="19">
        <f t="shared" si="7"/>
        <v>30.000000000001137</v>
      </c>
      <c r="Y49" s="43">
        <f t="shared" si="8"/>
        <v>0.45888169327887124</v>
      </c>
      <c r="Z49" s="49"/>
      <c r="AA49" s="27"/>
    </row>
    <row r="50" spans="1:27" hidden="1"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hidden="1"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6.2</v>
      </c>
      <c r="V51" s="13">
        <f>IF(ISNA(VLOOKUP(LOWER(F51)&amp;H51,Prices!A:C,2,0)),0,VLOOKUP(LOWER(F51)&amp;H51,Prices!A:C,2,0))</f>
        <v>6.16</v>
      </c>
      <c r="W51" s="19">
        <f t="shared" si="20"/>
        <v>1783.7391999999995</v>
      </c>
      <c r="X51" s="19">
        <f t="shared" si="7"/>
        <v>60.000000000000057</v>
      </c>
      <c r="Y51" s="43">
        <f t="shared" si="8"/>
        <v>0.16157057971014488</v>
      </c>
      <c r="Z51" s="49"/>
      <c r="AA51" s="27" t="s">
        <v>1176</v>
      </c>
    </row>
    <row r="52" spans="1:27" hidden="1"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23.9</v>
      </c>
      <c r="V52" s="13">
        <f>IF(ISNA(VLOOKUP(LOWER(F52)&amp;H52,Prices!A:C,2,0)),0,VLOOKUP(LOWER(F52)&amp;H52,Prices!A:C,2,0))</f>
        <v>24.41</v>
      </c>
      <c r="W52" s="19">
        <f t="shared" si="20"/>
        <v>14623.104000000001</v>
      </c>
      <c r="X52" s="19">
        <f t="shared" si="7"/>
        <v>-510.00000000000159</v>
      </c>
      <c r="Y52" s="43">
        <f t="shared" si="8"/>
        <v>0.37418382804503586</v>
      </c>
      <c r="Z52" s="49"/>
      <c r="AA52" s="27" t="s">
        <v>1176</v>
      </c>
    </row>
    <row r="53" spans="1:27" hidden="1"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114.93</v>
      </c>
      <c r="V53" s="13">
        <f>IF(ISNA(VLOOKUP(LOWER(F53)&amp;H53,Prices!A:C,2,0)),0,VLOOKUP(LOWER(F53)&amp;H53,Prices!A:C,2,0))</f>
        <v>110.57</v>
      </c>
      <c r="W53" s="19">
        <f t="shared" si="20"/>
        <v>3533.0978000000014</v>
      </c>
      <c r="X53" s="19">
        <f t="shared" si="7"/>
        <v>436.00000000000136</v>
      </c>
      <c r="Y53" s="43">
        <f t="shared" si="8"/>
        <v>0.24182736481861747</v>
      </c>
      <c r="Z53" s="49"/>
      <c r="AA53" s="27"/>
    </row>
    <row r="54" spans="1:27" ht="27" hidden="1"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29.97</v>
      </c>
      <c r="V54" s="13">
        <f>IF(ISNA(VLOOKUP(LOWER(F54)&amp;H54,Prices!A:C,2,0)),0,VLOOKUP(LOWER(F54)&amp;H54,Prices!A:C,2,0))</f>
        <v>30.92</v>
      </c>
      <c r="W54" s="19">
        <f t="shared" si="20"/>
        <v>-6839.3222000000005</v>
      </c>
      <c r="X54" s="19">
        <f t="shared" si="7"/>
        <v>285.00000000000085</v>
      </c>
      <c r="Y54" s="43">
        <f t="shared" si="8"/>
        <v>-0.42453893234016143</v>
      </c>
      <c r="Z54" s="49" t="s">
        <v>1237</v>
      </c>
      <c r="AA54" s="27"/>
    </row>
    <row r="55" spans="1:27" hidden="1"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23.9</v>
      </c>
      <c r="V55" s="13">
        <f>IF(ISNA(VLOOKUP(LOWER(F55)&amp;H55,Prices!A:C,2,0)),0,VLOOKUP(LOWER(F55)&amp;H55,Prices!A:C,2,0))</f>
        <v>24.41</v>
      </c>
      <c r="W55" s="19">
        <f t="shared" si="20"/>
        <v>14533.212000000003</v>
      </c>
      <c r="X55" s="19">
        <f t="shared" si="7"/>
        <v>-510.00000000000159</v>
      </c>
      <c r="Y55" s="43">
        <f t="shared" si="8"/>
        <v>0.37274203641959486</v>
      </c>
      <c r="Z55" s="49"/>
      <c r="AA55" s="27" t="s">
        <v>1176</v>
      </c>
    </row>
    <row r="56" spans="1:27" hidden="1"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6.2</v>
      </c>
      <c r="V56" s="13">
        <f>IF(ISNA(VLOOKUP(LOWER(F56)&amp;H56,Prices!A:C,2,0)),0,VLOOKUP(LOWER(F56)&amp;H56,Prices!A:C,2,0))</f>
        <v>6.16</v>
      </c>
      <c r="W56" s="19">
        <f t="shared" si="20"/>
        <v>1768.7494999999992</v>
      </c>
      <c r="X56" s="19">
        <f t="shared" si="7"/>
        <v>60.000000000000057</v>
      </c>
      <c r="Y56" s="43">
        <f t="shared" si="8"/>
        <v>0.16043079365079357</v>
      </c>
      <c r="Z56" s="49"/>
      <c r="AA56" s="27" t="s">
        <v>1176</v>
      </c>
    </row>
    <row r="57" spans="1:27" hidden="1"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49.04</v>
      </c>
      <c r="V57" s="13">
        <f>IF(ISNA(VLOOKUP(LOWER(F57)&amp;H57,Prices!A:C,2,0)),0,VLOOKUP(LOWER(F57)&amp;H57,Prices!A:C,2,0))</f>
        <v>50</v>
      </c>
      <c r="W57" s="19">
        <f t="shared" si="20"/>
        <v>-8851.4160000000011</v>
      </c>
      <c r="X57" s="19">
        <f t="shared" si="7"/>
        <v>-672.00000000000057</v>
      </c>
      <c r="Y57" s="43">
        <f t="shared" si="8"/>
        <v>-0.33809839572192518</v>
      </c>
      <c r="Z57" s="49"/>
      <c r="AA57" s="27"/>
    </row>
    <row r="58" spans="1:27" hidden="1"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14.17</v>
      </c>
      <c r="V58" s="13">
        <f>IF(ISNA(VLOOKUP(LOWER(F58)&amp;H58,Prices!A:C,2,0)),0,VLOOKUP(LOWER(F58)&amp;H58,Prices!A:C,2,0))</f>
        <v>14.02</v>
      </c>
      <c r="W58" s="19">
        <f t="shared" si="20"/>
        <v>-1485.0000000000011</v>
      </c>
      <c r="X58" s="19">
        <f t="shared" si="7"/>
        <v>-150.00000000000034</v>
      </c>
      <c r="Y58" s="43">
        <f t="shared" si="8"/>
        <v>-9.5806451612903298E-2</v>
      </c>
      <c r="Z58" s="49"/>
      <c r="AA58" s="27"/>
    </row>
    <row r="59" spans="1:27" hidden="1"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8.91</v>
      </c>
      <c r="V59" s="13">
        <f>IF(ISNA(VLOOKUP(LOWER(F59)&amp;H59,Prices!A:C,2,0)),0,VLOOKUP(LOWER(F59)&amp;H59,Prices!A:C,2,0))</f>
        <v>9.1300000000000008</v>
      </c>
      <c r="W59" s="19">
        <f t="shared" ref="W59:W68" si="24">IF(I59="B",(V59+T59)*K59,(V59+T59)*K59)</f>
        <v>3574.7064</v>
      </c>
      <c r="X59" s="19">
        <f t="shared" si="7"/>
        <v>440.00000000000125</v>
      </c>
      <c r="Y59" s="43">
        <f t="shared" si="8"/>
        <v>0.24350861035422344</v>
      </c>
      <c r="Z59" s="49"/>
      <c r="AA59" s="27"/>
    </row>
    <row r="60" spans="1:27" hidden="1"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12.38</v>
      </c>
      <c r="V60" s="13">
        <f>IF(ISNA(VLOOKUP(LOWER(F60)&amp;H60,Prices!A:C,2,0)),0,VLOOKUP(LOWER(F60)&amp;H60,Prices!A:C,2,0))</f>
        <v>12.25</v>
      </c>
      <c r="W60" s="19">
        <f t="shared" si="24"/>
        <v>-3675.3184000000001</v>
      </c>
      <c r="X60" s="19">
        <f t="shared" si="7"/>
        <v>-130.0000000000008</v>
      </c>
      <c r="Y60" s="43">
        <f t="shared" si="8"/>
        <v>-0.23086170854271357</v>
      </c>
      <c r="Z60" s="49"/>
      <c r="AA60" s="27"/>
    </row>
    <row r="61" spans="1:27" hidden="1"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8.5</v>
      </c>
      <c r="V61" s="13">
        <f>IF(ISNA(VLOOKUP(LOWER(F61)&amp;H61,Prices!A:C,2,0)),0,VLOOKUP(LOWER(F61)&amp;H61,Prices!A:C,2,0))</f>
        <v>8.3800000000000008</v>
      </c>
      <c r="W61" s="19">
        <f t="shared" si="24"/>
        <v>-5825.2839999999978</v>
      </c>
      <c r="X61" s="19">
        <f t="shared" si="7"/>
        <v>-119.99999999999922</v>
      </c>
      <c r="Y61" s="43">
        <f t="shared" si="8"/>
        <v>-0.41023126760563366</v>
      </c>
      <c r="Z61" s="49"/>
      <c r="AA61" s="24"/>
    </row>
    <row r="62" spans="1:27" hidden="1"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8.73</v>
      </c>
      <c r="V62" s="13">
        <f>IF(ISNA(VLOOKUP(LOWER(F62)&amp;H62,Prices!A:C,2,0)),0,VLOOKUP(LOWER(F62)&amp;H62,Prices!A:C,2,0))</f>
        <v>8.99</v>
      </c>
      <c r="W62" s="19">
        <f t="shared" si="24"/>
        <v>-3306.0539999999978</v>
      </c>
      <c r="X62" s="19">
        <f t="shared" si="7"/>
        <v>779.99999999999932</v>
      </c>
      <c r="Y62" s="43">
        <f t="shared" si="8"/>
        <v>-0.10921883052527248</v>
      </c>
      <c r="Z62" s="49"/>
      <c r="AA62" s="24"/>
    </row>
    <row r="63" spans="1:27" hidden="1"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hidden="1"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20.329999999999998</v>
      </c>
      <c r="V64" s="13">
        <f>IF(ISNA(VLOOKUP(LOWER(F64)&amp;H64,Prices!A:C,2,0)),0,VLOOKUP(LOWER(F64)&amp;H64,Prices!A:C,2,0))</f>
        <v>20.27</v>
      </c>
      <c r="W64" s="19">
        <f t="shared" si="24"/>
        <v>-281.24875999999972</v>
      </c>
      <c r="X64" s="19">
        <f t="shared" si="7"/>
        <v>-35.999999999999233</v>
      </c>
      <c r="Y64" s="43">
        <f t="shared" si="8"/>
        <v>-2.2612056600739647E-2</v>
      </c>
      <c r="Z64" s="49"/>
      <c r="AA64" s="24"/>
    </row>
    <row r="65" spans="1:27" hidden="1"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9.86</v>
      </c>
      <c r="V65" s="13">
        <f>IF(ISNA(VLOOKUP(LOWER(F65)&amp;H65,Prices!A:C,2,0)),0,VLOOKUP(LOWER(F65)&amp;H65,Prices!A:C,2,0))</f>
        <v>9.75</v>
      </c>
      <c r="W65" s="19">
        <f t="shared" si="24"/>
        <v>3799.6301999999991</v>
      </c>
      <c r="X65" s="19">
        <f t="shared" si="7"/>
        <v>329.99999999999829</v>
      </c>
      <c r="Y65" s="43">
        <f t="shared" si="8"/>
        <v>0.11482714415231185</v>
      </c>
      <c r="Z65" s="49"/>
      <c r="AA65" s="24"/>
    </row>
    <row r="66" spans="1:27" hidden="1"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15.25</v>
      </c>
      <c r="V66" s="13">
        <f>IF(ISNA(VLOOKUP(LOWER(F66)&amp;H66,Prices!A:C,2,0)),0,VLOOKUP(LOWER(F66)&amp;H66,Prices!A:C,2,0))</f>
        <v>15.12</v>
      </c>
      <c r="W66" s="19">
        <f t="shared" si="24"/>
        <v>4047.3528000000069</v>
      </c>
      <c r="X66" s="19">
        <f t="shared" si="7"/>
        <v>195.00000000000117</v>
      </c>
      <c r="Y66" s="43">
        <f t="shared" si="8"/>
        <v>0.15124636771300473</v>
      </c>
      <c r="Z66" s="49"/>
      <c r="AA66" s="24" t="s">
        <v>1186</v>
      </c>
    </row>
    <row r="67" spans="1:27" hidden="1"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114.93</v>
      </c>
      <c r="V67" s="13">
        <f>IF(ISNA(VLOOKUP(LOWER(F67)&amp;H67,Prices!A:C,2,0)),0,VLOOKUP(LOWER(F67)&amp;H67,Prices!A:C,2,0))</f>
        <v>110.57</v>
      </c>
      <c r="W67" s="19">
        <f>IF(I67="B",(V67+T67)*K67,(V67+T67)*K67)</f>
        <v>3393.2405999999987</v>
      </c>
      <c r="X67" s="19">
        <f t="shared" si="7"/>
        <v>436.00000000000136</v>
      </c>
      <c r="Y67" s="43">
        <f t="shared" si="8"/>
        <v>0.23450176917760879</v>
      </c>
      <c r="Z67" s="49"/>
      <c r="AA67" s="24"/>
    </row>
    <row r="68" spans="1:27" hidden="1"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25.53</v>
      </c>
      <c r="V68" s="13">
        <f>IF(ISNA(VLOOKUP(LOWER(F68)&amp;H68,Prices!A:C,2,0)),0,VLOOKUP(LOWER(F68)&amp;H68,Prices!A:C,2,0))</f>
        <v>27.28</v>
      </c>
      <c r="W68" s="19">
        <f t="shared" si="24"/>
        <v>-22219.503599999996</v>
      </c>
      <c r="X68" s="19">
        <f t="shared" si="7"/>
        <v>-3500</v>
      </c>
      <c r="Y68" s="43">
        <f t="shared" si="8"/>
        <v>-0.68621073502161811</v>
      </c>
      <c r="Z68" s="49"/>
      <c r="AA68" s="24" t="s">
        <v>1186</v>
      </c>
    </row>
    <row r="69" spans="1:27" hidden="1"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8.91</v>
      </c>
      <c r="V69" s="13">
        <f>IF(ISNA(VLOOKUP(LOWER(F69)&amp;H69,Prices!A:C,2,0)),0,VLOOKUP(LOWER(F69)&amp;H69,Prices!A:C,2,0))</f>
        <v>9.1300000000000008</v>
      </c>
      <c r="W69" s="13">
        <f t="shared" ref="W69:W95" si="32">IF(I69="B",(V69+T69)*K69,(V69+T69)*K69)</f>
        <v>-1582.7112000000011</v>
      </c>
      <c r="X69" s="13">
        <f t="shared" ref="X69:X95" si="33">K69*(V69-U69)</f>
        <v>-220.00000000000063</v>
      </c>
      <c r="Y69" s="43">
        <f t="shared" ref="Y69:Y132" si="34">W69/O69</f>
        <v>-0.20935333333333347</v>
      </c>
      <c r="Z69" s="49" t="s">
        <v>1208</v>
      </c>
      <c r="AA69" s="24"/>
    </row>
    <row r="70" spans="1:27" hidden="1"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hidden="1"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41.35</v>
      </c>
      <c r="V71" s="13">
        <f>IF(ISNA(VLOOKUP(LOWER(F71)&amp;H71,Prices!A:C,2,0)),0,VLOOKUP(LOWER(F71)&amp;H71,Prices!A:C,2,0))</f>
        <v>42.03</v>
      </c>
      <c r="W71" s="19">
        <f t="shared" si="32"/>
        <v>3853</v>
      </c>
      <c r="X71" s="13">
        <f t="shared" si="33"/>
        <v>407.99999999999983</v>
      </c>
      <c r="Y71" s="43">
        <f t="shared" si="34"/>
        <v>0.18038389513108613</v>
      </c>
      <c r="Z71" s="49"/>
      <c r="AA71" s="24"/>
    </row>
    <row r="72" spans="1:27" hidden="1"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14.17</v>
      </c>
      <c r="V72" s="13">
        <f>IF(ISNA(VLOOKUP(LOWER(F72)&amp;H72,Prices!A:C,2,0)),0,VLOOKUP(LOWER(F72)&amp;H72,Prices!A:C,2,0))</f>
        <v>14.02</v>
      </c>
      <c r="W72" s="13">
        <f t="shared" si="32"/>
        <v>1579.3800000000006</v>
      </c>
      <c r="X72" s="13">
        <f t="shared" si="33"/>
        <v>150.00000000000034</v>
      </c>
      <c r="Y72" s="43">
        <f t="shared" si="34"/>
        <v>0.10111267605633806</v>
      </c>
      <c r="Z72" s="49"/>
      <c r="AA72" s="24"/>
    </row>
    <row r="73" spans="1:27" hidden="1"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41.35</v>
      </c>
      <c r="V73" s="13">
        <f>IF(ISNA(VLOOKUP(LOWER(F73)&amp;H73,Prices!A:C,2,0)),0,VLOOKUP(LOWER(F73)&amp;H73,Prices!A:C,2,0))</f>
        <v>42.03</v>
      </c>
      <c r="W73" s="19">
        <f t="shared" si="32"/>
        <v>3350.0000000000014</v>
      </c>
      <c r="X73" s="13">
        <f t="shared" si="33"/>
        <v>339.99999999999989</v>
      </c>
      <c r="Y73" s="43">
        <f t="shared" si="34"/>
        <v>0.18969422423556068</v>
      </c>
      <c r="Z73" s="49"/>
      <c r="AA73" s="24"/>
    </row>
    <row r="74" spans="1:27" hidden="1"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14.92</v>
      </c>
      <c r="V74" s="13">
        <f>IF(ISNA(VLOOKUP(LOWER(F74)&amp;H74,Prices!A:C,2,0)),0,VLOOKUP(LOWER(F74)&amp;H74,Prices!A:C,2,0))</f>
        <v>14.79</v>
      </c>
      <c r="W74" s="19">
        <f t="shared" si="32"/>
        <v>-895.31359999999972</v>
      </c>
      <c r="X74" s="13">
        <f t="shared" si="33"/>
        <v>-130.0000000000008</v>
      </c>
      <c r="Y74" s="43">
        <f t="shared" si="34"/>
        <v>-5.7099081632653044E-2</v>
      </c>
      <c r="Z74" s="49"/>
      <c r="AA74" s="24"/>
    </row>
    <row r="75" spans="1:27" hidden="1"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20.13</v>
      </c>
      <c r="V75" s="13">
        <f>IF(ISNA(VLOOKUP(LOWER(F75)&amp;H75,Prices!A:C,2,0)),0,VLOOKUP(LOWER(F75)&amp;H75,Prices!A:C,2,0))</f>
        <v>20.18</v>
      </c>
      <c r="W75" s="19">
        <f t="shared" si="32"/>
        <v>-18002</v>
      </c>
      <c r="X75" s="13">
        <f t="shared" si="33"/>
        <v>15.000000000000213</v>
      </c>
      <c r="Y75" s="43">
        <f t="shared" si="34"/>
        <v>-0.74849278616273751</v>
      </c>
      <c r="Z75" s="49" t="s">
        <v>1251</v>
      </c>
      <c r="AA75" s="24"/>
    </row>
    <row r="76" spans="1:27" hidden="1"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30.43</v>
      </c>
      <c r="V76" s="13">
        <f>IF(ISNA(VLOOKUP(LOWER(F76)&amp;H76,Prices!A:C,2,0)),0,VLOOKUP(LOWER(F76)&amp;H76,Prices!A:C,2,0))</f>
        <v>30.45</v>
      </c>
      <c r="W76" s="19">
        <f t="shared" si="32"/>
        <v>2360.6210199999978</v>
      </c>
      <c r="X76" s="13">
        <f t="shared" si="33"/>
        <v>13.999999999999702</v>
      </c>
      <c r="Y76" s="43">
        <f t="shared" si="34"/>
        <v>0.1245776040952028</v>
      </c>
      <c r="Z76" s="49" t="s">
        <v>1243</v>
      </c>
      <c r="AA76" s="24"/>
    </row>
    <row r="77" spans="1:27" hidden="1"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23.9</v>
      </c>
      <c r="V77" s="13">
        <f>IF(ISNA(VLOOKUP(LOWER(F77)&amp;H77,Prices!A:C,2,0)),0,VLOOKUP(LOWER(F77)&amp;H77,Prices!A:C,2,0))</f>
        <v>24.41</v>
      </c>
      <c r="W77" s="19">
        <f t="shared" si="32"/>
        <v>-8363.0000000000018</v>
      </c>
      <c r="X77" s="13">
        <f t="shared" si="33"/>
        <v>306.00000000000091</v>
      </c>
      <c r="Y77" s="43">
        <f t="shared" si="34"/>
        <v>-0.36354547035298213</v>
      </c>
      <c r="Z77" s="49"/>
      <c r="AA77" s="24"/>
    </row>
    <row r="78" spans="1:27" hidden="1"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50.19</v>
      </c>
      <c r="V78" s="13">
        <f>IF(ISNA(VLOOKUP(LOWER(F78)&amp;H78,Prices!A:C,2,0)),0,VLOOKUP(LOWER(F78)&amp;H78,Prices!A:C,2,0))</f>
        <v>50.28</v>
      </c>
      <c r="W78" s="19">
        <f t="shared" si="32"/>
        <v>10902.614800000001</v>
      </c>
      <c r="X78" s="13">
        <f t="shared" si="33"/>
        <v>54.000000000002046</v>
      </c>
      <c r="Y78" s="43">
        <f t="shared" si="34"/>
        <v>0.56607553478712358</v>
      </c>
      <c r="Z78" s="49" t="s">
        <v>1212</v>
      </c>
      <c r="AA78" s="24"/>
    </row>
    <row r="79" spans="1:27" hidden="1"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32.99</v>
      </c>
      <c r="V79" s="13">
        <f>IF(ISNA(VLOOKUP(LOWER(F79)&amp;H79,Prices!A:C,2,0)),0,VLOOKUP(LOWER(F79)&amp;H79,Prices!A:C,2,0))</f>
        <v>33.380000000000003</v>
      </c>
      <c r="W79" s="19">
        <f t="shared" si="32"/>
        <v>1835.5695000000026</v>
      </c>
      <c r="X79" s="13">
        <f t="shared" si="33"/>
        <v>273.0000000000004</v>
      </c>
      <c r="Y79" s="43">
        <f t="shared" si="34"/>
        <v>8.5276167247386875E-2</v>
      </c>
      <c r="Z79" s="49"/>
      <c r="AA79" s="24"/>
    </row>
    <row r="80" spans="1:27" hidden="1"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hidden="1"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hidden="1"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8.43</v>
      </c>
      <c r="V82" s="13">
        <f>IF(ISNA(VLOOKUP(LOWER(F82)&amp;H82,Prices!A:C,2,0)),0,VLOOKUP(LOWER(F82)&amp;H82,Prices!A:C,2,0))</f>
        <v>8.31</v>
      </c>
      <c r="W82" s="19">
        <f t="shared" si="32"/>
        <v>-6820.9999999999982</v>
      </c>
      <c r="X82" s="13">
        <f t="shared" si="33"/>
        <v>-191.99999999999875</v>
      </c>
      <c r="Y82" s="43">
        <f t="shared" si="34"/>
        <v>-0.33915075576770076</v>
      </c>
      <c r="Z82" s="49"/>
      <c r="AA82" s="24"/>
    </row>
    <row r="83" spans="1:27" ht="67.5" hidden="1"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29.75</v>
      </c>
      <c r="V83" s="13">
        <f>IF(ISNA(VLOOKUP(LOWER(F83)&amp;H83,Prices!A:C,2,0)),0,VLOOKUP(LOWER(F83)&amp;H83,Prices!A:C,2,0))</f>
        <v>30</v>
      </c>
      <c r="W83" s="19">
        <f t="shared" si="32"/>
        <v>-2483.0000000000014</v>
      </c>
      <c r="X83" s="13">
        <f t="shared" si="33"/>
        <v>150</v>
      </c>
      <c r="Y83" s="43">
        <f t="shared" si="34"/>
        <v>-0.12125207539798816</v>
      </c>
      <c r="Z83" s="49" t="s">
        <v>1239</v>
      </c>
      <c r="AA83" s="24"/>
    </row>
    <row r="84" spans="1:27" hidden="1"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59.32</v>
      </c>
      <c r="V84" s="13">
        <f>IF(ISNA(VLOOKUP(LOWER(F84)&amp;H84,Prices!A:C,2,0)),0,VLOOKUP(LOWER(F84)&amp;H84,Prices!A:C,2,0))</f>
        <v>58.28</v>
      </c>
      <c r="W84" s="19">
        <f t="shared" si="32"/>
        <v>16921</v>
      </c>
      <c r="X84" s="13">
        <f t="shared" si="33"/>
        <v>-623.99999999999955</v>
      </c>
      <c r="Y84" s="43">
        <f t="shared" si="34"/>
        <v>0.93786719875845248</v>
      </c>
      <c r="Z84" s="49"/>
      <c r="AA84" s="24"/>
    </row>
    <row r="85" spans="1:27" hidden="1"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11.29</v>
      </c>
      <c r="V85" s="13">
        <f>IF(ISNA(VLOOKUP(LOWER(F85)&amp;H85,Prices!A:C,2,0)),0,VLOOKUP(LOWER(F85)&amp;H85,Prices!A:C,2,0))</f>
        <v>11.45</v>
      </c>
      <c r="W85" s="19">
        <f t="shared" si="32"/>
        <v>354.7323999999989</v>
      </c>
      <c r="X85" s="13">
        <f t="shared" si="33"/>
        <v>192.00000000000017</v>
      </c>
      <c r="Y85" s="43">
        <f t="shared" si="34"/>
        <v>2.6512137518684521E-2</v>
      </c>
      <c r="Z85" s="49" t="s">
        <v>1244</v>
      </c>
      <c r="AA85" s="24"/>
    </row>
    <row r="86" spans="1:27" hidden="1"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8.73</v>
      </c>
      <c r="V86" s="13">
        <f>IF(ISNA(VLOOKUP(LOWER(F86)&amp;H86,Prices!A:C,2,0)),0,VLOOKUP(LOWER(F86)&amp;H86,Prices!A:C,2,0))</f>
        <v>8.99</v>
      </c>
      <c r="W86" s="13">
        <f t="shared" si="32"/>
        <v>1134.8599999999997</v>
      </c>
      <c r="X86" s="13">
        <f t="shared" si="33"/>
        <v>-259.99999999999977</v>
      </c>
      <c r="Y86" s="43">
        <f t="shared" si="34"/>
        <v>0.11191913214990135</v>
      </c>
      <c r="Z86" s="49"/>
      <c r="AA86" s="24"/>
    </row>
    <row r="87" spans="1:27" hidden="1"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30.26</v>
      </c>
      <c r="V87" s="13">
        <f>IF(ISNA(VLOOKUP(LOWER(F87)&amp;H87,Prices!A:C,2,0)),0,VLOOKUP(LOWER(F87)&amp;H87,Prices!A:C,2,0))</f>
        <v>29.81</v>
      </c>
      <c r="W87" s="19">
        <f t="shared" si="32"/>
        <v>-1397.2067000000013</v>
      </c>
      <c r="X87" s="13">
        <f t="shared" si="33"/>
        <v>-135.00000000000085</v>
      </c>
      <c r="Y87" s="43">
        <f t="shared" si="34"/>
        <v>-0.13519174649250135</v>
      </c>
      <c r="Z87" s="49"/>
      <c r="AA87" s="24"/>
    </row>
    <row r="88" spans="1:27" hidden="1"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8.73</v>
      </c>
      <c r="V88" s="13">
        <f>IF(ISNA(VLOOKUP(LOWER(F88)&amp;H88,Prices!A:C,2,0)),0,VLOOKUP(LOWER(F88)&amp;H88,Prices!A:C,2,0))</f>
        <v>8.99</v>
      </c>
      <c r="W88" s="13">
        <f t="shared" si="32"/>
        <v>1134.8599999999997</v>
      </c>
      <c r="X88" s="13">
        <f t="shared" si="33"/>
        <v>-259.99999999999977</v>
      </c>
      <c r="Y88" s="43">
        <f t="shared" si="34"/>
        <v>0.11191913214990135</v>
      </c>
      <c r="Z88" s="49"/>
      <c r="AA88" s="24"/>
    </row>
    <row r="89" spans="1:27" hidden="1"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8.73</v>
      </c>
      <c r="V89" s="13">
        <f>IF(ISNA(VLOOKUP(LOWER(F89)&amp;H89,Prices!A:C,2,0)),0,VLOOKUP(LOWER(F89)&amp;H89,Prices!A:C,2,0))</f>
        <v>8.99</v>
      </c>
      <c r="W89" s="13">
        <f t="shared" si="32"/>
        <v>1134.8599999999997</v>
      </c>
      <c r="X89" s="13">
        <f t="shared" si="33"/>
        <v>-259.99999999999977</v>
      </c>
      <c r="Y89" s="43">
        <f t="shared" si="34"/>
        <v>0.11191913214990135</v>
      </c>
      <c r="Z89" s="49"/>
      <c r="AA89" s="24"/>
    </row>
    <row r="90" spans="1:27" hidden="1"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52.6</v>
      </c>
      <c r="V90" s="13">
        <f>IF(ISNA(VLOOKUP(LOWER(F90)&amp;H90,Prices!A:C,2,0)),0,VLOOKUP(LOWER(F90)&amp;H90,Prices!A:C,2,0))</f>
        <v>53.4</v>
      </c>
      <c r="W90" s="13">
        <f t="shared" si="32"/>
        <v>-26452.375999999997</v>
      </c>
      <c r="X90" s="13">
        <f t="shared" si="33"/>
        <v>-799.99999999999716</v>
      </c>
      <c r="Y90" s="43">
        <f t="shared" si="34"/>
        <v>-0.98044388435878416</v>
      </c>
      <c r="Z90" s="49"/>
      <c r="AA90" s="24"/>
    </row>
    <row r="91" spans="1:27" hidden="1"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20.329999999999998</v>
      </c>
      <c r="V91" s="13">
        <f>IF(ISNA(VLOOKUP(LOWER(F91)&amp;H91,Prices!A:C,2,0)),0,VLOOKUP(LOWER(F91)&amp;H91,Prices!A:C,2,0))</f>
        <v>20.27</v>
      </c>
      <c r="W91" s="13">
        <f t="shared" si="32"/>
        <v>324.24992000000117</v>
      </c>
      <c r="X91" s="13">
        <f t="shared" si="33"/>
        <v>35.999999999999233</v>
      </c>
      <c r="Y91" s="43">
        <f t="shared" si="34"/>
        <v>2.5931695457453708E-2</v>
      </c>
      <c r="Z91" s="49"/>
      <c r="AA91" s="24"/>
    </row>
    <row r="92" spans="1:27" hidden="1"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8.91</v>
      </c>
      <c r="V92" s="13">
        <f>IF(ISNA(VLOOKUP(LOWER(F92)&amp;H92,Prices!A:C,2,0)),0,VLOOKUP(LOWER(F92)&amp;H92,Prices!A:C,2,0))</f>
        <v>9.1300000000000008</v>
      </c>
      <c r="W92" s="13">
        <f t="shared" si="32"/>
        <v>-1672.6194000000012</v>
      </c>
      <c r="X92" s="13">
        <f t="shared" si="33"/>
        <v>-220.00000000000063</v>
      </c>
      <c r="Y92" s="43">
        <f t="shared" si="34"/>
        <v>-0.2239115662650604</v>
      </c>
      <c r="Z92" s="49" t="s">
        <v>1208</v>
      </c>
      <c r="AA92" s="24"/>
    </row>
    <row r="93" spans="1:27" hidden="1"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hidden="1"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13.78</v>
      </c>
      <c r="V94" s="13">
        <f>IF(ISNA(VLOOKUP(LOWER(F94)&amp;H94,Prices!A:C,2,0)),0,VLOOKUP(LOWER(F94)&amp;H94,Prices!A:C,2,0))</f>
        <v>14.18</v>
      </c>
      <c r="W94" s="19">
        <f t="shared" si="32"/>
        <v>6034.5535999999993</v>
      </c>
      <c r="X94" s="13">
        <f t="shared" si="33"/>
        <v>800.00000000000068</v>
      </c>
      <c r="Y94" s="43">
        <f t="shared" si="34"/>
        <v>0.27036530465949815</v>
      </c>
      <c r="Z94" s="49"/>
      <c r="AA94" s="24"/>
    </row>
    <row r="95" spans="1:27" hidden="1"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76.64</v>
      </c>
      <c r="V95" s="13">
        <f>IF(ISNA(VLOOKUP(LOWER(F95)&amp;H95,Prices!A:C,2,0)),0,VLOOKUP(LOWER(F95)&amp;H95,Prices!A:C,2,0))</f>
        <v>76.8</v>
      </c>
      <c r="W95" s="19">
        <f t="shared" si="32"/>
        <v>11599</v>
      </c>
      <c r="X95" s="13">
        <f t="shared" si="33"/>
        <v>47.999999999998977</v>
      </c>
      <c r="Y95" s="43">
        <f t="shared" si="34"/>
        <v>1.014253235396992</v>
      </c>
      <c r="Z95" s="49"/>
      <c r="AA95" s="24"/>
    </row>
    <row r="96" spans="1:27" hidden="1"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14.92</v>
      </c>
      <c r="V96" s="13">
        <f>IF(ISNA(VLOOKUP(LOWER(F96)&amp;H96,Prices!A:C,2,0)),0,VLOOKUP(LOWER(F96)&amp;H96,Prices!A:C,2,0))</f>
        <v>14.79</v>
      </c>
      <c r="W96" s="19">
        <f t="shared" ref="W96:W119" si="39">IF(I96="B",(V96+T96)*K96,(V96+T96)*K96)</f>
        <v>1188.6800000000014</v>
      </c>
      <c r="X96" s="13">
        <f t="shared" ref="X96:X119" si="40">K96*(V96-U96)</f>
        <v>130.0000000000008</v>
      </c>
      <c r="Y96" s="43">
        <f t="shared" si="34"/>
        <v>7.4292500000000095E-2</v>
      </c>
      <c r="Z96" s="49"/>
      <c r="AA96" s="24"/>
    </row>
    <row r="97" spans="1:27" hidden="1"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50.19</v>
      </c>
      <c r="V97" s="13">
        <f>IF(ISNA(VLOOKUP(LOWER(F97)&amp;H97,Prices!A:C,2,0)),0,VLOOKUP(LOWER(F97)&amp;H97,Prices!A:C,2,0))</f>
        <v>50.28</v>
      </c>
      <c r="W97" s="19">
        <f t="shared" si="39"/>
        <v>7422.7463200000002</v>
      </c>
      <c r="X97" s="13">
        <f t="shared" si="40"/>
        <v>36.000000000001364</v>
      </c>
      <c r="Y97" s="43">
        <f t="shared" si="34"/>
        <v>0.58520548092084512</v>
      </c>
      <c r="Z97" s="49"/>
      <c r="AA97" s="24"/>
    </row>
    <row r="98" spans="1:27" hidden="1"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12.38</v>
      </c>
      <c r="V98" s="13">
        <f>IF(ISNA(VLOOKUP(LOWER(F98)&amp;H98,Prices!A:C,2,0)),0,VLOOKUP(LOWER(F98)&amp;H98,Prices!A:C,2,0))</f>
        <v>12.25</v>
      </c>
      <c r="W98" s="19">
        <f t="shared" si="39"/>
        <v>-2421.2443199999998</v>
      </c>
      <c r="X98" s="13">
        <f t="shared" si="40"/>
        <v>-104.00000000000063</v>
      </c>
      <c r="Y98" s="43">
        <f t="shared" si="34"/>
        <v>-0.19820271119842828</v>
      </c>
      <c r="Z98" s="49"/>
      <c r="AA98" s="24"/>
    </row>
    <row r="99" spans="1:27" hidden="1"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29.97</v>
      </c>
      <c r="V99" s="13">
        <f>IF(ISNA(VLOOKUP(LOWER(F99)&amp;H99,Prices!A:C,2,0)),0,VLOOKUP(LOWER(F99)&amp;H99,Prices!A:C,2,0))</f>
        <v>30.92</v>
      </c>
      <c r="W99" s="19">
        <f t="shared" si="39"/>
        <v>7136.241320000001</v>
      </c>
      <c r="X99" s="13">
        <f t="shared" si="40"/>
        <v>-285.00000000000085</v>
      </c>
      <c r="Y99" s="43">
        <f t="shared" si="34"/>
        <v>0.43423641961786547</v>
      </c>
      <c r="Z99" s="49" t="s">
        <v>1236</v>
      </c>
      <c r="AA99" s="24"/>
    </row>
    <row r="100" spans="1:27" hidden="1"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8.43</v>
      </c>
      <c r="V100" s="13">
        <f>IF(ISNA(VLOOKUP(LOWER(F100)&amp;H100,Prices!A:C,2,0)),0,VLOOKUP(LOWER(F100)&amp;H100,Prices!A:C,2,0))</f>
        <v>8.31</v>
      </c>
      <c r="W100" s="19">
        <f t="shared" si="39"/>
        <v>6966.7099999999973</v>
      </c>
      <c r="X100" s="13">
        <f t="shared" si="40"/>
        <v>191.99999999999875</v>
      </c>
      <c r="Y100" s="43">
        <f t="shared" si="34"/>
        <v>0.34339067429022069</v>
      </c>
      <c r="Z100" s="49" t="s">
        <v>1251</v>
      </c>
      <c r="AA100" s="24"/>
    </row>
    <row r="101" spans="1:27" hidden="1"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hidden="1"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29.75</v>
      </c>
      <c r="V102" s="13">
        <f>IF(ISNA(VLOOKUP(LOWER(F102)&amp;H102,Prices!A:C,2,0)),0,VLOOKUP(LOWER(F102)&amp;H102,Prices!A:C,2,0))</f>
        <v>30</v>
      </c>
      <c r="W102" s="19">
        <f t="shared" si="39"/>
        <v>-23185.568988000028</v>
      </c>
      <c r="X102" s="13">
        <f t="shared" si="40"/>
        <v>1500</v>
      </c>
      <c r="Y102" s="43">
        <f t="shared" si="34"/>
        <v>-0.11413313562228046</v>
      </c>
      <c r="Z102" s="49" t="s">
        <v>1240</v>
      </c>
      <c r="AA102" s="24"/>
    </row>
    <row r="103" spans="1:27" hidden="1"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32.99</v>
      </c>
      <c r="V103" s="13">
        <f>IF(ISNA(VLOOKUP(LOWER(F103)&amp;H103,Prices!A:C,2,0)),0,VLOOKUP(LOWER(F103)&amp;H103,Prices!A:C,2,0))</f>
        <v>33.380000000000003</v>
      </c>
      <c r="W103" s="19">
        <f t="shared" si="39"/>
        <v>-1714.113580000004</v>
      </c>
      <c r="X103" s="13">
        <f t="shared" si="40"/>
        <v>-273.0000000000004</v>
      </c>
      <c r="Y103" s="43">
        <f t="shared" si="34"/>
        <v>-7.9067926564878641E-2</v>
      </c>
      <c r="Z103" s="49"/>
      <c r="AA103" s="24"/>
    </row>
    <row r="104" spans="1:27" hidden="1"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hidden="1"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20.13</v>
      </c>
      <c r="V105" s="13">
        <f>IF(ISNA(VLOOKUP(LOWER(F105)&amp;H105,Prices!A:C,2,0)),0,VLOOKUP(LOWER(F105)&amp;H105,Prices!A:C,2,0))</f>
        <v>20.18</v>
      </c>
      <c r="W105" s="19">
        <f t="shared" si="39"/>
        <v>18183.73</v>
      </c>
      <c r="X105" s="13">
        <f t="shared" si="40"/>
        <v>-15.000000000000213</v>
      </c>
      <c r="Y105" s="43">
        <f t="shared" si="34"/>
        <v>0.74931924012032802</v>
      </c>
      <c r="Z105" s="49"/>
      <c r="AA105" s="24"/>
    </row>
    <row r="106" spans="1:27" hidden="1"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8.5</v>
      </c>
      <c r="V106" s="13">
        <f>IF(ISNA(VLOOKUP(LOWER(F106)&amp;H106,Prices!A:C,2,0)),0,VLOOKUP(LOWER(F106)&amp;H106,Prices!A:C,2,0))</f>
        <v>8.3800000000000008</v>
      </c>
      <c r="W106" s="19">
        <f t="shared" si="39"/>
        <v>5061.2707999999993</v>
      </c>
      <c r="X106" s="13">
        <f t="shared" si="40"/>
        <v>119.99999999999922</v>
      </c>
      <c r="Y106" s="43">
        <f t="shared" si="34"/>
        <v>0.37602309063893014</v>
      </c>
      <c r="Z106" s="49"/>
      <c r="AA106" s="24"/>
    </row>
    <row r="107" spans="1:27" hidden="1"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19.47</v>
      </c>
      <c r="V107" s="13">
        <f>IF(ISNA(VLOOKUP(LOWER(F107)&amp;H107,Prices!A:C,2,0)),0,VLOOKUP(LOWER(F107)&amp;H107,Prices!A:C,2,0))</f>
        <v>19.46</v>
      </c>
      <c r="W107" s="19">
        <f t="shared" si="39"/>
        <v>-952.86749999999961</v>
      </c>
      <c r="X107" s="13">
        <f t="shared" si="40"/>
        <v>12.999999999997414</v>
      </c>
      <c r="Y107" s="43">
        <f t="shared" si="34"/>
        <v>-3.9091999999999981E-2</v>
      </c>
      <c r="Z107" s="49"/>
      <c r="AA107" s="24"/>
    </row>
    <row r="108" spans="1:27" hidden="1"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30.43</v>
      </c>
      <c r="V108" s="13">
        <f>IF(ISNA(VLOOKUP(LOWER(F108)&amp;H108,Prices!A:C,2,0)),0,VLOOKUP(LOWER(F108)&amp;H108,Prices!A:C,2,0))</f>
        <v>30.45</v>
      </c>
      <c r="W108" s="19">
        <f t="shared" si="39"/>
        <v>-2670.0433799999996</v>
      </c>
      <c r="X108" s="13">
        <f t="shared" si="40"/>
        <v>-13.999999999999702</v>
      </c>
      <c r="Y108" s="43">
        <f t="shared" si="34"/>
        <v>-0.14302016069419893</v>
      </c>
      <c r="Z108" s="49" t="s">
        <v>1242</v>
      </c>
      <c r="AA108" s="24"/>
    </row>
    <row r="109" spans="1:27" hidden="1"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12.38</v>
      </c>
      <c r="V109" s="13">
        <f>IF(ISNA(VLOOKUP(LOWER(F109)&amp;H109,Prices!A:C,2,0)),0,VLOOKUP(LOWER(F109)&amp;H109,Prices!A:C,2,0))</f>
        <v>12.25</v>
      </c>
      <c r="W109" s="19">
        <f t="shared" si="39"/>
        <v>2859.5673999999995</v>
      </c>
      <c r="X109" s="13">
        <f t="shared" si="40"/>
        <v>130.0000000000008</v>
      </c>
      <c r="Y109" s="43">
        <f t="shared" si="34"/>
        <v>0.18899982815598146</v>
      </c>
      <c r="Z109" s="49"/>
      <c r="AA109" s="24"/>
    </row>
    <row r="110" spans="1:27" hidden="1"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54.77</v>
      </c>
      <c r="V110" s="13">
        <f>IF(ISNA(VLOOKUP(LOWER(F110)&amp;H110,Prices!A:C,2,0)),0,VLOOKUP(LOWER(F110)&amp;H110,Prices!A:C,2,0))</f>
        <v>54.57</v>
      </c>
      <c r="W110" s="19">
        <f t="shared" si="39"/>
        <v>4776.1779195600029</v>
      </c>
      <c r="X110" s="13">
        <f t="shared" si="40"/>
        <v>120.00000000000171</v>
      </c>
      <c r="Y110" s="43">
        <f t="shared" si="34"/>
        <v>0.127147738932609</v>
      </c>
      <c r="Z110" s="49"/>
      <c r="AA110" s="24"/>
    </row>
    <row r="111" spans="1:27" hidden="1"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33.880000000000003</v>
      </c>
      <c r="V111" s="13">
        <f>IF(ISNA(VLOOKUP(LOWER(F111)&amp;H111,Prices!A:C,2,0)),0,VLOOKUP(LOWER(F111)&amp;H111,Prices!A:C,2,0))</f>
        <v>35.01</v>
      </c>
      <c r="W111" s="19">
        <f t="shared" si="39"/>
        <v>18344.519399999997</v>
      </c>
      <c r="X111" s="13">
        <f t="shared" si="40"/>
        <v>-790.99999999999682</v>
      </c>
      <c r="Y111" s="43">
        <f t="shared" si="34"/>
        <v>0.42758127403678059</v>
      </c>
      <c r="Z111" s="49"/>
      <c r="AA111" s="24"/>
    </row>
    <row r="112" spans="1:27" hidden="1"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59.32</v>
      </c>
      <c r="V112" s="13">
        <f>IF(ISNA(VLOOKUP(LOWER(F112)&amp;H112,Prices!A:C,2,0)),0,VLOOKUP(LOWER(F112)&amp;H112,Prices!A:C,2,0))</f>
        <v>58.28</v>
      </c>
      <c r="W112" s="19">
        <f t="shared" si="39"/>
        <v>-16931.060000000001</v>
      </c>
      <c r="X112" s="13">
        <f t="shared" si="40"/>
        <v>623.99999999999955</v>
      </c>
      <c r="Y112" s="43">
        <f t="shared" si="34"/>
        <v>-0.93748947951273542</v>
      </c>
      <c r="Z112" s="49"/>
      <c r="AA112" s="24"/>
    </row>
    <row r="113" spans="1:27" hidden="1"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13.78</v>
      </c>
      <c r="V113" s="13">
        <f>IF(ISNA(VLOOKUP(LOWER(F113)&amp;H113,Prices!A:C,2,0)),0,VLOOKUP(LOWER(F113)&amp;H113,Prices!A:C,2,0))</f>
        <v>14.18</v>
      </c>
      <c r="W113" s="19">
        <f t="shared" si="39"/>
        <v>-6187.6439999999984</v>
      </c>
      <c r="X113" s="13">
        <f t="shared" si="40"/>
        <v>-800.00000000000068</v>
      </c>
      <c r="Y113" s="43">
        <f t="shared" si="34"/>
        <v>-0.27872270270270261</v>
      </c>
      <c r="Z113" s="49"/>
      <c r="AA113" s="24"/>
    </row>
    <row r="114" spans="1:27" hidden="1"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30.26</v>
      </c>
      <c r="V114" s="13">
        <f>IF(ISNA(VLOOKUP(LOWER(F114)&amp;H114,Prices!A:C,2,0)),0,VLOOKUP(LOWER(F114)&amp;H114,Prices!A:C,2,0))</f>
        <v>29.81</v>
      </c>
      <c r="W114" s="19">
        <f t="shared" si="39"/>
        <v>8563.9944400000022</v>
      </c>
      <c r="X114" s="13">
        <f t="shared" si="40"/>
        <v>810.00000000000512</v>
      </c>
      <c r="Y114" s="43">
        <f t="shared" si="34"/>
        <v>0.13746820828919071</v>
      </c>
      <c r="Z114" s="49"/>
      <c r="AA114" s="24"/>
    </row>
    <row r="115" spans="1:27" ht="40.5" hidden="1"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11.29</v>
      </c>
      <c r="V115" s="13">
        <f>IF(ISNA(VLOOKUP(LOWER(F115)&amp;H115,Prices!A:C,2,0)),0,VLOOKUP(LOWER(F115)&amp;H115,Prices!A:C,2,0))</f>
        <v>11.45</v>
      </c>
      <c r="W115" s="19">
        <f t="shared" si="39"/>
        <v>-522.50471999999843</v>
      </c>
      <c r="X115" s="13">
        <f t="shared" si="40"/>
        <v>-192.00000000000017</v>
      </c>
      <c r="Y115" s="43">
        <f t="shared" si="34"/>
        <v>-3.9476029011785922E-2</v>
      </c>
      <c r="Z115" s="49" t="s">
        <v>1245</v>
      </c>
      <c r="AA115" s="24"/>
    </row>
    <row r="116" spans="1:27" hidden="1"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hidden="1"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50.19</v>
      </c>
      <c r="V117" s="13">
        <f>IF(ISNA(VLOOKUP(LOWER(F117)&amp;H117,Prices!A:C,2,0)),0,VLOOKUP(LOWER(F117)&amp;H117,Prices!A:C,2,0))</f>
        <v>50.28</v>
      </c>
      <c r="W117" s="19">
        <f t="shared" si="39"/>
        <v>-11226.349320000003</v>
      </c>
      <c r="X117" s="13">
        <f t="shared" si="40"/>
        <v>-54.000000000002046</v>
      </c>
      <c r="Y117" s="43">
        <f t="shared" si="34"/>
        <v>-0.59191971527997489</v>
      </c>
      <c r="Z117" s="49"/>
      <c r="AA117" s="24"/>
    </row>
    <row r="118" spans="1:27" hidden="1"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23.9</v>
      </c>
      <c r="V118" s="13">
        <f>IF(ISNA(VLOOKUP(LOWER(F118)&amp;H118,Prices!A:C,2,0)),0,VLOOKUP(LOWER(F118)&amp;H118,Prices!A:C,2,0))</f>
        <v>24.41</v>
      </c>
      <c r="W118" s="19">
        <f t="shared" si="39"/>
        <v>8240.090000000002</v>
      </c>
      <c r="X118" s="13">
        <f t="shared" si="40"/>
        <v>-306.00000000000091</v>
      </c>
      <c r="Y118" s="43">
        <f t="shared" si="34"/>
        <v>0.3596094090948766</v>
      </c>
      <c r="Z118" s="49"/>
      <c r="AA118" s="24"/>
    </row>
    <row r="119" spans="1:27" hidden="1"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76.64</v>
      </c>
      <c r="V119" s="13">
        <f>IF(ISNA(VLOOKUP(LOWER(F119)&amp;H119,Prices!A:C,2,0)),0,VLOOKUP(LOWER(F119)&amp;H119,Prices!A:C,2,0))</f>
        <v>76.8</v>
      </c>
      <c r="W119" s="19">
        <f t="shared" si="39"/>
        <v>-11683.370000000003</v>
      </c>
      <c r="X119" s="13">
        <f t="shared" si="40"/>
        <v>-47.999999999998977</v>
      </c>
      <c r="Y119" s="43">
        <f t="shared" si="34"/>
        <v>-1.0272900729798651</v>
      </c>
      <c r="Z119" s="49"/>
      <c r="AA119" s="24"/>
    </row>
    <row r="120" spans="1:27" hidden="1"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29.75</v>
      </c>
      <c r="V120" s="13">
        <f>IF(ISNA(VLOOKUP(LOWER(F120)&amp;H120,Prices!A:C,2,0)),0,VLOOKUP(LOWER(F120)&amp;H120,Prices!A:C,2,0))</f>
        <v>30</v>
      </c>
      <c r="W120" s="19">
        <f t="shared" ref="W120:W136" si="45">IF(I120="B",(V120+T120)*K120,(V120+T120)*K120)</f>
        <v>6286.7795999999998</v>
      </c>
      <c r="X120" s="13">
        <f t="shared" ref="X120:X136" si="46">K120*(V120-U120)</f>
        <v>-400</v>
      </c>
      <c r="Y120" s="43">
        <f t="shared" si="34"/>
        <v>0.11566786134824845</v>
      </c>
      <c r="Z120" s="49"/>
      <c r="AA120" s="24"/>
    </row>
    <row r="121" spans="1:27" hidden="1"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29.75</v>
      </c>
      <c r="V121" s="13">
        <f>IF(ISNA(VLOOKUP(LOWER(F121)&amp;H121,Prices!A:C,2,0)),0,VLOOKUP(LOWER(F121)&amp;H121,Prices!A:C,2,0))</f>
        <v>30</v>
      </c>
      <c r="W121" s="19">
        <f t="shared" si="45"/>
        <v>6063.0444000000007</v>
      </c>
      <c r="X121" s="13">
        <f t="shared" si="46"/>
        <v>-400</v>
      </c>
      <c r="Y121" s="43">
        <f t="shared" si="34"/>
        <v>0.11201308749630506</v>
      </c>
      <c r="Z121" s="49"/>
      <c r="AA121" s="24"/>
    </row>
    <row r="122" spans="1:27" hidden="1"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30.66</v>
      </c>
      <c r="V122" s="13">
        <f>IF(ISNA(VLOOKUP(LOWER(F122)&amp;H122,Prices!A:C,2,0)),0,VLOOKUP(LOWER(F122)&amp;H122,Prices!A:C,2,0))</f>
        <v>30.27</v>
      </c>
      <c r="W122" s="19">
        <f t="shared" si="45"/>
        <v>17780.699439999997</v>
      </c>
      <c r="X122" s="13">
        <f t="shared" si="46"/>
        <v>312.00000000000045</v>
      </c>
      <c r="Y122" s="43">
        <f t="shared" si="34"/>
        <v>0.42286671042617952</v>
      </c>
      <c r="Z122" s="49"/>
      <c r="AA122" s="24"/>
    </row>
    <row r="123" spans="1:27" hidden="1"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29.75</v>
      </c>
      <c r="V123" s="13">
        <f>IF(ISNA(VLOOKUP(LOWER(F123)&amp;H123,Prices!A:C,2,0)),0,VLOOKUP(LOWER(F123)&amp;H123,Prices!A:C,2,0))</f>
        <v>30</v>
      </c>
      <c r="W123" s="19">
        <f t="shared" si="45"/>
        <v>4300.181000000005</v>
      </c>
      <c r="X123" s="13">
        <f t="shared" si="46"/>
        <v>-275</v>
      </c>
      <c r="Y123" s="43">
        <f t="shared" si="34"/>
        <v>0.11514743606908569</v>
      </c>
      <c r="Z123" s="49"/>
      <c r="AA123" s="24"/>
    </row>
    <row r="124" spans="1:27" hidden="1"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29.75</v>
      </c>
      <c r="V124" s="13">
        <f>IF(ISNA(VLOOKUP(LOWER(F124)&amp;H124,Prices!A:C,2,0)),0,VLOOKUP(LOWER(F124)&amp;H124,Prices!A:C,2,0))</f>
        <v>30</v>
      </c>
      <c r="W124" s="19">
        <f t="shared" si="45"/>
        <v>4311.1688000000031</v>
      </c>
      <c r="X124" s="13">
        <f t="shared" si="46"/>
        <v>-275</v>
      </c>
      <c r="Y124" s="43">
        <f t="shared" si="34"/>
        <v>0.1154076667737446</v>
      </c>
      <c r="Z124" s="49"/>
      <c r="AA124" s="24"/>
    </row>
    <row r="125" spans="1:27" hidden="1"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29.75</v>
      </c>
      <c r="V125" s="13">
        <f>IF(ISNA(VLOOKUP(LOWER(F125)&amp;H125,Prices!A:C,2,0)),0,VLOOKUP(LOWER(F125)&amp;H125,Prices!A:C,2,0))</f>
        <v>30</v>
      </c>
      <c r="W125" s="19">
        <f t="shared" si="45"/>
        <v>4798.9803999999995</v>
      </c>
      <c r="X125" s="13">
        <f t="shared" si="46"/>
        <v>-300</v>
      </c>
      <c r="Y125" s="43">
        <f t="shared" si="34"/>
        <v>0.11748385233059144</v>
      </c>
      <c r="Z125" s="49"/>
      <c r="AA125" s="24"/>
    </row>
    <row r="126" spans="1:27" hidden="1"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12.38</v>
      </c>
      <c r="V126" s="13">
        <f>IF(ISNA(VLOOKUP(LOWER(F126)&amp;H126,Prices!A:C,2,0)),0,VLOOKUP(LOWER(F126)&amp;H126,Prices!A:C,2,0))</f>
        <v>12.25</v>
      </c>
      <c r="W126" s="19">
        <f t="shared" si="45"/>
        <v>2742.1887999999994</v>
      </c>
      <c r="X126" s="13">
        <f t="shared" si="46"/>
        <v>104.00000000000063</v>
      </c>
      <c r="Y126" s="43">
        <f t="shared" si="34"/>
        <v>0.21832713375796173</v>
      </c>
      <c r="Z126" s="49"/>
      <c r="AA126" s="24"/>
    </row>
    <row r="127" spans="1:27" hidden="1"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50.19</v>
      </c>
      <c r="V127" s="13">
        <f>IF(ISNA(VLOOKUP(LOWER(F127)&amp;H127,Prices!A:C,2,0)),0,VLOOKUP(LOWER(F127)&amp;H127,Prices!A:C,2,0))</f>
        <v>50.28</v>
      </c>
      <c r="W127" s="19">
        <f t="shared" si="45"/>
        <v>-7453.9335200000014</v>
      </c>
      <c r="X127" s="13">
        <f t="shared" si="46"/>
        <v>-36.000000000001364</v>
      </c>
      <c r="Y127" s="43">
        <f t="shared" si="34"/>
        <v>-0.5880351467339856</v>
      </c>
      <c r="Z127" s="49"/>
      <c r="AA127" s="24"/>
    </row>
    <row r="128" spans="1:27" hidden="1"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41.35</v>
      </c>
      <c r="V128" s="13">
        <f>IF(ISNA(VLOOKUP(LOWER(F128)&amp;H128,Prices!A:C,2,0)),0,VLOOKUP(LOWER(F128)&amp;H128,Prices!A:C,2,0))</f>
        <v>42.03</v>
      </c>
      <c r="W128" s="19">
        <f t="shared" si="45"/>
        <v>-7273.8112000000019</v>
      </c>
      <c r="X128" s="13">
        <f t="shared" si="46"/>
        <v>-747.99999999999966</v>
      </c>
      <c r="Y128" s="43">
        <f t="shared" si="34"/>
        <v>-0.18647929036558483</v>
      </c>
      <c r="Z128" s="49"/>
      <c r="AA128" s="24"/>
    </row>
    <row r="129" spans="1:27" hidden="1"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27.67</v>
      </c>
      <c r="V129" s="13">
        <f>IF(ISNA(VLOOKUP(LOWER(F129)&amp;H129,Prices!A:C,2,0)),0,VLOOKUP(LOWER(F129)&amp;H129,Prices!A:C,2,0))</f>
        <v>27.51</v>
      </c>
      <c r="W129" s="19">
        <f t="shared" si="45"/>
        <v>1024.7040000000034</v>
      </c>
      <c r="X129" s="13">
        <f t="shared" si="46"/>
        <v>-160.00000000000014</v>
      </c>
      <c r="Y129" s="43">
        <f t="shared" si="34"/>
        <v>3.86972809667675E-2</v>
      </c>
      <c r="Z129" s="49"/>
      <c r="AA129" s="24"/>
    </row>
    <row r="130" spans="1:27" hidden="1"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20.329999999999998</v>
      </c>
      <c r="V130" s="13">
        <f>IF(ISNA(VLOOKUP(LOWER(F130)&amp;H130,Prices!A:C,2,0)),0,VLOOKUP(LOWER(F130)&amp;H130,Prices!A:C,2,0))</f>
        <v>20.27</v>
      </c>
      <c r="W130" s="19">
        <f t="shared" si="45"/>
        <v>203.35709999999983</v>
      </c>
      <c r="X130" s="13">
        <f t="shared" si="46"/>
        <v>-89.999999999998082</v>
      </c>
      <c r="Y130" s="43">
        <f t="shared" si="34"/>
        <v>6.7347938400397359E-3</v>
      </c>
      <c r="Z130" s="49"/>
      <c r="AA130" s="24"/>
    </row>
    <row r="131" spans="1:27" hidden="1"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13.96</v>
      </c>
      <c r="V131" s="13">
        <f>IF(ISNA(VLOOKUP(LOWER(F131)&amp;H131,Prices!A:C,2,0)),0,VLOOKUP(LOWER(F131)&amp;H131,Prices!A:C,2,0))</f>
        <v>14.19</v>
      </c>
      <c r="W131" s="19">
        <f t="shared" si="45"/>
        <v>-16889.957200000008</v>
      </c>
      <c r="X131" s="13">
        <f t="shared" si="46"/>
        <v>459.99999999999727</v>
      </c>
      <c r="Y131" s="43">
        <f t="shared" si="34"/>
        <v>-0.37317625276182076</v>
      </c>
      <c r="Z131" s="49"/>
      <c r="AA131" s="24"/>
    </row>
    <row r="132" spans="1:27" hidden="1"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43.74</v>
      </c>
      <c r="V132" s="13">
        <f>IF(ISNA(VLOOKUP(LOWER(F132)&amp;H132,Prices!A:C,2,0)),0,VLOOKUP(LOWER(F132)&amp;H132,Prices!A:C,2,0))</f>
        <v>45.67</v>
      </c>
      <c r="W132" s="19">
        <f t="shared" si="45"/>
        <v>23155</v>
      </c>
      <c r="X132" s="13">
        <f t="shared" si="46"/>
        <v>1929.9999999999998</v>
      </c>
      <c r="Y132" s="43">
        <f t="shared" si="34"/>
        <v>1.0286539315859617</v>
      </c>
      <c r="Z132" s="49"/>
      <c r="AA132" s="24"/>
    </row>
    <row r="133" spans="1:27" hidden="1"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14.57</v>
      </c>
      <c r="V133" s="13">
        <f>IF(ISNA(VLOOKUP(LOWER(F133)&amp;H133,Prices!A:C,2,0)),0,VLOOKUP(LOWER(F133)&amp;H133,Prices!A:C,2,0))</f>
        <v>14.54</v>
      </c>
      <c r="W133" s="19">
        <f t="shared" si="45"/>
        <v>-10195</v>
      </c>
      <c r="X133" s="13">
        <f t="shared" si="46"/>
        <v>-30.000000000001137</v>
      </c>
      <c r="Y133" s="43">
        <f t="shared" ref="Y133:Y196" si="50">W133/O133</f>
        <v>-0.41225232511120097</v>
      </c>
      <c r="Z133" s="49"/>
      <c r="AA133" s="24"/>
    </row>
    <row r="134" spans="1:27" hidden="1"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29.75</v>
      </c>
      <c r="V134" s="13">
        <f>IF(ISNA(VLOOKUP(LOWER(F134)&amp;H134,Prices!A:C,2,0)),0,VLOOKUP(LOWER(F134)&amp;H134,Prices!A:C,2,0))</f>
        <v>30</v>
      </c>
      <c r="W134" s="19">
        <f t="shared" si="45"/>
        <v>-3366.6720000000014</v>
      </c>
      <c r="X134" s="13">
        <f t="shared" si="46"/>
        <v>250</v>
      </c>
      <c r="Y134" s="43">
        <f t="shared" si="50"/>
        <v>-0.1009194244604317</v>
      </c>
      <c r="Z134" s="49"/>
      <c r="AA134" s="24"/>
    </row>
    <row r="135" spans="1:27" hidden="1"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23.74</v>
      </c>
      <c r="V135" s="13">
        <f>IF(ISNA(VLOOKUP(LOWER(F135)&amp;H135,Prices!A:C,2,0)),0,VLOOKUP(LOWER(F135)&amp;H135,Prices!A:C,2,0))</f>
        <v>22.9</v>
      </c>
      <c r="W135" s="19">
        <f t="shared" si="45"/>
        <v>7809.692999999992</v>
      </c>
      <c r="X135" s="13">
        <f t="shared" si="46"/>
        <v>-1259.9999999999998</v>
      </c>
      <c r="Y135" s="43">
        <f t="shared" si="50"/>
        <v>0.29431667608818507</v>
      </c>
      <c r="Z135" s="49"/>
      <c r="AA135" s="24"/>
    </row>
    <row r="136" spans="1:27" hidden="1"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9.91</v>
      </c>
      <c r="V136" s="13">
        <f>IF(ISNA(VLOOKUP(LOWER(F136)&amp;H136,Prices!A:C,2,0)),0,VLOOKUP(LOWER(F136)&amp;H136,Prices!A:C,2,0))</f>
        <v>10.11</v>
      </c>
      <c r="W136" s="19">
        <f t="shared" si="45"/>
        <v>-19852.002</v>
      </c>
      <c r="X136" s="13">
        <f t="shared" si="46"/>
        <v>299.99999999999892</v>
      </c>
      <c r="Y136" s="43">
        <f t="shared" si="50"/>
        <v>-0.56703804627249355</v>
      </c>
      <c r="Z136" s="49"/>
      <c r="AA136" s="24"/>
    </row>
    <row r="137" spans="1:27" hidden="1"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27.67</v>
      </c>
      <c r="V137" s="13">
        <f>IF(ISNA(VLOOKUP(LOWER(F137)&amp;H137,Prices!A:C,2,0)),0,VLOOKUP(LOWER(F137)&amp;H137,Prices!A:C,2,0))</f>
        <v>27.51</v>
      </c>
      <c r="W137" s="19">
        <f t="shared" ref="W137:W147" si="55">IF(I137="B",(V137+T137)*K137,(V137+T137)*K137)</f>
        <v>-302.6880000000034</v>
      </c>
      <c r="X137" s="13">
        <f t="shared" ref="X137:X147" si="56">K137*(V137-U137)</f>
        <v>160.00000000000014</v>
      </c>
      <c r="Y137" s="43">
        <f t="shared" si="50"/>
        <v>-1.1111894273127879E-2</v>
      </c>
      <c r="Z137" s="49"/>
      <c r="AA137" s="24"/>
    </row>
    <row r="138" spans="1:27" hidden="1"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43.74</v>
      </c>
      <c r="V138" s="13">
        <f>IF(ISNA(VLOOKUP(LOWER(F138)&amp;H138,Prices!A:C,2,0)),0,VLOOKUP(LOWER(F138)&amp;H138,Prices!A:C,2,0))</f>
        <v>45.67</v>
      </c>
      <c r="W138" s="19">
        <f t="shared" si="55"/>
        <v>-22847.850000000002</v>
      </c>
      <c r="X138" s="13">
        <f t="shared" si="56"/>
        <v>-1929.9999999999998</v>
      </c>
      <c r="Y138" s="43">
        <f t="shared" si="50"/>
        <v>-0.99990590809628022</v>
      </c>
      <c r="Z138" s="49"/>
      <c r="AA138" s="24"/>
    </row>
    <row r="139" spans="1:27" hidden="1"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20.329999999999998</v>
      </c>
      <c r="V139" s="13">
        <f>IF(ISNA(VLOOKUP(LOWER(F139)&amp;H139,Prices!A:C,2,0)),0,VLOOKUP(LOWER(F139)&amp;H139,Prices!A:C,2,0))</f>
        <v>20.27</v>
      </c>
      <c r="W139" s="19">
        <f t="shared" si="55"/>
        <v>-37.099100000000718</v>
      </c>
      <c r="X139" s="13">
        <f t="shared" si="56"/>
        <v>89.999999999998082</v>
      </c>
      <c r="Y139" s="43">
        <f t="shared" si="50"/>
        <v>-1.2201644466370899E-3</v>
      </c>
      <c r="Z139" s="49"/>
      <c r="AA139" s="24"/>
    </row>
    <row r="140" spans="1:27" hidden="1"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29.75</v>
      </c>
      <c r="V140" s="13">
        <f>IF(ISNA(VLOOKUP(LOWER(F140)&amp;H140,Prices!A:C,2,0)),0,VLOOKUP(LOWER(F140)&amp;H140,Prices!A:C,2,0))</f>
        <v>30</v>
      </c>
      <c r="W140" s="19">
        <f t="shared" si="55"/>
        <v>3549.6920000000005</v>
      </c>
      <c r="X140" s="13">
        <f t="shared" si="56"/>
        <v>-250</v>
      </c>
      <c r="Y140" s="43">
        <f t="shared" si="50"/>
        <v>0.10567704674010124</v>
      </c>
      <c r="Z140" s="49"/>
      <c r="AA140" s="24"/>
    </row>
    <row r="141" spans="1:27" hidden="1"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9.91</v>
      </c>
      <c r="V141" s="13">
        <f>IF(ISNA(VLOOKUP(LOWER(F141)&amp;H141,Prices!A:C,2,0)),0,VLOOKUP(LOWER(F141)&amp;H141,Prices!A:C,2,0))</f>
        <v>10.11</v>
      </c>
      <c r="W141" s="19">
        <f t="shared" si="55"/>
        <v>20237.461000000003</v>
      </c>
      <c r="X141" s="13">
        <f t="shared" si="56"/>
        <v>-299.99999999999892</v>
      </c>
      <c r="Y141" s="43">
        <f t="shared" si="50"/>
        <v>0.57095390040908456</v>
      </c>
      <c r="Z141" s="49"/>
      <c r="AA141" s="24"/>
    </row>
    <row r="142" spans="1:27" hidden="1"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30.21</v>
      </c>
      <c r="V142" s="13">
        <f>IF(ISNA(VLOOKUP(LOWER(F142)&amp;H142,Prices!A:C,2,0)),0,VLOOKUP(LOWER(F142)&amp;H142,Prices!A:C,2,0))</f>
        <v>29.99</v>
      </c>
      <c r="W142" s="19">
        <f t="shared" si="55"/>
        <v>9521.7368000000097</v>
      </c>
      <c r="X142" s="13">
        <f t="shared" si="56"/>
        <v>220.00000000000242</v>
      </c>
      <c r="Y142" s="43">
        <f t="shared" si="50"/>
        <v>0.2406910212335695</v>
      </c>
      <c r="Z142" s="49"/>
      <c r="AA142" s="24"/>
    </row>
    <row r="143" spans="1:27" hidden="1"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13.96</v>
      </c>
      <c r="V143" s="13">
        <f>IF(ISNA(VLOOKUP(LOWER(F143)&amp;H143,Prices!A:C,2,0)),0,VLOOKUP(LOWER(F143)&amp;H143,Prices!A:C,2,0))</f>
        <v>14.19</v>
      </c>
      <c r="W143" s="19">
        <f t="shared" si="55"/>
        <v>16964.61199999999</v>
      </c>
      <c r="X143" s="13">
        <f t="shared" si="56"/>
        <v>-459.99999999999727</v>
      </c>
      <c r="Y143" s="43">
        <f t="shared" si="50"/>
        <v>0.37366986784140949</v>
      </c>
      <c r="Z143" s="49"/>
      <c r="AA143" s="24"/>
    </row>
    <row r="144" spans="1:27" hidden="1"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650.07000000000005</v>
      </c>
      <c r="V144" s="13">
        <f>IF(ISNA(VLOOKUP(LOWER(F144)&amp;H144,Prices!A:C,2,0)),0,VLOOKUP(LOWER(F144)&amp;H144,Prices!A:C,2,0))</f>
        <v>677.95</v>
      </c>
      <c r="W144" s="19">
        <f t="shared" si="55"/>
        <v>-36905.733940000006</v>
      </c>
      <c r="X144" s="13">
        <f t="shared" si="56"/>
        <v>-2787.9999999999995</v>
      </c>
      <c r="Y144" s="43">
        <f t="shared" si="50"/>
        <v>-1.1933176169689916</v>
      </c>
      <c r="Z144" s="49"/>
      <c r="AA144" s="24"/>
    </row>
    <row r="145" spans="1:27" hidden="1"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23.74</v>
      </c>
      <c r="V145" s="13">
        <f>IF(ISNA(VLOOKUP(LOWER(F145)&amp;H145,Prices!A:C,2,0)),0,VLOOKUP(LOWER(F145)&amp;H145,Prices!A:C,2,0))</f>
        <v>22.9</v>
      </c>
      <c r="W145" s="19">
        <f t="shared" si="55"/>
        <v>-7741.9679999999926</v>
      </c>
      <c r="X145" s="13">
        <f t="shared" si="56"/>
        <v>1259.9999999999998</v>
      </c>
      <c r="Y145" s="43">
        <f t="shared" si="50"/>
        <v>-0.2906144144144141</v>
      </c>
      <c r="Z145" s="49"/>
      <c r="AA145" s="24"/>
    </row>
    <row r="146" spans="1:27" hidden="1"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40.83</v>
      </c>
      <c r="V146" s="13">
        <f>IF(ISNA(VLOOKUP(LOWER(F146)&amp;H146,Prices!A:C,2,0)),0,VLOOKUP(LOWER(F146)&amp;H146,Prices!A:C,2,0))</f>
        <v>42.32</v>
      </c>
      <c r="W146" s="19">
        <f t="shared" si="55"/>
        <v>35678.8851</v>
      </c>
      <c r="X146" s="13">
        <f t="shared" si="56"/>
        <v>2235.0000000000032</v>
      </c>
      <c r="Y146" s="43">
        <f t="shared" si="50"/>
        <v>1.2836440043173232</v>
      </c>
      <c r="Z146" s="49"/>
      <c r="AA146" s="24"/>
    </row>
    <row r="147" spans="1:27" hidden="1"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25.07</v>
      </c>
      <c r="V147" s="13">
        <f>IF(ISNA(VLOOKUP(LOWER(F147)&amp;H147,Prices!A:C,2,0)),0,VLOOKUP(LOWER(F147)&amp;H147,Prices!A:C,2,0))</f>
        <v>25.77</v>
      </c>
      <c r="W147" s="19">
        <f t="shared" si="55"/>
        <v>7823.8349999999973</v>
      </c>
      <c r="X147" s="13">
        <f t="shared" si="56"/>
        <v>1049.9999999999989</v>
      </c>
      <c r="Y147" s="43">
        <f t="shared" si="50"/>
        <v>0.25381459854014587</v>
      </c>
      <c r="Z147" s="49"/>
      <c r="AA147" s="24"/>
    </row>
    <row r="148" spans="1:27" hidden="1"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35.99</v>
      </c>
      <c r="V148" s="13">
        <f>IF(ISNA(VLOOKUP(LOWER(F148)&amp;H148,Prices!A:C,2,0)),0,VLOOKUP(LOWER(F148)&amp;H148,Prices!A:C,2,0))</f>
        <v>36.229999999999997</v>
      </c>
      <c r="W148" s="19">
        <f t="shared" ref="W148:W164" si="62">IF(I148="B",(V148+T148)*K148,(V148+T148)*K148)</f>
        <v>-8847.8404000000046</v>
      </c>
      <c r="X148" s="13">
        <f t="shared" ref="X148:X164" si="63">K148*(V148-U148)</f>
        <v>167.99999999999642</v>
      </c>
      <c r="Y148" s="43">
        <f t="shared" si="50"/>
        <v>-0.25869365534179301</v>
      </c>
      <c r="Z148" s="49"/>
      <c r="AA148" s="24"/>
    </row>
    <row r="149" spans="1:27" hidden="1"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22.49</v>
      </c>
      <c r="V149" s="13">
        <f>IF(ISNA(VLOOKUP(LOWER(F149)&amp;H149,Prices!A:C,2,0)),0,VLOOKUP(LOWER(F149)&amp;H149,Prices!A:C,2,0))</f>
        <v>22.28</v>
      </c>
      <c r="W149" s="19">
        <f t="shared" si="62"/>
        <v>9673.0239999999976</v>
      </c>
      <c r="X149" s="13">
        <f t="shared" si="63"/>
        <v>-419.9999999999946</v>
      </c>
      <c r="Y149" s="43">
        <f t="shared" si="50"/>
        <v>0.27732293577981643</v>
      </c>
      <c r="Z149" s="49"/>
      <c r="AA149" s="24"/>
    </row>
    <row r="150" spans="1:27" hidden="1"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35.99</v>
      </c>
      <c r="V150" s="13">
        <f>IF(ISNA(VLOOKUP(LOWER(F150)&amp;H150,Prices!A:C,2,0)),0,VLOOKUP(LOWER(F150)&amp;H150,Prices!A:C,2,0))</f>
        <v>36.229999999999997</v>
      </c>
      <c r="W150" s="19">
        <f t="shared" si="62"/>
        <v>-8469.7647999999972</v>
      </c>
      <c r="X150" s="13">
        <f t="shared" si="63"/>
        <v>167.99999999999642</v>
      </c>
      <c r="Y150" s="43">
        <f t="shared" si="50"/>
        <v>-0.25040695364238402</v>
      </c>
      <c r="Z150" s="49"/>
      <c r="AA150" s="24"/>
    </row>
    <row r="151" spans="1:27" hidden="1"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35.99</v>
      </c>
      <c r="V151" s="13">
        <f>IF(ISNA(VLOOKUP(LOWER(F151)&amp;H151,Prices!A:C,2,0)),0,VLOOKUP(LOWER(F151)&amp;H151,Prices!A:C,2,0))</f>
        <v>36.229999999999997</v>
      </c>
      <c r="W151" s="19">
        <f t="shared" si="62"/>
        <v>-8455.7620000000024</v>
      </c>
      <c r="X151" s="13">
        <f t="shared" si="63"/>
        <v>167.99999999999642</v>
      </c>
      <c r="Y151" s="43">
        <f t="shared" si="50"/>
        <v>-0.25009648033126303</v>
      </c>
      <c r="Z151" s="49"/>
      <c r="AA151" s="24"/>
    </row>
    <row r="152" spans="1:27" hidden="1"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20.91</v>
      </c>
      <c r="V152" s="13">
        <f>IF(ISNA(VLOOKUP(LOWER(F152)&amp;H152,Prices!A:C,2,0)),0,VLOOKUP(LOWER(F152)&amp;H152,Prices!A:C,2,0))</f>
        <v>21.1</v>
      </c>
      <c r="W152" s="19">
        <f t="shared" si="62"/>
        <v>-2085.4635999999973</v>
      </c>
      <c r="X152" s="13">
        <f t="shared" si="63"/>
        <v>190.00000000000128</v>
      </c>
      <c r="Y152" s="43">
        <f t="shared" si="50"/>
        <v>-8.9968231233822138E-2</v>
      </c>
      <c r="Z152" s="49"/>
      <c r="AA152" s="24"/>
    </row>
    <row r="153" spans="1:27" hidden="1"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36.14</v>
      </c>
      <c r="V153" s="13">
        <f>IF(ISNA(VLOOKUP(LOWER(F153)&amp;H153,Prices!A:C,2,0)),0,VLOOKUP(LOWER(F153)&amp;H153,Prices!A:C,2,0))</f>
        <v>36.01</v>
      </c>
      <c r="W153" s="19">
        <f t="shared" si="62"/>
        <v>1367.0000000000036</v>
      </c>
      <c r="X153" s="13">
        <f t="shared" si="63"/>
        <v>-91.000000000001791</v>
      </c>
      <c r="Y153" s="43">
        <f t="shared" si="50"/>
        <v>5.7352632683029321E-2</v>
      </c>
      <c r="Z153" s="49"/>
      <c r="AA153" s="24"/>
    </row>
    <row r="154" spans="1:27" hidden="1"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20.91</v>
      </c>
      <c r="V154" s="13">
        <f>IF(ISNA(VLOOKUP(LOWER(F154)&amp;H154,Prices!A:C,2,0)),0,VLOOKUP(LOWER(F154)&amp;H154,Prices!A:C,2,0))</f>
        <v>21.1</v>
      </c>
      <c r="W154" s="19">
        <f t="shared" si="62"/>
        <v>-2015.4622000000018</v>
      </c>
      <c r="X154" s="13">
        <f t="shared" si="63"/>
        <v>190.00000000000128</v>
      </c>
      <c r="Y154" s="43">
        <f t="shared" si="50"/>
        <v>-8.7211691908264902E-2</v>
      </c>
      <c r="Z154" s="49"/>
      <c r="AA154" s="24"/>
    </row>
    <row r="155" spans="1:27" hidden="1"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20.91</v>
      </c>
      <c r="V155" s="13">
        <f>IF(ISNA(VLOOKUP(LOWER(F155)&amp;H155,Prices!A:C,2,0)),0,VLOOKUP(LOWER(F155)&amp;H155,Prices!A:C,2,0))</f>
        <v>21.1</v>
      </c>
      <c r="W155" s="19">
        <f t="shared" si="62"/>
        <v>-3013.6243200000017</v>
      </c>
      <c r="X155" s="13">
        <f t="shared" si="63"/>
        <v>285.00000000000193</v>
      </c>
      <c r="Y155" s="43">
        <f t="shared" si="50"/>
        <v>-8.6958227146814449E-2</v>
      </c>
      <c r="Z155" s="49"/>
      <c r="AA155" s="24"/>
    </row>
    <row r="156" spans="1:27" hidden="1"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22.49</v>
      </c>
      <c r="V156" s="13">
        <f>IF(ISNA(VLOOKUP(LOWER(F156)&amp;H156,Prices!A:C,2,0)),0,VLOOKUP(LOWER(F156)&amp;H156,Prices!A:C,2,0))</f>
        <v>22.28</v>
      </c>
      <c r="W156" s="19">
        <f t="shared" si="62"/>
        <v>-9602.0000000000036</v>
      </c>
      <c r="X156" s="13">
        <f t="shared" si="63"/>
        <v>419.9999999999946</v>
      </c>
      <c r="Y156" s="43">
        <f t="shared" si="50"/>
        <v>-0.27434285714285722</v>
      </c>
      <c r="Z156" s="49"/>
      <c r="AA156" s="24"/>
    </row>
    <row r="157" spans="1:27" hidden="1"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36.14</v>
      </c>
      <c r="V157" s="13">
        <f>IF(ISNA(VLOOKUP(LOWER(F157)&amp;H157,Prices!A:C,2,0)),0,VLOOKUP(LOWER(F157)&amp;H157,Prices!A:C,2,0))</f>
        <v>36.01</v>
      </c>
      <c r="W157" s="19">
        <f t="shared" si="62"/>
        <v>-1295.9399999999923</v>
      </c>
      <c r="X157" s="13">
        <f t="shared" si="63"/>
        <v>91.000000000001791</v>
      </c>
      <c r="Y157" s="43">
        <f t="shared" si="50"/>
        <v>-5.4132832080200172E-2</v>
      </c>
      <c r="Z157" s="49"/>
      <c r="AA157" s="24"/>
    </row>
    <row r="158" spans="1:27" hidden="1"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40.83</v>
      </c>
      <c r="V158" s="13">
        <f>IF(ISNA(VLOOKUP(LOWER(F158)&amp;H158,Prices!A:C,2,0)),0,VLOOKUP(LOWER(F158)&amp;H158,Prices!A:C,2,0))</f>
        <v>42.32</v>
      </c>
      <c r="W158" s="19">
        <f t="shared" si="62"/>
        <v>-35646.000960099984</v>
      </c>
      <c r="X158" s="13">
        <f t="shared" si="63"/>
        <v>-2235.0000000000032</v>
      </c>
      <c r="Y158" s="43">
        <f t="shared" si="50"/>
        <v>-1.2791015128544529</v>
      </c>
      <c r="Z158" s="49"/>
      <c r="AA158" s="24"/>
    </row>
    <row r="159" spans="1:27" hidden="1"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20.91</v>
      </c>
      <c r="V159" s="13">
        <f>IF(ISNA(VLOOKUP(LOWER(F159)&amp;H159,Prices!A:C,2,0)),0,VLOOKUP(LOWER(F159)&amp;H159,Prices!A:C,2,0))</f>
        <v>21.1</v>
      </c>
      <c r="W159" s="19">
        <f t="shared" si="62"/>
        <v>3504.9069399999962</v>
      </c>
      <c r="X159" s="13">
        <f t="shared" si="63"/>
        <v>-323.00000000000216</v>
      </c>
      <c r="Y159" s="43">
        <f t="shared" si="50"/>
        <v>8.890513000025356E-2</v>
      </c>
      <c r="Z159" s="49"/>
      <c r="AA159" s="24"/>
    </row>
    <row r="160" spans="1:27" hidden="1"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20.91</v>
      </c>
      <c r="V160" s="13">
        <f>IF(ISNA(VLOOKUP(LOWER(F160)&amp;H160,Prices!A:C,2,0)),0,VLOOKUP(LOWER(F160)&amp;H160,Prices!A:C,2,0))</f>
        <v>21.1</v>
      </c>
      <c r="W160" s="19">
        <f t="shared" si="62"/>
        <v>3729.0527999999922</v>
      </c>
      <c r="X160" s="13">
        <f t="shared" si="63"/>
        <v>-342.00000000000227</v>
      </c>
      <c r="Y160" s="43">
        <f t="shared" si="50"/>
        <v>8.9297241379310152E-2</v>
      </c>
      <c r="Z160" s="49"/>
      <c r="AA160" s="24"/>
    </row>
    <row r="161" spans="1:27" hidden="1"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35.99</v>
      </c>
      <c r="V161" s="13">
        <f>IF(ISNA(VLOOKUP(LOWER(F161)&amp;H161,Prices!A:C,2,0)),0,VLOOKUP(LOWER(F161)&amp;H161,Prices!A:C,2,0))</f>
        <v>36.229999999999997</v>
      </c>
      <c r="W161" s="19">
        <f t="shared" si="62"/>
        <v>12811.080000000004</v>
      </c>
      <c r="X161" s="13">
        <f t="shared" si="63"/>
        <v>-239.99999999999488</v>
      </c>
      <c r="Y161" s="43">
        <f t="shared" si="50"/>
        <v>0.2609181262729125</v>
      </c>
      <c r="Z161" s="49"/>
      <c r="AA161" s="24"/>
    </row>
    <row r="162" spans="1:27" hidden="1"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25.07</v>
      </c>
      <c r="V162" s="13">
        <f>IF(ISNA(VLOOKUP(LOWER(F162)&amp;H162,Prices!A:C,2,0)),0,VLOOKUP(LOWER(F162)&amp;H162,Prices!A:C,2,0))</f>
        <v>25.77</v>
      </c>
      <c r="W162" s="19">
        <f t="shared" si="62"/>
        <v>-7642.2599999999966</v>
      </c>
      <c r="X162" s="13">
        <f t="shared" si="63"/>
        <v>-1049.9999999999989</v>
      </c>
      <c r="Y162" s="43">
        <f t="shared" si="50"/>
        <v>-0.24612753623188394</v>
      </c>
      <c r="Z162" s="49"/>
      <c r="AA162" s="24"/>
    </row>
    <row r="163" spans="1:27" hidden="1"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14.57</v>
      </c>
      <c r="V163" s="13">
        <f>IF(ISNA(VLOOKUP(LOWER(F163)&amp;H163,Prices!A:C,2,0)),0,VLOOKUP(LOWER(F163)&amp;H163,Prices!A:C,2,0))</f>
        <v>14.54</v>
      </c>
      <c r="W163" s="19">
        <f t="shared" si="62"/>
        <v>5042.670000000001</v>
      </c>
      <c r="X163" s="13">
        <f t="shared" si="63"/>
        <v>15.000000000000568</v>
      </c>
      <c r="Y163" s="43">
        <f t="shared" si="50"/>
        <v>0.40897566909975674</v>
      </c>
      <c r="Z163" s="49"/>
      <c r="AA163" s="24"/>
    </row>
    <row r="164" spans="1:27" hidden="1"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35.99</v>
      </c>
      <c r="V164" s="13">
        <f>IF(ISNA(VLOOKUP(LOWER(F164)&amp;H164,Prices!A:C,2,0)),0,VLOOKUP(LOWER(F164)&amp;H164,Prices!A:C,2,0))</f>
        <v>36.229999999999997</v>
      </c>
      <c r="W164" s="19">
        <f t="shared" si="62"/>
        <v>13707.64500000001</v>
      </c>
      <c r="X164" s="13">
        <f t="shared" si="63"/>
        <v>-263.99999999999437</v>
      </c>
      <c r="Y164" s="43">
        <f t="shared" si="50"/>
        <v>0.25562041958041976</v>
      </c>
      <c r="Z164" s="49"/>
      <c r="AA164" s="24"/>
    </row>
    <row r="165" spans="1:27" hidden="1"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14.57</v>
      </c>
      <c r="V165" s="13">
        <f>IF(ISNA(VLOOKUP(LOWER(F165)&amp;H165,Prices!A:C,2,0)),0,VLOOKUP(LOWER(F165)&amp;H165,Prices!A:C,2,0))</f>
        <v>14.54</v>
      </c>
      <c r="W165" s="19">
        <f t="shared" ref="W165:W179" si="68">IF(I165="B",(V165+T165)*K165,(V165+T165)*K165)</f>
        <v>5057.6500000000005</v>
      </c>
      <c r="X165" s="13">
        <f t="shared" ref="X165:X179" si="69">K165*(V165-U165)</f>
        <v>15.000000000000568</v>
      </c>
      <c r="Y165" s="43">
        <f t="shared" si="50"/>
        <v>0.40969218307006888</v>
      </c>
      <c r="Z165" s="49"/>
      <c r="AA165" s="24"/>
    </row>
    <row r="166" spans="1:27" ht="81" hidden="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20.36</v>
      </c>
      <c r="V166" s="13">
        <f>IF(ISNA(VLOOKUP(LOWER(F166)&amp;H166,Prices!A:C,2,0)),0,VLOOKUP(LOWER(F166)&amp;H166,Prices!A:C,2,0))</f>
        <v>20.97</v>
      </c>
      <c r="W166" s="19">
        <f t="shared" si="68"/>
        <v>-2335.0000000000009</v>
      </c>
      <c r="X166" s="13">
        <f t="shared" si="69"/>
        <v>609.99999999999943</v>
      </c>
      <c r="Y166" s="43">
        <f t="shared" si="50"/>
        <v>-0.10021459227467815</v>
      </c>
      <c r="Z166" s="49" t="s">
        <v>1289</v>
      </c>
      <c r="AA166" s="24"/>
    </row>
    <row r="167" spans="1:27" ht="40.5" hidden="1"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14.53</v>
      </c>
      <c r="V167" s="13">
        <f>IF(ISNA(VLOOKUP(LOWER(F167)&amp;H167,Prices!A:C,2,0)),0,VLOOKUP(LOWER(F167)&amp;H167,Prices!A:C,2,0))</f>
        <v>14.26</v>
      </c>
      <c r="W167" s="19">
        <f t="shared" si="68"/>
        <v>-14576.342599999998</v>
      </c>
      <c r="X167" s="13">
        <f t="shared" si="69"/>
        <v>-269.99999999999955</v>
      </c>
      <c r="Y167" s="43">
        <f t="shared" si="50"/>
        <v>-0.50559634408602139</v>
      </c>
      <c r="Z167" s="49" t="s">
        <v>1281</v>
      </c>
      <c r="AA167" s="24"/>
    </row>
    <row r="168" spans="1:27" ht="27" hidden="1"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47.73</v>
      </c>
      <c r="V168" s="13">
        <f>IF(ISNA(VLOOKUP(LOWER(F168)&amp;H168,Prices!A:C,2,0)),0,VLOOKUP(LOWER(F168)&amp;H168,Prices!A:C,2,0))</f>
        <v>49.16</v>
      </c>
      <c r="W168" s="19">
        <f>IF(I168="B",(V168+T168)*K168,(V168+T168)*K168)</f>
        <v>1211.7788400000009</v>
      </c>
      <c r="X168" s="13">
        <f t="shared" si="69"/>
        <v>857.99999999999977</v>
      </c>
      <c r="Y168" s="43">
        <f t="shared" si="50"/>
        <v>4.2852353065987725E-2</v>
      </c>
      <c r="Z168" s="49" t="s">
        <v>1288</v>
      </c>
      <c r="AA168" s="24"/>
    </row>
    <row r="169" spans="1:27" ht="67.5" hidden="1"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16.43</v>
      </c>
      <c r="V169" s="13">
        <f>IF(ISNA(VLOOKUP(LOWER(F169)&amp;H169,Prices!A:C,2,0)),0,VLOOKUP(LOWER(F169)&amp;H169,Prices!A:C,2,0))</f>
        <v>16.45</v>
      </c>
      <c r="W169" s="19">
        <f t="shared" si="68"/>
        <v>-3487.2760000000012</v>
      </c>
      <c r="X169" s="13">
        <f t="shared" si="69"/>
        <v>39.999999999999147</v>
      </c>
      <c r="Y169" s="43">
        <f t="shared" si="50"/>
        <v>-9.5856954370533293E-2</v>
      </c>
      <c r="Z169" s="49" t="s">
        <v>1282</v>
      </c>
      <c r="AA169" s="24"/>
    </row>
    <row r="170" spans="1:27" ht="40.5" hidden="1"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17.75</v>
      </c>
      <c r="V170" s="13">
        <f>IF(ISNA(VLOOKUP(LOWER(F170)&amp;H170,Prices!A:C,2,0)),0,VLOOKUP(LOWER(F170)&amp;H170,Prices!A:C,2,0))</f>
        <v>17.559999999999999</v>
      </c>
      <c r="W170" s="19">
        <f t="shared" si="68"/>
        <v>-4866.2400000000016</v>
      </c>
      <c r="X170" s="13">
        <f t="shared" si="69"/>
        <v>-285.00000000000193</v>
      </c>
      <c r="Y170" s="43">
        <f t="shared" si="50"/>
        <v>-0.15596923076923083</v>
      </c>
      <c r="Z170" s="49" t="s">
        <v>1283</v>
      </c>
      <c r="AA170" s="24"/>
    </row>
    <row r="171" spans="1:27" ht="67.5" hidden="1"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15.4</v>
      </c>
      <c r="V171" s="13">
        <f>IF(ISNA(VLOOKUP(LOWER(F171)&amp;H171,Prices!A:C,2,0)),0,VLOOKUP(LOWER(F171)&amp;H171,Prices!A:C,2,0))</f>
        <v>15.56</v>
      </c>
      <c r="W171" s="19">
        <f t="shared" si="68"/>
        <v>-5244.9999999999991</v>
      </c>
      <c r="X171" s="13">
        <f t="shared" si="69"/>
        <v>160.00000000000014</v>
      </c>
      <c r="Y171" s="43">
        <f t="shared" si="50"/>
        <v>-0.25216346153846148</v>
      </c>
      <c r="Z171" s="49" t="s">
        <v>1290</v>
      </c>
      <c r="AA171" s="24"/>
    </row>
    <row r="172" spans="1:27" hidden="1"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14.53</v>
      </c>
      <c r="V172" s="13">
        <f>IF(ISNA(VLOOKUP(LOWER(F172)&amp;H172,Prices!A:C,2,0)),0,VLOOKUP(LOWER(F172)&amp;H172,Prices!A:C,2,0))</f>
        <v>14.26</v>
      </c>
      <c r="W172" s="19">
        <f t="shared" si="68"/>
        <v>-14316.285400000001</v>
      </c>
      <c r="X172" s="13">
        <f t="shared" si="69"/>
        <v>-269.99999999999955</v>
      </c>
      <c r="Y172" s="43">
        <f t="shared" si="50"/>
        <v>-0.50109504375218761</v>
      </c>
      <c r="Z172" s="49" t="s">
        <v>1284</v>
      </c>
      <c r="AA172" s="24"/>
    </row>
    <row r="173" spans="1:27" hidden="1"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16.43</v>
      </c>
      <c r="V173" s="13">
        <f>IF(ISNA(VLOOKUP(LOWER(F173)&amp;H173,Prices!A:C,2,0)),0,VLOOKUP(LOWER(F173)&amp;H173,Prices!A:C,2,0))</f>
        <v>16.45</v>
      </c>
      <c r="W173" s="19">
        <f t="shared" si="68"/>
        <v>-2555.4449999999952</v>
      </c>
      <c r="X173" s="13">
        <f t="shared" si="69"/>
        <v>29.999999999999361</v>
      </c>
      <c r="Y173" s="43">
        <f t="shared" si="50"/>
        <v>-9.3863911845729855E-2</v>
      </c>
      <c r="Z173" s="49"/>
      <c r="AA173" s="24"/>
    </row>
    <row r="174" spans="1:27" ht="121.5" hidden="1"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14.92</v>
      </c>
      <c r="V174" s="13">
        <f>IF(ISNA(VLOOKUP(LOWER(F174)&amp;H174,Prices!A:C,2,0)),0,VLOOKUP(LOWER(F174)&amp;H174,Prices!A:C,2,0))</f>
        <v>14.79</v>
      </c>
      <c r="W174" s="19">
        <f t="shared" si="68"/>
        <v>-1066.7408000000016</v>
      </c>
      <c r="X174" s="13">
        <f t="shared" si="69"/>
        <v>-260.00000000000159</v>
      </c>
      <c r="Y174" s="43">
        <f t="shared" si="50"/>
        <v>-3.4815300261096659E-2</v>
      </c>
      <c r="Z174" s="49" t="s">
        <v>1285</v>
      </c>
      <c r="AA174" s="24"/>
    </row>
    <row r="175" spans="1:27" ht="27" hidden="1"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14.92</v>
      </c>
      <c r="V175" s="13">
        <f>IF(ISNA(VLOOKUP(LOWER(F175)&amp;H175,Prices!A:C,2,0)),0,VLOOKUP(LOWER(F175)&amp;H175,Prices!A:C,2,0))</f>
        <v>14.79</v>
      </c>
      <c r="W175" s="19">
        <f t="shared" si="68"/>
        <v>-485.30539999999968</v>
      </c>
      <c r="X175" s="13">
        <f t="shared" si="69"/>
        <v>-130.0000000000008</v>
      </c>
      <c r="Y175" s="43">
        <f t="shared" si="50"/>
        <v>-3.1781624099541564E-2</v>
      </c>
      <c r="Z175" s="49" t="s">
        <v>1287</v>
      </c>
      <c r="AA175" s="24"/>
    </row>
    <row r="176" spans="1:27" ht="54" hidden="1"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13.94</v>
      </c>
      <c r="V176" s="13">
        <f>IF(ISNA(VLOOKUP(LOWER(F176)&amp;H176,Prices!A:C,2,0)),0,VLOOKUP(LOWER(F176)&amp;H176,Prices!A:C,2,0))</f>
        <v>13.77</v>
      </c>
      <c r="W176" s="19">
        <f t="shared" si="68"/>
        <v>1774.8480000000022</v>
      </c>
      <c r="X176" s="13">
        <f t="shared" si="69"/>
        <v>-339.99999999999989</v>
      </c>
      <c r="Y176" s="43">
        <f t="shared" si="50"/>
        <v>6.8899378881987661E-2</v>
      </c>
      <c r="Z176" s="49" t="s">
        <v>1286</v>
      </c>
      <c r="AA176" s="24"/>
    </row>
    <row r="177" spans="1:27" ht="40.5" hidden="1"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14.92</v>
      </c>
      <c r="V177" s="13">
        <f>IF(ISNA(VLOOKUP(LOWER(F177)&amp;H177,Prices!A:C,2,0)),0,VLOOKUP(LOWER(F177)&amp;H177,Prices!A:C,2,0))</f>
        <v>14.79</v>
      </c>
      <c r="W177" s="19">
        <f t="shared" si="68"/>
        <v>-626.64400000000239</v>
      </c>
      <c r="X177" s="13">
        <f t="shared" si="69"/>
        <v>-260.00000000000159</v>
      </c>
      <c r="Y177" s="43">
        <f t="shared" si="50"/>
        <v>-2.0749801324503391E-2</v>
      </c>
      <c r="Z177" s="49" t="s">
        <v>1291</v>
      </c>
      <c r="AA177" s="24"/>
    </row>
    <row r="178" spans="1:27" hidden="1"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14.53</v>
      </c>
      <c r="V178" s="13">
        <f>IF(ISNA(VLOOKUP(LOWER(F178)&amp;H178,Prices!A:C,2,0)),0,VLOOKUP(LOWER(F178)&amp;H178,Prices!A:C,2,0))</f>
        <v>14.26</v>
      </c>
      <c r="W178" s="19">
        <f t="shared" si="68"/>
        <v>-14116.241399999997</v>
      </c>
      <c r="X178" s="13">
        <f t="shared" si="69"/>
        <v>-269.99999999999955</v>
      </c>
      <c r="Y178" s="43">
        <f t="shared" si="50"/>
        <v>-0.49757636235459984</v>
      </c>
      <c r="Z178" s="49" t="s">
        <v>1284</v>
      </c>
      <c r="AA178" s="24"/>
    </row>
    <row r="179" spans="1:27" hidden="1"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14.53</v>
      </c>
      <c r="V179" s="13">
        <f>IF(ISNA(VLOOKUP(LOWER(F179)&amp;H179,Prices!A:C,2,0)),0,VLOOKUP(LOWER(F179)&amp;H179,Prices!A:C,2,0))</f>
        <v>14.26</v>
      </c>
      <c r="W179" s="19">
        <f t="shared" si="68"/>
        <v>-13971.209500000003</v>
      </c>
      <c r="X179" s="13">
        <f t="shared" si="69"/>
        <v>-269.99999999999955</v>
      </c>
      <c r="Y179" s="43">
        <f t="shared" si="50"/>
        <v>-0.49499413640389733</v>
      </c>
      <c r="Z179" s="49" t="s">
        <v>1284</v>
      </c>
      <c r="AA179" s="24"/>
    </row>
    <row r="180" spans="1:27" hidden="1"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20.36</v>
      </c>
      <c r="V180" s="13">
        <f>IF(ISNA(VLOOKUP(LOWER(F180)&amp;H180,Prices!A:C,2,0)),0,VLOOKUP(LOWER(F180)&amp;H180,Prices!A:C,2,0))</f>
        <v>20.97</v>
      </c>
      <c r="W180" s="19">
        <f t="shared" ref="W180:W193" si="74">IF(I180="B",(V180+T180)*K180,(V180+T180)*K180)</f>
        <v>1992.0100000000004</v>
      </c>
      <c r="X180" s="13">
        <f t="shared" ref="X180:X193" si="75">K180*(V180-U180)</f>
        <v>-609.99999999999943</v>
      </c>
      <c r="Y180" s="43">
        <f t="shared" si="50"/>
        <v>8.6646802957807759E-2</v>
      </c>
      <c r="Z180" s="49"/>
      <c r="AA180" s="24"/>
    </row>
    <row r="181" spans="1:27" hidden="1"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47.73</v>
      </c>
      <c r="V181" s="13">
        <f>IF(ISNA(VLOOKUP(LOWER(F181)&amp;H181,Prices!A:C,2,0)),0,VLOOKUP(LOWER(F181)&amp;H181,Prices!A:C,2,0))</f>
        <v>49.16</v>
      </c>
      <c r="W181" s="19">
        <f>IF(I181="B",(V181+T181)*K181,(V181+T181)*K181)</f>
        <v>2147.9847599999957</v>
      </c>
      <c r="X181" s="13">
        <f t="shared" si="75"/>
        <v>857.99999999999977</v>
      </c>
      <c r="Y181" s="43">
        <f t="shared" si="50"/>
        <v>7.8559899056396598E-2</v>
      </c>
      <c r="Z181" s="49"/>
      <c r="AA181" s="24"/>
    </row>
    <row r="182" spans="1:27" hidden="1"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15.4</v>
      </c>
      <c r="V182" s="13">
        <f>IF(ISNA(VLOOKUP(LOWER(F182)&amp;H182,Prices!A:C,2,0)),0,VLOOKUP(LOWER(F182)&amp;H182,Prices!A:C,2,0))</f>
        <v>15.56</v>
      </c>
      <c r="W182" s="19">
        <f t="shared" si="74"/>
        <v>5533.8800000000019</v>
      </c>
      <c r="X182" s="13">
        <f t="shared" si="75"/>
        <v>-160.00000000000014</v>
      </c>
      <c r="Y182" s="43">
        <f t="shared" si="50"/>
        <v>0.26202083333333342</v>
      </c>
      <c r="Z182" s="49"/>
      <c r="AA182" s="24"/>
    </row>
    <row r="183" spans="1:27" hidden="1"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17.75</v>
      </c>
      <c r="V183" s="13">
        <f>IF(ISNA(VLOOKUP(LOWER(F183)&amp;H183,Prices!A:C,2,0)),0,VLOOKUP(LOWER(F183)&amp;H183,Prices!A:C,2,0))</f>
        <v>17.559999999999999</v>
      </c>
      <c r="W183" s="19">
        <f t="shared" si="74"/>
        <v>-4311.1290000000026</v>
      </c>
      <c r="X183" s="13">
        <f t="shared" si="75"/>
        <v>-285.00000000000193</v>
      </c>
      <c r="Y183" s="43">
        <f t="shared" si="50"/>
        <v>-0.14067968673519343</v>
      </c>
      <c r="Z183" s="49"/>
      <c r="AA183" s="24"/>
    </row>
    <row r="184" spans="1:27" hidden="1"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13.94</v>
      </c>
      <c r="V184" s="13">
        <f>IF(ISNA(VLOOKUP(LOWER(F184)&amp;H184,Prices!A:C,2,0)),0,VLOOKUP(LOWER(F184)&amp;H184,Prices!A:C,2,0))</f>
        <v>13.77</v>
      </c>
      <c r="W184" s="19">
        <f t="shared" si="74"/>
        <v>2034.9000000000003</v>
      </c>
      <c r="X184" s="13">
        <f t="shared" si="75"/>
        <v>-339.99999999999989</v>
      </c>
      <c r="Y184" s="43">
        <f t="shared" si="50"/>
        <v>7.980000000000001E-2</v>
      </c>
      <c r="Z184" s="49"/>
      <c r="AA184" s="24"/>
    </row>
    <row r="185" spans="1:27" hidden="1"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14.53</v>
      </c>
      <c r="V185" s="13">
        <f>IF(ISNA(VLOOKUP(LOWER(F185)&amp;H185,Prices!A:C,2,0)),0,VLOOKUP(LOWER(F185)&amp;H185,Prices!A:C,2,0))</f>
        <v>14.26</v>
      </c>
      <c r="W185" s="19">
        <f t="shared" si="74"/>
        <v>-13566.120400000002</v>
      </c>
      <c r="X185" s="13">
        <f t="shared" si="75"/>
        <v>-269.99999999999955</v>
      </c>
      <c r="Y185" s="43">
        <f t="shared" si="50"/>
        <v>-0.48763912293314166</v>
      </c>
      <c r="Z185" s="49"/>
      <c r="AA185" s="24"/>
    </row>
    <row r="186" spans="1:27" hidden="1"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47.73</v>
      </c>
      <c r="V186" s="13">
        <f>IF(ISNA(VLOOKUP(LOWER(F186)&amp;H186,Prices!A:C,2,0)),0,VLOOKUP(LOWER(F186)&amp;H186,Prices!A:C,2,0))</f>
        <v>49.16</v>
      </c>
      <c r="W186" s="19">
        <f>IF(I186="B",(V186+T186)*K186,(V186+T186)*K186)</f>
        <v>2352.029640000002</v>
      </c>
      <c r="X186" s="13">
        <f t="shared" si="75"/>
        <v>857.99999999999977</v>
      </c>
      <c r="Y186" s="43">
        <f t="shared" si="50"/>
        <v>8.6669232810081889E-2</v>
      </c>
      <c r="Z186" s="49"/>
      <c r="AA186" s="24"/>
    </row>
    <row r="187" spans="1:27" hidden="1"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14.53</v>
      </c>
      <c r="V187" s="13">
        <f>IF(ISNA(VLOOKUP(LOWER(F187)&amp;H187,Prices!A:C,2,0)),0,VLOOKUP(LOWER(F187)&amp;H187,Prices!A:C,2,0))</f>
        <v>14.26</v>
      </c>
      <c r="W187" s="19">
        <f t="shared" si="74"/>
        <v>-13536.113800000001</v>
      </c>
      <c r="X187" s="13">
        <f t="shared" si="75"/>
        <v>-269.99999999999955</v>
      </c>
      <c r="Y187" s="43">
        <f t="shared" si="50"/>
        <v>-0.48708577905721484</v>
      </c>
      <c r="Z187" s="49"/>
      <c r="AA187" s="24"/>
    </row>
    <row r="188" spans="1:27" hidden="1"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11.07</v>
      </c>
      <c r="V188" s="13">
        <f>IF(ISNA(VLOOKUP(LOWER(F188)&amp;H188,Prices!A:C,2,0)),0,VLOOKUP(LOWER(F188)&amp;H188,Prices!A:C,2,0))</f>
        <v>11.02</v>
      </c>
      <c r="W188" s="19">
        <f t="shared" si="74"/>
        <v>-12664.784398199605</v>
      </c>
      <c r="X188" s="13">
        <f t="shared" si="75"/>
        <v>-165.00000000000233</v>
      </c>
      <c r="Y188" s="43">
        <f t="shared" si="50"/>
        <v>-0.25835953485648006</v>
      </c>
      <c r="Z188" s="49"/>
      <c r="AA188" s="24"/>
    </row>
    <row r="189" spans="1:27" hidden="1"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14.92</v>
      </c>
      <c r="V189" s="13">
        <f>IF(ISNA(VLOOKUP(LOWER(F189)&amp;H189,Prices!A:C,2,0)),0,VLOOKUP(LOWER(F189)&amp;H189,Prices!A:C,2,0))</f>
        <v>14.79</v>
      </c>
      <c r="W189" s="19">
        <f t="shared" si="74"/>
        <v>1203.3605000000059</v>
      </c>
      <c r="X189" s="13">
        <f t="shared" si="75"/>
        <v>325.00000000000193</v>
      </c>
      <c r="Y189" s="43">
        <f t="shared" si="50"/>
        <v>3.1480981033355289E-2</v>
      </c>
      <c r="Z189" s="49"/>
      <c r="AA189" s="24"/>
    </row>
    <row r="190" spans="1:27" hidden="1"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14.92</v>
      </c>
      <c r="V190" s="13">
        <f>IF(ISNA(VLOOKUP(LOWER(F190)&amp;H190,Prices!A:C,2,0)),0,VLOOKUP(LOWER(F190)&amp;H190,Prices!A:C,2,0))</f>
        <v>14.79</v>
      </c>
      <c r="W190" s="19">
        <f t="shared" si="74"/>
        <v>1253.2995000000024</v>
      </c>
      <c r="X190" s="13">
        <f t="shared" si="75"/>
        <v>325.00000000000193</v>
      </c>
      <c r="Y190" s="43">
        <f t="shared" si="50"/>
        <v>3.2744598301763614E-2</v>
      </c>
      <c r="Z190" s="49"/>
      <c r="AA190" s="24"/>
    </row>
    <row r="191" spans="1:27" hidden="1"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47.73</v>
      </c>
      <c r="V191" s="13">
        <f>IF(ISNA(VLOOKUP(LOWER(F191)&amp;H191,Prices!A:C,2,0)),0,VLOOKUP(LOWER(F191)&amp;H191,Prices!A:C,2,0))</f>
        <v>49.16</v>
      </c>
      <c r="W191" s="19">
        <f>IF(I191="B",(V191+T191)*K191,(V191+T191)*K191)</f>
        <v>-2534.92868</v>
      </c>
      <c r="X191" s="13">
        <f t="shared" si="75"/>
        <v>-857.99999999999977</v>
      </c>
      <c r="Y191" s="43">
        <f t="shared" si="50"/>
        <v>-9.3907115655330817E-2</v>
      </c>
      <c r="Z191" s="49"/>
      <c r="AA191" s="24"/>
    </row>
    <row r="192" spans="1:27" hidden="1"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14.53</v>
      </c>
      <c r="V192" s="13">
        <f>IF(ISNA(VLOOKUP(LOWER(F192)&amp;H192,Prices!A:C,2,0)),0,VLOOKUP(LOWER(F192)&amp;H192,Prices!A:C,2,0))</f>
        <v>14.26</v>
      </c>
      <c r="W192" s="19">
        <f t="shared" si="74"/>
        <v>51905.922620000005</v>
      </c>
      <c r="X192" s="13">
        <f t="shared" si="75"/>
        <v>1079.9999999999982</v>
      </c>
      <c r="Y192" s="43">
        <f t="shared" si="50"/>
        <v>0.47585623832268359</v>
      </c>
      <c r="Z192" s="49"/>
      <c r="AA192" s="24"/>
    </row>
    <row r="193" spans="1:27" hidden="1"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13.94</v>
      </c>
      <c r="V193" s="13">
        <f>IF(ISNA(VLOOKUP(LOWER(F193)&amp;H193,Prices!A:C,2,0)),0,VLOOKUP(LOWER(F193)&amp;H193,Prices!A:C,2,0))</f>
        <v>13.77</v>
      </c>
      <c r="W193" s="19">
        <f t="shared" si="74"/>
        <v>-2030.6479999999992</v>
      </c>
      <c r="X193" s="13">
        <f t="shared" si="75"/>
        <v>339.99999999999989</v>
      </c>
      <c r="Y193" s="43">
        <f t="shared" si="50"/>
        <v>-7.9508535630383681E-2</v>
      </c>
      <c r="Z193" s="49"/>
      <c r="AA193" s="24"/>
    </row>
    <row r="194" spans="1:27" hidden="1"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16.43</v>
      </c>
      <c r="V194" s="13">
        <f>IF(ISNA(VLOOKUP(LOWER(F194)&amp;H194,Prices!A:C,2,0)),0,VLOOKUP(LOWER(F194)&amp;H194,Prices!A:C,2,0))</f>
        <v>16.45</v>
      </c>
      <c r="W194" s="19">
        <f>IF(I194="B",(V194+T194)*K194,(V194+T194)*K194)</f>
        <v>5810.847600000011</v>
      </c>
      <c r="X194" s="13">
        <f t="shared" ref="X194:X202" si="80">K194*(V194-U194)</f>
        <v>-69.999999999998508</v>
      </c>
      <c r="Y194" s="43">
        <f t="shared" si="50"/>
        <v>9.1564205351233968E-2</v>
      </c>
      <c r="Z194" s="49"/>
      <c r="AA194" s="24"/>
    </row>
    <row r="195" spans="1:27" hidden="1"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14.53</v>
      </c>
      <c r="V195" s="13">
        <f>IF(ISNA(VLOOKUP(LOWER(F195)&amp;H195,Prices!A:C,2,0)),0,VLOOKUP(LOWER(F195)&amp;H195,Prices!A:C,2,0))</f>
        <v>14.26</v>
      </c>
      <c r="W195" s="19">
        <f>IF(I195="B",(V195+T195)*K195,(V195+T195)*K195)</f>
        <v>25793.656400000007</v>
      </c>
      <c r="X195" s="13">
        <f t="shared" si="80"/>
        <v>539.99999999999909</v>
      </c>
      <c r="Y195" s="43">
        <f t="shared" si="50"/>
        <v>0.47432247885251944</v>
      </c>
      <c r="Z195" s="49"/>
      <c r="AA195" s="24"/>
    </row>
    <row r="196" spans="1:27" hidden="1"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47.73</v>
      </c>
      <c r="V196" s="13">
        <f>IF(ISNA(VLOOKUP(LOWER(F196)&amp;H196,Prices!A:C,2,0)),0,VLOOKUP(LOWER(F196)&amp;H196,Prices!A:C,2,0))</f>
        <v>49.16</v>
      </c>
      <c r="W196" s="19">
        <f>IF(I196="B",(V196+T196)*K196,(V196+T196)*K196)</f>
        <v>-4830.1601599999995</v>
      </c>
      <c r="X196" s="13">
        <f t="shared" si="80"/>
        <v>-1715.9999999999995</v>
      </c>
      <c r="Y196" s="43">
        <f t="shared" si="50"/>
        <v>-8.9071331415504898E-2</v>
      </c>
      <c r="Z196" s="49"/>
      <c r="AA196" s="24"/>
    </row>
    <row r="197" spans="1:27" hidden="1"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17.75</v>
      </c>
      <c r="V197" s="13">
        <f>IF(ISNA(VLOOKUP(LOWER(F197)&amp;H197,Prices!A:C,2,0)),0,VLOOKUP(LOWER(F197)&amp;H197,Prices!A:C,2,0))</f>
        <v>17.559999999999999</v>
      </c>
      <c r="W197" s="19">
        <f t="shared" ref="W197:W202" si="84">IF(I197="B",(V197+T197)*K197,(V197+T197)*K197)</f>
        <v>8656.3080000000064</v>
      </c>
      <c r="X197" s="13">
        <f t="shared" si="80"/>
        <v>570.00000000000387</v>
      </c>
      <c r="Y197" s="43">
        <f t="shared" ref="Y197:Y260" si="85">W197/O197</f>
        <v>0.14095925744992682</v>
      </c>
      <c r="Z197" s="49"/>
      <c r="AA197" s="24"/>
    </row>
    <row r="198" spans="1:27" hidden="1"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13.94</v>
      </c>
      <c r="V198" s="13">
        <f>IF(ISNA(VLOOKUP(LOWER(F198)&amp;H198,Prices!A:C,2,0)),0,VLOOKUP(LOWER(F198)&amp;H198,Prices!A:C,2,0))</f>
        <v>13.77</v>
      </c>
      <c r="W198" s="19">
        <f t="shared" si="84"/>
        <v>-2595.9700000000012</v>
      </c>
      <c r="X198" s="13">
        <f t="shared" si="80"/>
        <v>339.99999999999989</v>
      </c>
      <c r="Y198" s="43">
        <f t="shared" si="85"/>
        <v>-0.10394690478097225</v>
      </c>
      <c r="Z198" s="49"/>
      <c r="AA198" s="24"/>
    </row>
    <row r="199" spans="1:27" hidden="1"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11.07</v>
      </c>
      <c r="V199" s="13">
        <f>IF(ISNA(VLOOKUP(LOWER(F199)&amp;H199,Prices!A:C,2,0)),0,VLOOKUP(LOWER(F199)&amp;H199,Prices!A:C,2,0))</f>
        <v>11.02</v>
      </c>
      <c r="W199" s="19">
        <f t="shared" si="84"/>
        <v>12389.450698600307</v>
      </c>
      <c r="X199" s="13">
        <f t="shared" si="80"/>
        <v>165.00000000000233</v>
      </c>
      <c r="Y199" s="43">
        <f t="shared" si="85"/>
        <v>0.25380417287628054</v>
      </c>
      <c r="Z199" s="49"/>
      <c r="AA199" s="24"/>
    </row>
    <row r="200" spans="1:27" hidden="1"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43.74</v>
      </c>
      <c r="V200" s="13">
        <f>IF(ISNA(VLOOKUP(LOWER(F200)&amp;H200,Prices!A:C,2,0)),0,VLOOKUP(LOWER(F200)&amp;H200,Prices!A:C,2,0))</f>
        <v>45.67</v>
      </c>
      <c r="W200" s="19">
        <f t="shared" si="84"/>
        <v>19964.86</v>
      </c>
      <c r="X200" s="13">
        <f t="shared" si="80"/>
        <v>1929.9999999999998</v>
      </c>
      <c r="Y200" s="43">
        <f t="shared" si="85"/>
        <v>0.77684280155642027</v>
      </c>
      <c r="Z200" s="49"/>
      <c r="AA200" s="24"/>
    </row>
    <row r="201" spans="1:27" hidden="1"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43.74</v>
      </c>
      <c r="V201" s="13">
        <f>IF(ISNA(VLOOKUP(LOWER(F201)&amp;H201,Prices!A:C,2,0)),0,VLOOKUP(LOWER(F201)&amp;H201,Prices!A:C,2,0))</f>
        <v>45.67</v>
      </c>
      <c r="W201" s="19">
        <f t="shared" si="84"/>
        <v>29932.286999999997</v>
      </c>
      <c r="X201" s="13">
        <f t="shared" si="80"/>
        <v>2894.9999999999995</v>
      </c>
      <c r="Y201" s="43">
        <f t="shared" si="85"/>
        <v>0.77615161415791512</v>
      </c>
      <c r="Z201" s="49"/>
      <c r="AA201" s="24"/>
    </row>
    <row r="202" spans="1:27" hidden="1"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64.28</v>
      </c>
      <c r="V202" s="13">
        <f>IF(ISNA(VLOOKUP(LOWER(F202)&amp;H202,Prices!A:C,2,0)),0,VLOOKUP(LOWER(F202)&amp;H202,Prices!A:C,2,0))</f>
        <v>65.41</v>
      </c>
      <c r="W202" s="19">
        <f t="shared" si="84"/>
        <v>4505.0532000000021</v>
      </c>
      <c r="X202" s="13">
        <f t="shared" si="80"/>
        <v>677.99999999999727</v>
      </c>
      <c r="Y202" s="43">
        <f t="shared" si="85"/>
        <v>0.12970153739851448</v>
      </c>
      <c r="Z202" s="49"/>
      <c r="AA202" s="24"/>
    </row>
    <row r="203" spans="1:27" hidden="1"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64.28</v>
      </c>
      <c r="V203" s="13">
        <f>IF(ISNA(VLOOKUP(LOWER(F203)&amp;H203,Prices!A:C,2,0)),0,VLOOKUP(LOWER(F203)&amp;H203,Prices!A:C,2,0))</f>
        <v>65.41</v>
      </c>
      <c r="W203" s="19">
        <f>IF(I203="B",(V203+T203)*K203,(V203+T203)*K203)</f>
        <v>-4301.987199999995</v>
      </c>
      <c r="X203" s="13">
        <f t="shared" ref="X203:X214" si="90">K203*(V203-U203)</f>
        <v>-677.99999999999727</v>
      </c>
      <c r="Y203" s="43">
        <f t="shared" si="85"/>
        <v>-0.12296310524209669</v>
      </c>
      <c r="Z203" s="49"/>
      <c r="AA203" s="24"/>
    </row>
    <row r="204" spans="1:27" hidden="1"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43.74</v>
      </c>
      <c r="V204" s="13">
        <f>IF(ISNA(VLOOKUP(LOWER(F204)&amp;H204,Prices!A:C,2,0)),0,VLOOKUP(LOWER(F204)&amp;H204,Prices!A:C,2,0))</f>
        <v>45.67</v>
      </c>
      <c r="W204" s="19">
        <f t="shared" ref="W204:W214" si="91">IF(I204="B",(V204+T204)*K204,(V204+T204)*K204)</f>
        <v>-46256.600000000006</v>
      </c>
      <c r="X204" s="13">
        <f t="shared" si="90"/>
        <v>-4824.9999999999991</v>
      </c>
      <c r="Y204" s="43">
        <f t="shared" si="85"/>
        <v>-0.68024411764705894</v>
      </c>
      <c r="Z204" s="49"/>
      <c r="AA204" s="24"/>
    </row>
    <row r="205" spans="1:27" hidden="1"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29.79</v>
      </c>
      <c r="V205" s="13">
        <f>IF(ISNA(VLOOKUP(LOWER(F205)&amp;H205,Prices!A:C,2,0)),0,VLOOKUP(LOWER(F205)&amp;H205,Prices!A:C,2,0))</f>
        <v>30.85</v>
      </c>
      <c r="W205" s="19">
        <f t="shared" si="91"/>
        <v>26676.939520000007</v>
      </c>
      <c r="X205" s="13">
        <f t="shared" si="90"/>
        <v>2332.000000000005</v>
      </c>
      <c r="Y205" s="43">
        <f t="shared" si="85"/>
        <v>0.64775008547008561</v>
      </c>
      <c r="Z205" s="49"/>
      <c r="AA205" s="24"/>
    </row>
    <row r="206" spans="1:27" hidden="1"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8.3699999999999992</v>
      </c>
      <c r="V206" s="13">
        <f>IF(ISNA(VLOOKUP(LOWER(F206)&amp;H206,Prices!A:C,2,0)),0,VLOOKUP(LOWER(F206)&amp;H206,Prices!A:C,2,0))</f>
        <v>8.41</v>
      </c>
      <c r="W206" s="19">
        <f t="shared" si="91"/>
        <v>-3372.8461799999995</v>
      </c>
      <c r="X206" s="13">
        <f t="shared" si="90"/>
        <v>132.00000000000304</v>
      </c>
      <c r="Y206" s="43">
        <f t="shared" si="85"/>
        <v>-0.10838542948038174</v>
      </c>
      <c r="Z206" s="49"/>
      <c r="AA206" s="24"/>
    </row>
    <row r="207" spans="1:27" hidden="1"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53.7</v>
      </c>
      <c r="V207" s="13">
        <f>IF(ISNA(VLOOKUP(LOWER(F207)&amp;H207,Prices!A:C,2,0)),0,VLOOKUP(LOWER(F207)&amp;H207,Prices!A:C,2,0))</f>
        <v>55.26</v>
      </c>
      <c r="W207" s="19">
        <f t="shared" si="91"/>
        <v>42711.966</v>
      </c>
      <c r="X207" s="13">
        <f t="shared" si="90"/>
        <v>2339.9999999999927</v>
      </c>
      <c r="Y207" s="43">
        <f t="shared" si="85"/>
        <v>1.0632802091112772</v>
      </c>
      <c r="Z207" s="49"/>
      <c r="AA207" s="24"/>
    </row>
    <row r="208" spans="1:27" hidden="1"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17.05</v>
      </c>
      <c r="V208" s="13">
        <f>IF(ISNA(VLOOKUP(LOWER(F208)&amp;H208,Prices!A:C,2,0)),0,VLOOKUP(LOWER(F208)&amp;H208,Prices!A:C,2,0))</f>
        <v>16.95</v>
      </c>
      <c r="W208" s="19">
        <f t="shared" si="91"/>
        <v>-191.2266000000109</v>
      </c>
      <c r="X208" s="13">
        <f t="shared" si="90"/>
        <v>-300.00000000000426</v>
      </c>
      <c r="Y208" s="43">
        <f t="shared" si="85"/>
        <v>-3.7473368606704073E-3</v>
      </c>
      <c r="Z208" s="49"/>
      <c r="AA208" s="24"/>
    </row>
    <row r="209" spans="1:27" hidden="1"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20.34</v>
      </c>
      <c r="V209" s="13">
        <f>IF(ISNA(VLOOKUP(LOWER(F209)&amp;H209,Prices!A:C,2,0)),0,VLOOKUP(LOWER(F209)&amp;H209,Prices!A:C,2,0))</f>
        <v>20.91</v>
      </c>
      <c r="W209" s="19">
        <f t="shared" si="91"/>
        <v>10273.692000000001</v>
      </c>
      <c r="X209" s="13">
        <f t="shared" si="90"/>
        <v>1140.0000000000005</v>
      </c>
      <c r="Y209" s="43">
        <f t="shared" si="85"/>
        <v>0.32573532022828156</v>
      </c>
      <c r="Z209" s="49"/>
      <c r="AA209" s="24"/>
    </row>
    <row r="210" spans="1:27" hidden="1"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17.05</v>
      </c>
      <c r="V210" s="13">
        <f>IF(ISNA(VLOOKUP(LOWER(F210)&amp;H210,Prices!A:C,2,0)),0,VLOOKUP(LOWER(F210)&amp;H210,Prices!A:C,2,0))</f>
        <v>16.95</v>
      </c>
      <c r="W210" s="19">
        <f t="shared" si="91"/>
        <v>72.55959999999817</v>
      </c>
      <c r="X210" s="13">
        <f t="shared" si="90"/>
        <v>-200.00000000000284</v>
      </c>
      <c r="Y210" s="43">
        <f t="shared" si="85"/>
        <v>2.1454642223535827E-3</v>
      </c>
      <c r="Z210" s="49"/>
      <c r="AA210" s="24"/>
    </row>
    <row r="211" spans="1:27" hidden="1"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38.049999999999997</v>
      </c>
      <c r="V211" s="13">
        <f>IF(ISNA(VLOOKUP(LOWER(F211)&amp;H211,Prices!A:C,2,0)),0,VLOOKUP(LOWER(F211)&amp;H211,Prices!A:C,2,0))</f>
        <v>38.799999999999997</v>
      </c>
      <c r="W211" s="19">
        <f t="shared" si="91"/>
        <v>8924.025999999998</v>
      </c>
      <c r="X211" s="13">
        <f t="shared" si="90"/>
        <v>750</v>
      </c>
      <c r="Y211" s="43">
        <f t="shared" si="85"/>
        <v>0.29876216940073647</v>
      </c>
      <c r="Z211" s="49"/>
      <c r="AA211" s="24"/>
    </row>
    <row r="212" spans="1:27" hidden="1"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29.79</v>
      </c>
      <c r="V212" s="13">
        <f>IF(ISNA(VLOOKUP(LOWER(F212)&amp;H212,Prices!A:C,2,0)),0,VLOOKUP(LOWER(F212)&amp;H212,Prices!A:C,2,0))</f>
        <v>30.85</v>
      </c>
      <c r="W212" s="19">
        <f t="shared" si="91"/>
        <v>24851.895200000003</v>
      </c>
      <c r="X212" s="13">
        <f t="shared" si="90"/>
        <v>2120.0000000000045</v>
      </c>
      <c r="Y212" s="43">
        <f t="shared" si="85"/>
        <v>0.67458998914223678</v>
      </c>
      <c r="Z212" s="49"/>
      <c r="AA212" s="24"/>
    </row>
    <row r="213" spans="1:27" hidden="1"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29.79</v>
      </c>
      <c r="V213" s="13">
        <f>IF(ISNA(VLOOKUP(LOWER(F213)&amp;H213,Prices!A:C,2,0)),0,VLOOKUP(LOWER(F213)&amp;H213,Prices!A:C,2,0))</f>
        <v>30.85</v>
      </c>
      <c r="W213" s="19">
        <f t="shared" si="91"/>
        <v>24771.877600000003</v>
      </c>
      <c r="X213" s="13">
        <f t="shared" si="90"/>
        <v>2120.0000000000045</v>
      </c>
      <c r="Y213" s="43">
        <f t="shared" si="85"/>
        <v>0.67096093174431215</v>
      </c>
      <c r="Z213" s="49"/>
      <c r="AA213" s="24"/>
    </row>
    <row r="214" spans="1:27" hidden="1"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29.79</v>
      </c>
      <c r="V214" s="13">
        <f>IF(ISNA(VLOOKUP(LOWER(F214)&amp;H214,Prices!A:C,2,0)),0,VLOOKUP(LOWER(F214)&amp;H214,Prices!A:C,2,0))</f>
        <v>30.85</v>
      </c>
      <c r="W214" s="19">
        <f t="shared" si="91"/>
        <v>12574.634600000003</v>
      </c>
      <c r="X214" s="13">
        <f t="shared" si="90"/>
        <v>1060.0000000000023</v>
      </c>
      <c r="Y214" s="43">
        <f t="shared" si="85"/>
        <v>0.68826680897646431</v>
      </c>
      <c r="Z214" s="49"/>
      <c r="AA214" s="24"/>
    </row>
    <row r="215" spans="1:27" hidden="1"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21.9</v>
      </c>
      <c r="V215" s="13">
        <f>IF(ISNA(VLOOKUP(LOWER(F215)&amp;H215,Prices!A:C,2,0)),0,VLOOKUP(LOWER(F215)&amp;H215,Prices!A:C,2,0))</f>
        <v>21.88</v>
      </c>
      <c r="W215" s="19">
        <f t="shared" ref="W215:W230" si="97">IF(I215="B",(V215+T215)*K215,(V215+T215)*K215)</f>
        <v>-6685.0000000000009</v>
      </c>
      <c r="X215" s="13">
        <f t="shared" ref="X215:X230" si="98">K215*(V215-U215)</f>
        <v>-9.9999999999997868</v>
      </c>
      <c r="Y215" s="43">
        <f t="shared" si="85"/>
        <v>-0.37939841089670834</v>
      </c>
      <c r="Z215" s="49"/>
      <c r="AA215" s="24"/>
    </row>
    <row r="216" spans="1:27" hidden="1"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17.02</v>
      </c>
      <c r="V216" s="13">
        <f>IF(ISNA(VLOOKUP(LOWER(F216)&amp;H216,Prices!A:C,2,0)),0,VLOOKUP(LOWER(F216)&amp;H216,Prices!A:C,2,0))</f>
        <v>16.899999999999999</v>
      </c>
      <c r="W216" s="19">
        <f t="shared" si="97"/>
        <v>-1185.0000000000023</v>
      </c>
      <c r="X216" s="13">
        <f t="shared" si="98"/>
        <v>-120.00000000000099</v>
      </c>
      <c r="Y216" s="43">
        <f t="shared" si="85"/>
        <v>-6.5542035398230211E-2</v>
      </c>
      <c r="Z216" s="49"/>
      <c r="AA216" s="24"/>
    </row>
    <row r="217" spans="1:27" hidden="1"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20.34</v>
      </c>
      <c r="V217" s="13">
        <f>IF(ISNA(VLOOKUP(LOWER(F217)&amp;H217,Prices!A:C,2,0)),0,VLOOKUP(LOWER(F217)&amp;H217,Prices!A:C,2,0))</f>
        <v>20.91</v>
      </c>
      <c r="W217" s="19">
        <f t="shared" si="97"/>
        <v>5305</v>
      </c>
      <c r="X217" s="13">
        <f t="shared" si="98"/>
        <v>570.00000000000023</v>
      </c>
      <c r="Y217" s="43">
        <f t="shared" si="85"/>
        <v>0.34006410256410258</v>
      </c>
      <c r="Z217" s="49"/>
      <c r="AA217" s="24"/>
    </row>
    <row r="218" spans="1:27" hidden="1"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7.31</v>
      </c>
      <c r="V218" s="13">
        <f>IF(ISNA(VLOOKUP(LOWER(F218)&amp;H218,Prices!A:C,2,0)),0,VLOOKUP(LOWER(F218)&amp;H218,Prices!A:C,2,0))</f>
        <v>7.28</v>
      </c>
      <c r="W218" s="19">
        <f t="shared" si="97"/>
        <v>-5865.4084000000012</v>
      </c>
      <c r="X218" s="13">
        <f t="shared" si="98"/>
        <v>-59.999999999998721</v>
      </c>
      <c r="Y218" s="43">
        <f t="shared" si="85"/>
        <v>-0.28723841332027428</v>
      </c>
      <c r="Z218" s="49"/>
      <c r="AA218" s="24"/>
    </row>
    <row r="219" spans="1:27" hidden="1"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53.7</v>
      </c>
      <c r="V219" s="13">
        <f>IF(ISNA(VLOOKUP(LOWER(F219)&amp;H219,Prices!A:C,2,0)),0,VLOOKUP(LOWER(F219)&amp;H219,Prices!A:C,2,0))</f>
        <v>55.26</v>
      </c>
      <c r="W219" s="19">
        <f t="shared" si="97"/>
        <v>-42318.743999999999</v>
      </c>
      <c r="X219" s="13">
        <f t="shared" si="98"/>
        <v>-2339.9999999999927</v>
      </c>
      <c r="Y219" s="43">
        <f t="shared" si="85"/>
        <v>-1.0418203840472673</v>
      </c>
      <c r="Z219" s="49"/>
      <c r="AA219" s="24"/>
    </row>
    <row r="220" spans="1:27" hidden="1"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29.79</v>
      </c>
      <c r="V220" s="13">
        <f>IF(ISNA(VLOOKUP(LOWER(F220)&amp;H220,Prices!A:C,2,0)),0,VLOOKUP(LOWER(F220)&amp;H220,Prices!A:C,2,0))</f>
        <v>30.85</v>
      </c>
      <c r="W220" s="19">
        <f t="shared" si="97"/>
        <v>-40945.643999999986</v>
      </c>
      <c r="X220" s="13">
        <f t="shared" si="98"/>
        <v>-3816.0000000000082</v>
      </c>
      <c r="Y220" s="43">
        <f t="shared" si="85"/>
        <v>-0.58327128205128187</v>
      </c>
      <c r="Z220" s="49"/>
      <c r="AA220" s="24"/>
    </row>
    <row r="221" spans="1:27" hidden="1"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20.34</v>
      </c>
      <c r="V221" s="13">
        <f>IF(ISNA(VLOOKUP(LOWER(F221)&amp;H221,Prices!A:C,2,0)),0,VLOOKUP(LOWER(F221)&amp;H221,Prices!A:C,2,0))</f>
        <v>20.91</v>
      </c>
      <c r="W221" s="19">
        <f t="shared" si="97"/>
        <v>5375</v>
      </c>
      <c r="X221" s="13">
        <f t="shared" si="98"/>
        <v>570.00000000000023</v>
      </c>
      <c r="Y221" s="43">
        <f t="shared" si="85"/>
        <v>0.34610431423052157</v>
      </c>
      <c r="Z221" s="49"/>
      <c r="AA221" s="24"/>
    </row>
    <row r="222" spans="1:27" hidden="1"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20.34</v>
      </c>
      <c r="V222" s="13">
        <f>IF(ISNA(VLOOKUP(LOWER(F222)&amp;H222,Prices!A:C,2,0)),0,VLOOKUP(LOWER(F222)&amp;H222,Prices!A:C,2,0))</f>
        <v>20.91</v>
      </c>
      <c r="W222" s="19">
        <f t="shared" si="97"/>
        <v>5455</v>
      </c>
      <c r="X222" s="13">
        <f t="shared" si="98"/>
        <v>570.00000000000023</v>
      </c>
      <c r="Y222" s="43">
        <f t="shared" si="85"/>
        <v>0.35307443365695795</v>
      </c>
      <c r="Z222" s="49"/>
      <c r="AA222" s="24"/>
    </row>
    <row r="223" spans="1:27" hidden="1"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20.34</v>
      </c>
      <c r="V223" s="13">
        <f>IF(ISNA(VLOOKUP(LOWER(F223)&amp;H223,Prices!A:C,2,0)),0,VLOOKUP(LOWER(F223)&amp;H223,Prices!A:C,2,0))</f>
        <v>20.91</v>
      </c>
      <c r="W223" s="19">
        <f t="shared" si="97"/>
        <v>5545</v>
      </c>
      <c r="X223" s="13">
        <f t="shared" si="98"/>
        <v>570.00000000000023</v>
      </c>
      <c r="Y223" s="43">
        <f t="shared" si="85"/>
        <v>0.36100260416666669</v>
      </c>
      <c r="Z223" s="49"/>
      <c r="AA223" s="24"/>
    </row>
    <row r="224" spans="1:27" hidden="1"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29.79</v>
      </c>
      <c r="V224" s="13">
        <f>IF(ISNA(VLOOKUP(LOWER(F224)&amp;H224,Prices!A:C,2,0)),0,VLOOKUP(LOWER(F224)&amp;H224,Prices!A:C,2,0))</f>
        <v>30.85</v>
      </c>
      <c r="W224" s="19">
        <f t="shared" si="97"/>
        <v>-38788.27919999999</v>
      </c>
      <c r="X224" s="13">
        <f t="shared" si="98"/>
        <v>-3816.0000000000082</v>
      </c>
      <c r="Y224" s="43">
        <f t="shared" si="85"/>
        <v>-0.53604587064676601</v>
      </c>
      <c r="Z224" s="49"/>
      <c r="AA224" s="24"/>
    </row>
    <row r="225" spans="1:27" hidden="1"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34.94</v>
      </c>
      <c r="V225" s="13">
        <f>IF(ISNA(VLOOKUP(LOWER(F225)&amp;H225,Prices!A:C,2,0)),0,VLOOKUP(LOWER(F225)&amp;H225,Prices!A:C,2,0))</f>
        <v>35.26</v>
      </c>
      <c r="W225" s="19">
        <f t="shared" si="97"/>
        <v>36473.191999999995</v>
      </c>
      <c r="X225" s="13">
        <f t="shared" si="98"/>
        <v>640.00000000000057</v>
      </c>
      <c r="Y225" s="43">
        <f t="shared" si="85"/>
        <v>1.0714803760282019</v>
      </c>
      <c r="Z225" s="49"/>
      <c r="AA225" s="24"/>
    </row>
    <row r="226" spans="1:27" hidden="1"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27.07</v>
      </c>
      <c r="V226" s="13">
        <f>IF(ISNA(VLOOKUP(LOWER(F226)&amp;H226,Prices!A:C,2,0)),0,VLOOKUP(LOWER(F226)&amp;H226,Prices!A:C,2,0))</f>
        <v>27.07</v>
      </c>
      <c r="W226" s="19">
        <f t="shared" si="97"/>
        <v>16951.820399999997</v>
      </c>
      <c r="X226" s="13">
        <f t="shared" si="98"/>
        <v>0</v>
      </c>
      <c r="Y226" s="43">
        <f t="shared" si="85"/>
        <v>0.45593922538999454</v>
      </c>
      <c r="Z226" s="49"/>
      <c r="AA226" s="24"/>
    </row>
    <row r="227" spans="1:27" hidden="1"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7.31</v>
      </c>
      <c r="V227" s="13">
        <f>IF(ISNA(VLOOKUP(LOWER(F227)&amp;H227,Prices!A:C,2,0)),0,VLOOKUP(LOWER(F227)&amp;H227,Prices!A:C,2,0))</f>
        <v>7.28</v>
      </c>
      <c r="W227" s="19">
        <f t="shared" si="97"/>
        <v>-5625.4036000000006</v>
      </c>
      <c r="X227" s="13">
        <f t="shared" si="98"/>
        <v>-59.999999999998721</v>
      </c>
      <c r="Y227" s="43">
        <f t="shared" si="85"/>
        <v>-0.27876132804757187</v>
      </c>
      <c r="Z227" s="49"/>
      <c r="AA227" s="24"/>
    </row>
    <row r="228" spans="1:27" hidden="1"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7.31</v>
      </c>
      <c r="V228" s="13">
        <f>IF(ISNA(VLOOKUP(LOWER(F228)&amp;H228,Prices!A:C,2,0)),0,VLOOKUP(LOWER(F228)&amp;H228,Prices!A:C,2,0))</f>
        <v>7.28</v>
      </c>
      <c r="W228" s="19">
        <f t="shared" si="97"/>
        <v>-5645.4039999999977</v>
      </c>
      <c r="X228" s="13">
        <f t="shared" si="98"/>
        <v>-59.999999999998721</v>
      </c>
      <c r="Y228" s="43">
        <f t="shared" si="85"/>
        <v>-0.27947544554455434</v>
      </c>
      <c r="Z228" s="49"/>
      <c r="AA228" s="24"/>
    </row>
    <row r="229" spans="1:27" hidden="1"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7.31</v>
      </c>
      <c r="V229" s="13">
        <f>IF(ISNA(VLOOKUP(LOWER(F229)&amp;H229,Prices!A:C,2,0)),0,VLOOKUP(LOWER(F229)&amp;H229,Prices!A:C,2,0))</f>
        <v>7.28</v>
      </c>
      <c r="W229" s="19">
        <f t="shared" si="97"/>
        <v>-5605.4031999999997</v>
      </c>
      <c r="X229" s="13">
        <f t="shared" si="98"/>
        <v>-59.999999999998721</v>
      </c>
      <c r="Y229" s="43">
        <f t="shared" si="85"/>
        <v>-0.27804579365079363</v>
      </c>
      <c r="Z229" s="49"/>
      <c r="AA229" s="24"/>
    </row>
    <row r="230" spans="1:27" hidden="1"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34.94</v>
      </c>
      <c r="V230" s="13">
        <f>IF(ISNA(VLOOKUP(LOWER(F230)&amp;H230,Prices!A:C,2,0)),0,VLOOKUP(LOWER(F230)&amp;H230,Prices!A:C,2,0))</f>
        <v>35.26</v>
      </c>
      <c r="W230" s="19">
        <f t="shared" si="97"/>
        <v>27474.917999999994</v>
      </c>
      <c r="X230" s="13">
        <f t="shared" si="98"/>
        <v>480.00000000000045</v>
      </c>
      <c r="Y230" s="43">
        <f t="shared" si="85"/>
        <v>1.0812639905548993</v>
      </c>
      <c r="Z230" s="49"/>
      <c r="AA230" s="24"/>
    </row>
    <row r="231" spans="1:27" hidden="1"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27.07</v>
      </c>
      <c r="V231" s="13">
        <f>IF(ISNA(VLOOKUP(LOWER(F231)&amp;H231,Prices!A:C,2,0)),0,VLOOKUP(LOWER(F231)&amp;H231,Prices!A:C,2,0))</f>
        <v>27.07</v>
      </c>
      <c r="W231" s="19">
        <f t="shared" ref="W231:W248" si="103">IF(I231="B",(V231+T231)*K231,(V231+T231)*K231)</f>
        <v>-16665.774399999995</v>
      </c>
      <c r="X231" s="13">
        <f t="shared" ref="X231:X248" si="104">K231*(V231-U231)</f>
        <v>0</v>
      </c>
      <c r="Y231" s="43">
        <f t="shared" si="85"/>
        <v>-0.44418375266524507</v>
      </c>
      <c r="Z231" s="49"/>
      <c r="AA231" s="24"/>
    </row>
    <row r="232" spans="1:27" hidden="1"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8.3699999999999992</v>
      </c>
      <c r="V232" s="13">
        <f>IF(ISNA(VLOOKUP(LOWER(F232)&amp;H232,Prices!A:C,2,0)),0,VLOOKUP(LOWER(F232)&amp;H232,Prices!A:C,2,0))</f>
        <v>8.41</v>
      </c>
      <c r="W232" s="19">
        <f t="shared" si="103"/>
        <v>3558.7529999999997</v>
      </c>
      <c r="X232" s="13">
        <f t="shared" si="104"/>
        <v>-132.00000000000304</v>
      </c>
      <c r="Y232" s="43">
        <f t="shared" si="85"/>
        <v>0.11351684210526315</v>
      </c>
      <c r="Z232" s="49"/>
      <c r="AA232" s="24"/>
    </row>
    <row r="233" spans="1:27" hidden="1"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21.9</v>
      </c>
      <c r="V233" s="13">
        <f>IF(ISNA(VLOOKUP(LOWER(F233)&amp;H233,Prices!A:C,2,0)),0,VLOOKUP(LOWER(F233)&amp;H233,Prices!A:C,2,0))</f>
        <v>21.88</v>
      </c>
      <c r="W233" s="19">
        <f t="shared" si="103"/>
        <v>6827.2099999999991</v>
      </c>
      <c r="X233" s="13">
        <f t="shared" si="104"/>
        <v>9.9999999999997868</v>
      </c>
      <c r="Y233" s="43">
        <f t="shared" si="85"/>
        <v>0.38376672287802133</v>
      </c>
      <c r="Z233" s="49"/>
      <c r="AA233" s="24"/>
    </row>
    <row r="234" spans="1:27" hidden="1"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17.05</v>
      </c>
      <c r="V234" s="13">
        <f>IF(ISNA(VLOOKUP(LOWER(F234)&amp;H234,Prices!A:C,2,0)),0,VLOOKUP(LOWER(F234)&amp;H234,Prices!A:C,2,0))</f>
        <v>16.95</v>
      </c>
      <c r="W234" s="19">
        <f t="shared" si="103"/>
        <v>346.05600000000788</v>
      </c>
      <c r="X234" s="13">
        <f t="shared" si="104"/>
        <v>500.00000000000711</v>
      </c>
      <c r="Y234" s="43">
        <f t="shared" si="85"/>
        <v>4.0616901408451625E-3</v>
      </c>
      <c r="Z234" s="49"/>
      <c r="AA234" s="24"/>
    </row>
    <row r="235" spans="1:27" hidden="1"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34.94</v>
      </c>
      <c r="V235" s="13">
        <f>IF(ISNA(VLOOKUP(LOWER(F235)&amp;H235,Prices!A:C,2,0)),0,VLOOKUP(LOWER(F235)&amp;H235,Prices!A:C,2,0))</f>
        <v>35.26</v>
      </c>
      <c r="W235" s="19">
        <f t="shared" si="103"/>
        <v>-63666.782999999996</v>
      </c>
      <c r="X235" s="13">
        <f t="shared" si="104"/>
        <v>-1120.0000000000009</v>
      </c>
      <c r="Y235" s="43">
        <f t="shared" si="85"/>
        <v>-1.064394934381008</v>
      </c>
      <c r="Z235" s="49"/>
      <c r="AA235" s="24"/>
    </row>
    <row r="236" spans="1:27" hidden="1"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28.17</v>
      </c>
      <c r="V236" s="13">
        <f>IF(ISNA(VLOOKUP(LOWER(F236)&amp;H236,Prices!A:C,2,0)),0,VLOOKUP(LOWER(F236)&amp;H236,Prices!A:C,2,0))</f>
        <v>28.53</v>
      </c>
      <c r="W236" s="19">
        <f t="shared" si="103"/>
        <v>20032.595999999998</v>
      </c>
      <c r="X236" s="13">
        <f t="shared" si="104"/>
        <v>719.99999999999886</v>
      </c>
      <c r="Y236" s="43">
        <f t="shared" si="85"/>
        <v>0.54112901134521874</v>
      </c>
      <c r="Z236" s="49"/>
      <c r="AA236" s="24"/>
    </row>
    <row r="237" spans="1:27" hidden="1"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7.31</v>
      </c>
      <c r="V237" s="13">
        <f>IF(ISNA(VLOOKUP(LOWER(F237)&amp;H237,Prices!A:C,2,0)),0,VLOOKUP(LOWER(F237)&amp;H237,Prices!A:C,2,0))</f>
        <v>7.28</v>
      </c>
      <c r="W237" s="19">
        <f t="shared" si="103"/>
        <v>11430.468000000001</v>
      </c>
      <c r="X237" s="13">
        <f t="shared" si="104"/>
        <v>119.99999999999744</v>
      </c>
      <c r="Y237" s="43">
        <f t="shared" si="85"/>
        <v>0.28153862068965518</v>
      </c>
      <c r="Z237" s="49"/>
      <c r="AA237" s="24"/>
    </row>
    <row r="238" spans="1:27" hidden="1"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17.02</v>
      </c>
      <c r="V238" s="13">
        <f>IF(ISNA(VLOOKUP(LOWER(F238)&amp;H238,Prices!A:C,2,0)),0,VLOOKUP(LOWER(F238)&amp;H238,Prices!A:C,2,0))</f>
        <v>16.899999999999999</v>
      </c>
      <c r="W238" s="19">
        <f t="shared" si="103"/>
        <v>-905.00000000000114</v>
      </c>
      <c r="X238" s="13">
        <f t="shared" si="104"/>
        <v>-120.00000000000099</v>
      </c>
      <c r="Y238" s="43">
        <f t="shared" si="85"/>
        <v>-5.0842696629213549E-2</v>
      </c>
      <c r="Z238" s="49" t="s">
        <v>1322</v>
      </c>
      <c r="AA238" s="24"/>
    </row>
    <row r="239" spans="1:27" hidden="1"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9.36</v>
      </c>
      <c r="V239" s="13">
        <f>IF(ISNA(VLOOKUP(LOWER(F239)&amp;H239,Prices!A:C,2,0)),0,VLOOKUP(LOWER(F239)&amp;H239,Prices!A:C,2,0))</f>
        <v>9.15</v>
      </c>
      <c r="W239" s="19">
        <f t="shared" si="103"/>
        <v>-1476.3623999999957</v>
      </c>
      <c r="X239" s="13">
        <f t="shared" si="104"/>
        <v>-629.99999999999727</v>
      </c>
      <c r="Y239" s="43">
        <f t="shared" si="85"/>
        <v>-5.1049875518672051E-2</v>
      </c>
      <c r="Z239" s="49" t="s">
        <v>1331</v>
      </c>
      <c r="AA239" s="24"/>
    </row>
    <row r="240" spans="1:27" hidden="1"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14.92</v>
      </c>
      <c r="V240" s="13">
        <f>IF(ISNA(VLOOKUP(LOWER(F240)&amp;H240,Prices!A:C,2,0)),0,VLOOKUP(LOWER(F240)&amp;H240,Prices!A:C,2,0))</f>
        <v>14.79</v>
      </c>
      <c r="W240" s="19">
        <f t="shared" si="103"/>
        <v>-2827.128000000002</v>
      </c>
      <c r="X240" s="13">
        <f t="shared" si="104"/>
        <v>-260.00000000000159</v>
      </c>
      <c r="Y240" s="43">
        <f t="shared" si="85"/>
        <v>-8.7257037037037091E-2</v>
      </c>
      <c r="Z240" s="49"/>
      <c r="AA240" s="24"/>
    </row>
    <row r="241" spans="1:27" hidden="1"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38.049999999999997</v>
      </c>
      <c r="V241" s="13">
        <f>IF(ISNA(VLOOKUP(LOWER(F241)&amp;H241,Prices!A:C,2,0)),0,VLOOKUP(LOWER(F241)&amp;H241,Prices!A:C,2,0))</f>
        <v>38.799999999999997</v>
      </c>
      <c r="W241" s="19">
        <f t="shared" si="103"/>
        <v>-8806.0359999999982</v>
      </c>
      <c r="X241" s="13">
        <f t="shared" si="104"/>
        <v>-750</v>
      </c>
      <c r="Y241" s="43">
        <f t="shared" si="85"/>
        <v>-0.29324129204129196</v>
      </c>
      <c r="Z241" s="49"/>
      <c r="AA241" s="24"/>
    </row>
    <row r="242" spans="1:27" hidden="1"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7.31</v>
      </c>
      <c r="V242" s="13">
        <f>IF(ISNA(VLOOKUP(LOWER(F242)&amp;H242,Prices!A:C,2,0)),0,VLOOKUP(LOWER(F242)&amp;H242,Prices!A:C,2,0))</f>
        <v>7.28</v>
      </c>
      <c r="W242" s="19">
        <f t="shared" si="103"/>
        <v>5794.2124000000013</v>
      </c>
      <c r="X242" s="13">
        <f t="shared" si="104"/>
        <v>59.999999999998721</v>
      </c>
      <c r="Y242" s="43">
        <f t="shared" si="85"/>
        <v>0.28430875368007857</v>
      </c>
      <c r="Z242" s="49"/>
      <c r="AA242" s="24"/>
    </row>
    <row r="243" spans="1:27" hidden="1"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7.31</v>
      </c>
      <c r="V243" s="13">
        <f>IF(ISNA(VLOOKUP(LOWER(F243)&amp;H243,Prices!A:C,2,0)),0,VLOOKUP(LOWER(F243)&amp;H243,Prices!A:C,2,0))</f>
        <v>7.28</v>
      </c>
      <c r="W243" s="19">
        <f t="shared" si="103"/>
        <v>5814.192</v>
      </c>
      <c r="X243" s="13">
        <f t="shared" si="104"/>
        <v>59.999999999998721</v>
      </c>
      <c r="Y243" s="43">
        <f t="shared" si="85"/>
        <v>0.2850094117647059</v>
      </c>
      <c r="Z243" s="49"/>
      <c r="AA243" s="24"/>
    </row>
    <row r="244" spans="1:27" hidden="1"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59.95</v>
      </c>
      <c r="V244" s="13">
        <f>IF(ISNA(VLOOKUP(LOWER(F244)&amp;H244,Prices!A:C,2,0)),0,VLOOKUP(LOWER(F244)&amp;H244,Prices!A:C,2,0))</f>
        <v>59.2</v>
      </c>
      <c r="W244" s="19">
        <f t="shared" si="103"/>
        <v>23862.934000000001</v>
      </c>
      <c r="X244" s="13">
        <f t="shared" si="104"/>
        <v>-750</v>
      </c>
      <c r="Y244" s="43">
        <f t="shared" si="85"/>
        <v>0.67542977639399948</v>
      </c>
      <c r="Z244" s="49"/>
      <c r="AA244" s="24"/>
    </row>
    <row r="245" spans="1:27" hidden="1"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64.28</v>
      </c>
      <c r="V245" s="13">
        <f>IF(ISNA(VLOOKUP(LOWER(F245)&amp;H245,Prices!A:C,2,0)),0,VLOOKUP(LOWER(F245)&amp;H245,Prices!A:C,2,0))</f>
        <v>65.41</v>
      </c>
      <c r="W245" s="19">
        <f t="shared" si="103"/>
        <v>3617.5677999999962</v>
      </c>
      <c r="X245" s="13">
        <f t="shared" si="104"/>
        <v>790.99999999999682</v>
      </c>
      <c r="Y245" s="43">
        <f t="shared" si="85"/>
        <v>8.5803652664784902E-2</v>
      </c>
      <c r="Z245" s="49" t="s">
        <v>1332</v>
      </c>
      <c r="AA245" s="24"/>
    </row>
    <row r="246" spans="1:27" hidden="1"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64.28</v>
      </c>
      <c r="V246" s="13">
        <f>IF(ISNA(VLOOKUP(LOWER(F246)&amp;H246,Prices!A:C,2,0)),0,VLOOKUP(LOWER(F246)&amp;H246,Prices!A:C,2,0))</f>
        <v>65.41</v>
      </c>
      <c r="W246" s="19">
        <f t="shared" si="103"/>
        <v>2134.9999999999995</v>
      </c>
      <c r="X246" s="13">
        <f t="shared" si="104"/>
        <v>451.99999999999818</v>
      </c>
      <c r="Y246" s="43">
        <f t="shared" si="85"/>
        <v>8.8869463869463844E-2</v>
      </c>
      <c r="Z246" s="49"/>
      <c r="AA246" s="24"/>
    </row>
    <row r="247" spans="1:27" hidden="1"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17.02</v>
      </c>
      <c r="V247" s="13">
        <f>IF(ISNA(VLOOKUP(LOWER(F247)&amp;H247,Prices!A:C,2,0)),0,VLOOKUP(LOWER(F247)&amp;H247,Prices!A:C,2,0))</f>
        <v>16.899999999999999</v>
      </c>
      <c r="W247" s="19">
        <f t="shared" si="103"/>
        <v>537.54000000000349</v>
      </c>
      <c r="X247" s="13">
        <f t="shared" si="104"/>
        <v>120.00000000000099</v>
      </c>
      <c r="Y247" s="43">
        <f t="shared" si="85"/>
        <v>3.0786941580756212E-2</v>
      </c>
      <c r="Z247" s="49"/>
      <c r="AA247" s="24"/>
    </row>
    <row r="248" spans="1:27" hidden="1"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20.34</v>
      </c>
      <c r="V248" s="13">
        <f>IF(ISNA(VLOOKUP(LOWER(F248)&amp;H248,Prices!A:C,2,0)),0,VLOOKUP(LOWER(F248)&amp;H248,Prices!A:C,2,0))</f>
        <v>20.91</v>
      </c>
      <c r="W248" s="19">
        <f t="shared" si="103"/>
        <v>-34129.728000000003</v>
      </c>
      <c r="X248" s="13">
        <f t="shared" si="104"/>
        <v>-3420.0000000000018</v>
      </c>
      <c r="Y248" s="43">
        <f t="shared" si="85"/>
        <v>-0.37324724409448823</v>
      </c>
      <c r="Z248" s="49"/>
      <c r="AA248" s="24"/>
    </row>
    <row r="249" spans="1:27" hidden="1"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64.28</v>
      </c>
      <c r="V249" s="13">
        <f>IF(ISNA(VLOOKUP(LOWER(F249)&amp;H249,Prices!A:C,2,0)),0,VLOOKUP(LOWER(F249)&amp;H249,Prices!A:C,2,0))</f>
        <v>65.41</v>
      </c>
      <c r="W249" s="19">
        <f t="shared" ref="W249:W256" si="109">IF(I249="B",(V249+T249)*K249,(V249+T249)*K249)</f>
        <v>-5180.2202039992044</v>
      </c>
      <c r="X249" s="13">
        <f t="shared" ref="X249:X259" si="110">K249*(V249-U249)</f>
        <v>-1242.999999999995</v>
      </c>
      <c r="Y249" s="43">
        <f t="shared" si="85"/>
        <v>-7.7489045852854266E-2</v>
      </c>
      <c r="Z249" s="49"/>
      <c r="AA249" s="24"/>
    </row>
    <row r="250" spans="1:27" hidden="1"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28.17</v>
      </c>
      <c r="V250" s="13">
        <f>IF(ISNA(VLOOKUP(LOWER(F250)&amp;H250,Prices!A:C,2,0)),0,VLOOKUP(LOWER(F250)&amp;H250,Prices!A:C,2,0))</f>
        <v>28.53</v>
      </c>
      <c r="W250" s="19">
        <f t="shared" si="109"/>
        <v>-18885.864000000005</v>
      </c>
      <c r="X250" s="13">
        <f t="shared" si="110"/>
        <v>-719.99999999999886</v>
      </c>
      <c r="Y250" s="43">
        <f t="shared" si="85"/>
        <v>-0.4941356357927788</v>
      </c>
      <c r="Z250" s="49"/>
      <c r="AA250" s="24"/>
    </row>
    <row r="251" spans="1:27" hidden="1"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9.36</v>
      </c>
      <c r="V251" s="13">
        <f>IF(ISNA(VLOOKUP(LOWER(F251)&amp;H251,Prices!A:C,2,0)),0,VLOOKUP(LOWER(F251)&amp;H251,Prices!A:C,2,0))</f>
        <v>9.15</v>
      </c>
      <c r="W251" s="19">
        <f t="shared" si="109"/>
        <v>985.26659999999561</v>
      </c>
      <c r="X251" s="13">
        <f t="shared" si="110"/>
        <v>629.99999999999727</v>
      </c>
      <c r="Y251" s="43">
        <f t="shared" si="85"/>
        <v>3.4607186512117867E-2</v>
      </c>
      <c r="Z251" s="49" t="s">
        <v>1331</v>
      </c>
      <c r="AA251" s="24"/>
    </row>
    <row r="252" spans="1:27" hidden="1"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17.02</v>
      </c>
      <c r="V252" s="13">
        <f>IF(ISNA(VLOOKUP(LOWER(F252)&amp;H252,Prices!A:C,2,0)),0,VLOOKUP(LOWER(F252)&amp;H252,Prices!A:C,2,0))</f>
        <v>16.899999999999999</v>
      </c>
      <c r="W252" s="19">
        <f t="shared" si="109"/>
        <v>657.41999999999837</v>
      </c>
      <c r="X252" s="13">
        <f t="shared" si="110"/>
        <v>120.00000000000099</v>
      </c>
      <c r="Y252" s="43">
        <f t="shared" si="85"/>
        <v>3.7395904436859972E-2</v>
      </c>
      <c r="Z252" s="49" t="s">
        <v>1333</v>
      </c>
      <c r="AA252" s="24"/>
    </row>
    <row r="253" spans="1:27" hidden="1"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59.95</v>
      </c>
      <c r="V253" s="13">
        <f>IF(ISNA(VLOOKUP(LOWER(F253)&amp;H253,Prices!A:C,2,0)),0,VLOOKUP(LOWER(F253)&amp;H253,Prices!A:C,2,0))</f>
        <v>59.2</v>
      </c>
      <c r="W253" s="19">
        <f t="shared" si="109"/>
        <v>-23822.504000000001</v>
      </c>
      <c r="X253" s="13">
        <f t="shared" si="110"/>
        <v>750</v>
      </c>
      <c r="Y253" s="43">
        <f t="shared" si="85"/>
        <v>-0.67257210615471485</v>
      </c>
      <c r="Z253" s="49"/>
      <c r="AA253" s="24"/>
    </row>
    <row r="254" spans="1:27" hidden="1"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14.92</v>
      </c>
      <c r="V254" s="13">
        <f>IF(ISNA(VLOOKUP(LOWER(F254)&amp;H254,Prices!A:C,2,0)),0,VLOOKUP(LOWER(F254)&amp;H254,Prices!A:C,2,0))</f>
        <v>14.79</v>
      </c>
      <c r="W254" s="19">
        <f t="shared" si="109"/>
        <v>-684.22064000000057</v>
      </c>
      <c r="X254" s="13">
        <f t="shared" si="110"/>
        <v>-91.00000000000054</v>
      </c>
      <c r="Y254" s="43">
        <f t="shared" si="85"/>
        <v>-6.2021450326323474E-2</v>
      </c>
      <c r="Z254" s="49"/>
      <c r="AA254" s="24"/>
    </row>
    <row r="255" spans="1:27" hidden="1"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14.92</v>
      </c>
      <c r="V255" s="13">
        <f>IF(ISNA(VLOOKUP(LOWER(F255)&amp;H255,Prices!A:C,2,0)),0,VLOOKUP(LOWER(F255)&amp;H255,Prices!A:C,2,0))</f>
        <v>14.79</v>
      </c>
      <c r="W255" s="19">
        <f t="shared" si="109"/>
        <v>-833.2827800000008</v>
      </c>
      <c r="X255" s="13">
        <f t="shared" si="110"/>
        <v>-117.00000000000071</v>
      </c>
      <c r="Y255" s="43">
        <f t="shared" si="85"/>
        <v>-5.8935057641983223E-2</v>
      </c>
      <c r="Z255" s="49"/>
      <c r="AA255" s="24"/>
    </row>
    <row r="256" spans="1:27" hidden="1"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14.92</v>
      </c>
      <c r="V256" s="13">
        <f>IF(ISNA(VLOOKUP(LOWER(F256)&amp;H256,Prices!A:C,2,0)),0,VLOOKUP(LOWER(F256)&amp;H256,Prices!A:C,2,0))</f>
        <v>14.79</v>
      </c>
      <c r="W256" s="19">
        <f t="shared" si="109"/>
        <v>2101.3015999999993</v>
      </c>
      <c r="X256" s="13">
        <f t="shared" si="110"/>
        <v>260.00000000000159</v>
      </c>
      <c r="Y256" s="43">
        <f t="shared" si="85"/>
        <v>6.6245321563682194E-2</v>
      </c>
      <c r="Z256" s="49"/>
      <c r="AA256" s="24"/>
    </row>
    <row r="257" spans="1:27" hidden="1"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8.92</v>
      </c>
      <c r="V257" s="13">
        <f>IF(ISNA(VLOOKUP(LOWER(F257)&amp;H257,Prices!A:C,2,0)),0,VLOOKUP(LOWER(F257)&amp;H257,Prices!A:C,2,0))</f>
        <v>8.84</v>
      </c>
      <c r="W257" s="19">
        <f>IF(I257="B",(V257+T257)*K257,(V257+T257)*K257)</f>
        <v>15383.939999999984</v>
      </c>
      <c r="X257" s="13">
        <f t="shared" si="110"/>
        <v>-800.00000000000068</v>
      </c>
      <c r="Y257" s="43">
        <f t="shared" si="85"/>
        <v>0.21073890410958881</v>
      </c>
      <c r="Z257" s="49"/>
      <c r="AA257" s="24"/>
    </row>
    <row r="258" spans="1:27" hidden="1"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14.92</v>
      </c>
      <c r="V258" s="13">
        <f>IF(ISNA(VLOOKUP(LOWER(F258)&amp;H258,Prices!A:C,2,0)),0,VLOOKUP(LOWER(F258)&amp;H258,Prices!A:C,2,0))</f>
        <v>14.79</v>
      </c>
      <c r="W258" s="19">
        <f>IF(I258="B",(V258+T258)*K258,(V258+T258)*K258)</f>
        <v>1345.4511999999966</v>
      </c>
      <c r="X258" s="13">
        <f t="shared" si="110"/>
        <v>208.00000000000125</v>
      </c>
      <c r="Y258" s="43">
        <f t="shared" si="85"/>
        <v>5.3732076677316158E-2</v>
      </c>
      <c r="Z258" s="49"/>
      <c r="AA258" s="24"/>
    </row>
    <row r="259" spans="1:27" hidden="1"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64.28</v>
      </c>
      <c r="V259" s="13">
        <f>IF(ISNA(VLOOKUP(LOWER(F259)&amp;H259,Prices!A:C,2,0)),0,VLOOKUP(LOWER(F259)&amp;H259,Prices!A:C,2,0))</f>
        <v>65.41</v>
      </c>
      <c r="W259" s="19">
        <f>IF(I259="B",(V259+T259)*K259,(V259+T259)*K259)</f>
        <v>31757.953399999969</v>
      </c>
      <c r="X259" s="13">
        <f t="shared" si="110"/>
        <v>5649.9999999999773</v>
      </c>
      <c r="Y259" s="43">
        <f t="shared" si="85"/>
        <v>0.10756911795090647</v>
      </c>
      <c r="Z259" s="49" t="s">
        <v>1340</v>
      </c>
      <c r="AA259" s="24"/>
    </row>
    <row r="260" spans="1:27" hidden="1"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29.79</v>
      </c>
      <c r="V260" s="13">
        <f>IF(ISNA(VLOOKUP(LOWER(F260)&amp;H260,Prices!A:C,2,0)),0,VLOOKUP(LOWER(F260)&amp;H260,Prices!A:C,2,0))</f>
        <v>30.85</v>
      </c>
      <c r="W260" s="19">
        <f t="shared" ref="W260:W271" si="115">IF(I260="B",(V260+T260)*K260,(V260+T260)*K260)</f>
        <v>37674.930340043997</v>
      </c>
      <c r="X260" s="13">
        <f t="shared" ref="X260:X272" si="116">K260*(V260-U260)</f>
        <v>3180.0000000000068</v>
      </c>
      <c r="Y260" s="43">
        <f t="shared" si="85"/>
        <v>0.68670926630672491</v>
      </c>
      <c r="Z260" s="49" t="s">
        <v>1341</v>
      </c>
      <c r="AA260" s="24"/>
    </row>
    <row r="261" spans="1:27" hidden="1"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13.35</v>
      </c>
      <c r="V261" s="13">
        <f>IF(ISNA(VLOOKUP(LOWER(F261)&amp;H261,Prices!A:C,2,0)),0,VLOOKUP(LOWER(F261)&amp;H261,Prices!A:C,2,0))</f>
        <v>13.6</v>
      </c>
      <c r="W261" s="19">
        <f>IF(I261="B",(V261+T261)*K261,(V261+T261)*K261)</f>
        <v>-14448.328</v>
      </c>
      <c r="X261" s="13">
        <f t="shared" si="116"/>
        <v>500</v>
      </c>
      <c r="Y261" s="43">
        <f t="shared" ref="Y261:Y324" si="120">W261/O261</f>
        <v>-0.3469819404418828</v>
      </c>
      <c r="Z261" s="49"/>
      <c r="AA261" s="24"/>
    </row>
    <row r="262" spans="1:27" hidden="1"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8.92</v>
      </c>
      <c r="V262" s="13">
        <f>IF(ISNA(VLOOKUP(LOWER(F262)&amp;H262,Prices!A:C,2,0)),0,VLOOKUP(LOWER(F262)&amp;H262,Prices!A:C,2,0))</f>
        <v>8.84</v>
      </c>
      <c r="W262" s="19">
        <f>IF(I262="B",(V262+T262)*K262,(V262+T262)*K262)</f>
        <v>7942.0249999999996</v>
      </c>
      <c r="X262" s="13">
        <f t="shared" si="116"/>
        <v>-400.00000000000034</v>
      </c>
      <c r="Y262" s="43">
        <f t="shared" si="120"/>
        <v>0.21909034482758619</v>
      </c>
      <c r="Z262" s="49"/>
      <c r="AA262" s="24">
        <v>7708.11</v>
      </c>
    </row>
    <row r="263" spans="1:27" hidden="1"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13.35</v>
      </c>
      <c r="V263" s="13">
        <f>IF(ISNA(VLOOKUP(LOWER(F263)&amp;H263,Prices!A:C,2,0)),0,VLOOKUP(LOWER(F263)&amp;H263,Prices!A:C,2,0))</f>
        <v>13.6</v>
      </c>
      <c r="W263" s="19">
        <f t="shared" si="115"/>
        <v>-22032.564000000002</v>
      </c>
      <c r="X263" s="13">
        <f t="shared" si="116"/>
        <v>750</v>
      </c>
      <c r="Y263" s="43">
        <f t="shared" si="120"/>
        <v>-0.35072531041069721</v>
      </c>
      <c r="Z263" s="49"/>
      <c r="AA263" s="24">
        <v>8000</v>
      </c>
    </row>
    <row r="264" spans="1:27" hidden="1"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29.79</v>
      </c>
      <c r="V264" s="13">
        <f>IF(ISNA(VLOOKUP(LOWER(F264)&amp;H264,Prices!A:C,2,0)),0,VLOOKUP(LOWER(F264)&amp;H264,Prices!A:C,2,0))</f>
        <v>30.85</v>
      </c>
      <c r="W264" s="19">
        <f t="shared" si="115"/>
        <v>37607.91540000002</v>
      </c>
      <c r="X264" s="13">
        <f t="shared" si="116"/>
        <v>3180.0000000000068</v>
      </c>
      <c r="Y264" s="43">
        <f t="shared" si="120"/>
        <v>0.68465165483342483</v>
      </c>
      <c r="Z264" s="49"/>
      <c r="AA264" s="24"/>
    </row>
    <row r="265" spans="1:27" hidden="1"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6.82</v>
      </c>
      <c r="V265" s="13">
        <f>IF(ISNA(VLOOKUP(LOWER(F265)&amp;H265,Prices!A:C,2,0)),0,VLOOKUP(LOWER(F265)&amp;H265,Prices!A:C,2,0))</f>
        <v>6.77</v>
      </c>
      <c r="W265" s="19">
        <f t="shared" si="115"/>
        <v>-11736.408000000001</v>
      </c>
      <c r="X265" s="13">
        <f t="shared" si="116"/>
        <v>-150.00000000000213</v>
      </c>
      <c r="Y265" s="43">
        <f t="shared" si="120"/>
        <v>-0.36630486891385772</v>
      </c>
      <c r="Z265" s="49"/>
      <c r="AA265" s="24"/>
    </row>
    <row r="266" spans="1:27" hidden="1"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14.17</v>
      </c>
      <c r="V266" s="13">
        <f>IF(ISNA(VLOOKUP(LOWER(F266)&amp;H266,Prices!A:C,2,0)),0,VLOOKUP(LOWER(F266)&amp;H266,Prices!A:C,2,0))</f>
        <v>14.02</v>
      </c>
      <c r="W266" s="19">
        <f t="shared" si="115"/>
        <v>-825.77200000000062</v>
      </c>
      <c r="X266" s="13">
        <f t="shared" si="116"/>
        <v>-300.00000000000068</v>
      </c>
      <c r="Y266" s="43">
        <f t="shared" si="120"/>
        <v>-2.8613028413028433E-2</v>
      </c>
      <c r="Z266" s="49"/>
      <c r="AA266" s="24"/>
    </row>
    <row r="267" spans="1:27" hidden="1"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18.27</v>
      </c>
      <c r="V267" s="13">
        <f>IF(ISNA(VLOOKUP(LOWER(F267)&amp;H267,Prices!A:C,2,0)),0,VLOOKUP(LOWER(F267)&amp;H267,Prices!A:C,2,0))</f>
        <v>18.399999999999999</v>
      </c>
      <c r="W267" s="19">
        <f t="shared" si="115"/>
        <v>-287.41600000000034</v>
      </c>
      <c r="X267" s="13">
        <f t="shared" si="116"/>
        <v>259.99999999999801</v>
      </c>
      <c r="Y267" s="43">
        <f t="shared" si="120"/>
        <v>-7.7512405609493082E-3</v>
      </c>
      <c r="Z267" s="49"/>
      <c r="AA267" s="24"/>
    </row>
    <row r="268" spans="1:27" hidden="1"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52.6</v>
      </c>
      <c r="V268" s="13">
        <f>IF(ISNA(VLOOKUP(LOWER(F268)&amp;H268,Prices!A:C,2,0)),0,VLOOKUP(LOWER(F268)&amp;H268,Prices!A:C,2,0))</f>
        <v>53.4</v>
      </c>
      <c r="W268" s="19">
        <f t="shared" si="115"/>
        <v>49968.635999999999</v>
      </c>
      <c r="X268" s="13">
        <f t="shared" si="116"/>
        <v>1599.9999999999943</v>
      </c>
      <c r="Y268" s="43">
        <f t="shared" si="120"/>
        <v>0.87941985216473073</v>
      </c>
      <c r="Z268" s="49"/>
      <c r="AA268" s="24"/>
    </row>
    <row r="269" spans="1:27" hidden="1"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13.35</v>
      </c>
      <c r="V269" s="13">
        <f>IF(ISNA(VLOOKUP(LOWER(F269)&amp;H269,Prices!A:C,2,0)),0,VLOOKUP(LOWER(F269)&amp;H269,Prices!A:C,2,0))</f>
        <v>13.6</v>
      </c>
      <c r="W269" s="19">
        <f t="shared" si="115"/>
        <v>-7075.0000000000009</v>
      </c>
      <c r="X269" s="13">
        <f t="shared" si="116"/>
        <v>250</v>
      </c>
      <c r="Y269" s="43">
        <f t="shared" si="120"/>
        <v>-0.34228350266086122</v>
      </c>
      <c r="Z269" s="49"/>
      <c r="AA269" s="24"/>
    </row>
    <row r="270" spans="1:27" hidden="1"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52.6</v>
      </c>
      <c r="V270" s="13">
        <f>IF(ISNA(VLOOKUP(LOWER(F270)&amp;H270,Prices!A:C,2,0)),0,VLOOKUP(LOWER(F270)&amp;H270,Prices!A:C,2,0))</f>
        <v>53.4</v>
      </c>
      <c r="W270" s="19">
        <f t="shared" si="115"/>
        <v>49788.6</v>
      </c>
      <c r="X270" s="13">
        <f t="shared" si="116"/>
        <v>1599.9999999999943</v>
      </c>
      <c r="Y270" s="43">
        <f t="shared" si="120"/>
        <v>0.87348421052631575</v>
      </c>
      <c r="Z270" s="49"/>
      <c r="AA270" s="24"/>
    </row>
    <row r="271" spans="1:27" hidden="1"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13.35</v>
      </c>
      <c r="V271" s="13">
        <f>IF(ISNA(VLOOKUP(LOWER(F271)&amp;H271,Prices!A:C,2,0)),0,VLOOKUP(LOWER(F271)&amp;H271,Prices!A:C,2,0))</f>
        <v>13.6</v>
      </c>
      <c r="W271" s="19">
        <f t="shared" si="115"/>
        <v>-14428.324000000001</v>
      </c>
      <c r="X271" s="13">
        <f t="shared" si="116"/>
        <v>500</v>
      </c>
      <c r="Y271" s="43">
        <f t="shared" si="120"/>
        <v>-0.34666804420951469</v>
      </c>
      <c r="Z271" s="49"/>
      <c r="AA271" s="24"/>
    </row>
    <row r="272" spans="1:27" hidden="1"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14.3</v>
      </c>
      <c r="V272" s="13">
        <f>IF(ISNA(VLOOKUP(LOWER(F272)&amp;H272,Prices!A:C,2,0)),0,VLOOKUP(LOWER(F272)&amp;H272,Prices!A:C,2,0))</f>
        <v>14.13</v>
      </c>
      <c r="W272" s="19">
        <f>IF(I272="B",(V272+T272)*K272,(V272+T272)*K272)</f>
        <v>13762.929600000009</v>
      </c>
      <c r="X272" s="13">
        <f t="shared" si="116"/>
        <v>-951.99999999999955</v>
      </c>
      <c r="Y272" s="43">
        <f t="shared" si="120"/>
        <v>0.21059691516709525</v>
      </c>
      <c r="Z272" s="49"/>
      <c r="AA272" s="24"/>
    </row>
    <row r="273" spans="1:27" hidden="1"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8.73</v>
      </c>
      <c r="V273" s="13">
        <f>IF(ISNA(VLOOKUP(LOWER(F273)&amp;H273,Prices!A:C,2,0)),0,VLOOKUP(LOWER(F273)&amp;H273,Prices!A:C,2,0))</f>
        <v>8.99</v>
      </c>
      <c r="W273" s="19">
        <f>IF(I273="B",(V273+T273)*K273,(V273+T273)*K273)</f>
        <v>-8768.944000000005</v>
      </c>
      <c r="X273" s="13">
        <f>K273*(V273-U273)</f>
        <v>1039.9999999999991</v>
      </c>
      <c r="Y273" s="43">
        <f t="shared" si="120"/>
        <v>-0.19608550983899833</v>
      </c>
      <c r="Z273" s="49"/>
      <c r="AA273" s="24"/>
    </row>
    <row r="274" spans="1:27" hidden="1"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14.3</v>
      </c>
      <c r="V274" s="13">
        <f>IF(ISNA(VLOOKUP(LOWER(F274)&amp;H274,Prices!A:C,2,0)),0,VLOOKUP(LOWER(F274)&amp;H274,Prices!A:C,2,0))</f>
        <v>14.13</v>
      </c>
      <c r="W274" s="19">
        <f>IF(I274="B",(V274+T274)*K274,(V274+T274)*K274)</f>
        <v>-12120.507600000006</v>
      </c>
      <c r="X274" s="13">
        <f>K274*(V274-U274)</f>
        <v>951.99999999999955</v>
      </c>
      <c r="Y274" s="43">
        <f t="shared" si="120"/>
        <v>-0.18066580610541388</v>
      </c>
      <c r="Z274" s="49"/>
      <c r="AA274" s="24"/>
    </row>
    <row r="275" spans="1:27" hidden="1"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28.04</v>
      </c>
      <c r="V275" s="13">
        <f>IF(ISNA(VLOOKUP(LOWER(F275)&amp;H275,Prices!A:C,2,0)),0,VLOOKUP(LOWER(F275)&amp;H275,Prices!A:C,2,0))</f>
        <v>27.94</v>
      </c>
      <c r="W275" s="19">
        <f t="shared" ref="W275:W289" si="126">IF(I275="B",(V275+T275)*K275,(V275+T275)*K275)</f>
        <v>8894.619200000001</v>
      </c>
      <c r="X275" s="13">
        <f t="shared" ref="X275:X289" si="127">K275*(V275-U275)</f>
        <v>-99.999999999997868</v>
      </c>
      <c r="Y275" s="43">
        <f t="shared" si="120"/>
        <v>0.4671543697478992</v>
      </c>
      <c r="Z275" s="49"/>
      <c r="AA275" s="24"/>
    </row>
    <row r="276" spans="1:27" hidden="1"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5.45</v>
      </c>
      <c r="V276" s="13">
        <f>IF(ISNA(VLOOKUP(LOWER(F276)&amp;H276,Prices!A:C,2,0)),0,VLOOKUP(LOWER(F276)&amp;H276,Prices!A:C,2,0))</f>
        <v>5.41</v>
      </c>
      <c r="W276" s="19">
        <f t="shared" si="126"/>
        <v>-13865.000000000002</v>
      </c>
      <c r="X276" s="13">
        <f t="shared" si="127"/>
        <v>-60.000000000000057</v>
      </c>
      <c r="Y276" s="43">
        <f t="shared" si="120"/>
        <v>-0.63094425483503991</v>
      </c>
      <c r="Z276" s="49"/>
      <c r="AA276" s="24"/>
    </row>
    <row r="277" spans="1:27" hidden="1"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14.17</v>
      </c>
      <c r="V277" s="13">
        <f>IF(ISNA(VLOOKUP(LOWER(F277)&amp;H277,Prices!A:C,2,0)),0,VLOOKUP(LOWER(F277)&amp;H277,Prices!A:C,2,0))</f>
        <v>14.02</v>
      </c>
      <c r="W277" s="19">
        <f t="shared" si="126"/>
        <v>1244.8160000000003</v>
      </c>
      <c r="X277" s="13">
        <f t="shared" si="127"/>
        <v>300.00000000000068</v>
      </c>
      <c r="Y277" s="43">
        <f t="shared" si="120"/>
        <v>4.2456207366985001E-2</v>
      </c>
      <c r="Z277" s="49"/>
      <c r="AA277" s="24"/>
    </row>
    <row r="278" spans="1:27" hidden="1"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29.79</v>
      </c>
      <c r="V278" s="13">
        <f>IF(ISNA(VLOOKUP(LOWER(F278)&amp;H278,Prices!A:C,2,0)),0,VLOOKUP(LOWER(F278)&amp;H278,Prices!A:C,2,0))</f>
        <v>30.85</v>
      </c>
      <c r="W278" s="19">
        <f t="shared" si="126"/>
        <v>-74295.346800000028</v>
      </c>
      <c r="X278" s="13">
        <f t="shared" si="127"/>
        <v>-6360.0000000000136</v>
      </c>
      <c r="Y278" s="43">
        <f t="shared" si="120"/>
        <v>-0.66968944294213117</v>
      </c>
      <c r="Z278" s="49"/>
      <c r="AA278" s="24"/>
    </row>
    <row r="279" spans="1:27" hidden="1"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18.27</v>
      </c>
      <c r="V279" s="13">
        <f>IF(ISNA(VLOOKUP(LOWER(F279)&amp;H279,Prices!A:C,2,0)),0,VLOOKUP(LOWER(F279)&amp;H279,Prices!A:C,2,0))</f>
        <v>18.399999999999999</v>
      </c>
      <c r="W279" s="19">
        <f t="shared" si="126"/>
        <v>-44.159999999997979</v>
      </c>
      <c r="X279" s="13">
        <f t="shared" si="127"/>
        <v>-259.99999999999801</v>
      </c>
      <c r="Y279" s="43">
        <f t="shared" si="120"/>
        <v>-1.199999999999945E-3</v>
      </c>
      <c r="Z279" s="49"/>
      <c r="AA279" s="24"/>
    </row>
    <row r="280" spans="1:27" hidden="1"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8.92</v>
      </c>
      <c r="V280" s="13">
        <f>IF(ISNA(VLOOKUP(LOWER(F280)&amp;H280,Prices!A:C,2,0)),0,VLOOKUP(LOWER(F280)&amp;H280,Prices!A:C,2,0))</f>
        <v>8.84</v>
      </c>
      <c r="W280" s="19">
        <f t="shared" si="126"/>
        <v>-24731.760000000013</v>
      </c>
      <c r="X280" s="13">
        <f t="shared" si="127"/>
        <v>1200.0000000000011</v>
      </c>
      <c r="Y280" s="43">
        <f t="shared" si="120"/>
        <v>-0.22899777777777791</v>
      </c>
      <c r="Z280" s="49"/>
      <c r="AA280" s="24"/>
    </row>
    <row r="281" spans="1:27" hidden="1"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8.73</v>
      </c>
      <c r="V281" s="13">
        <f>IF(ISNA(VLOOKUP(LOWER(F281)&amp;H281,Prices!A:C,2,0)),0,VLOOKUP(LOWER(F281)&amp;H281,Prices!A:C,2,0))</f>
        <v>8.99</v>
      </c>
      <c r="W281" s="19">
        <f t="shared" si="126"/>
        <v>8107.0559999999932</v>
      </c>
      <c r="X281" s="13">
        <f t="shared" si="127"/>
        <v>-1039.9999999999991</v>
      </c>
      <c r="Y281" s="43">
        <f t="shared" si="120"/>
        <v>0.18375013599274689</v>
      </c>
      <c r="Z281" s="49"/>
      <c r="AA281" s="24"/>
    </row>
    <row r="282" spans="1:27" hidden="1"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64.28</v>
      </c>
      <c r="V282" s="13">
        <f>IF(ISNA(VLOOKUP(LOWER(F282)&amp;H282,Prices!A:C,2,0)),0,VLOOKUP(LOWER(F282)&amp;H282,Prices!A:C,2,0))</f>
        <v>65.41</v>
      </c>
      <c r="W282" s="19">
        <f t="shared" si="126"/>
        <v>-12079.227599999991</v>
      </c>
      <c r="X282" s="13">
        <f t="shared" si="127"/>
        <v>-1807.9999999999927</v>
      </c>
      <c r="Y282" s="43">
        <f t="shared" si="120"/>
        <v>-0.1303213749352666</v>
      </c>
      <c r="Z282" s="49"/>
      <c r="AA282" s="24"/>
    </row>
    <row r="283" spans="1:27" hidden="1"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64.28</v>
      </c>
      <c r="V283" s="13">
        <f>IF(ISNA(VLOOKUP(LOWER(F283)&amp;H283,Prices!A:C,2,0)),0,VLOOKUP(LOWER(F283)&amp;H283,Prices!A:C,2,0))</f>
        <v>65.41</v>
      </c>
      <c r="W283" s="19">
        <f t="shared" si="126"/>
        <v>-12817.199599999998</v>
      </c>
      <c r="X283" s="13">
        <f t="shared" si="127"/>
        <v>-1920.9999999999923</v>
      </c>
      <c r="Y283" s="43">
        <f t="shared" si="120"/>
        <v>-0.1301264959694613</v>
      </c>
      <c r="Z283" s="49"/>
      <c r="AA283" s="24"/>
    </row>
    <row r="284" spans="1:27" hidden="1"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13.35</v>
      </c>
      <c r="V284" s="13">
        <f>IF(ISNA(VLOOKUP(LOWER(F284)&amp;H284,Prices!A:C,2,0)),0,VLOOKUP(LOWER(F284)&amp;H284,Prices!A:C,2,0))</f>
        <v>13.6</v>
      </c>
      <c r="W284" s="19">
        <f t="shared" si="126"/>
        <v>16551.635199999993</v>
      </c>
      <c r="X284" s="13">
        <f t="shared" si="127"/>
        <v>-650</v>
      </c>
      <c r="Y284" s="43">
        <f t="shared" si="120"/>
        <v>0.3184599068765151</v>
      </c>
      <c r="Z284" s="49"/>
      <c r="AA284" s="24"/>
    </row>
    <row r="285" spans="1:27" hidden="1"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64.28</v>
      </c>
      <c r="V285" s="13">
        <f>IF(ISNA(VLOOKUP(LOWER(F285)&amp;H285,Prices!A:C,2,0)),0,VLOOKUP(LOWER(F285)&amp;H285,Prices!A:C,2,0))</f>
        <v>65.41</v>
      </c>
      <c r="W285" s="19">
        <f t="shared" si="126"/>
        <v>-12851.1528</v>
      </c>
      <c r="X285" s="13">
        <f t="shared" si="127"/>
        <v>-1920.9999999999923</v>
      </c>
      <c r="Y285" s="43">
        <f t="shared" si="120"/>
        <v>-0.13051625771855704</v>
      </c>
      <c r="Z285" s="49"/>
      <c r="AA285" s="24"/>
    </row>
    <row r="286" spans="1:27" hidden="1"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13.35</v>
      </c>
      <c r="V286" s="13">
        <f>IF(ISNA(VLOOKUP(LOWER(F286)&amp;H286,Prices!A:C,2,0)),0,VLOOKUP(LOWER(F286)&amp;H286,Prices!A:C,2,0))</f>
        <v>13.6</v>
      </c>
      <c r="W286" s="19">
        <f t="shared" si="126"/>
        <v>17188.235399999987</v>
      </c>
      <c r="X286" s="13">
        <f t="shared" si="127"/>
        <v>-675</v>
      </c>
      <c r="Y286" s="43">
        <f t="shared" si="120"/>
        <v>0.31845988549830451</v>
      </c>
      <c r="Z286" s="49"/>
      <c r="AA286" s="24"/>
    </row>
    <row r="287" spans="1:27" hidden="1"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13.35</v>
      </c>
      <c r="V287" s="13">
        <f>IF(ISNA(VLOOKUP(LOWER(F287)&amp;H287,Prices!A:C,2,0)),0,VLOOKUP(LOWER(F287)&amp;H287,Prices!A:C,2,0))</f>
        <v>13.6</v>
      </c>
      <c r="W287" s="19">
        <f t="shared" si="126"/>
        <v>17269.139200000001</v>
      </c>
      <c r="X287" s="13">
        <f t="shared" si="127"/>
        <v>-675</v>
      </c>
      <c r="Y287" s="43">
        <f t="shared" si="120"/>
        <v>0.31947939467939468</v>
      </c>
      <c r="Z287" s="49"/>
      <c r="AA287" s="24"/>
    </row>
    <row r="288" spans="1:27" hidden="1"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6.82</v>
      </c>
      <c r="V288" s="13">
        <f>IF(ISNA(VLOOKUP(LOWER(F288)&amp;H288,Prices!A:C,2,0)),0,VLOOKUP(LOWER(F288)&amp;H288,Prices!A:C,2,0))</f>
        <v>6.77</v>
      </c>
      <c r="W288" s="19">
        <f t="shared" si="126"/>
        <v>10612.848000000005</v>
      </c>
      <c r="X288" s="13">
        <f t="shared" si="127"/>
        <v>150.00000000000213</v>
      </c>
      <c r="Y288" s="43">
        <f t="shared" si="120"/>
        <v>0.34279224806201569</v>
      </c>
      <c r="Z288" s="49"/>
      <c r="AA288" s="24"/>
    </row>
    <row r="289" spans="1:27" hidden="1"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52.6</v>
      </c>
      <c r="V289" s="13">
        <f>IF(ISNA(VLOOKUP(LOWER(F289)&amp;H289,Prices!A:C,2,0)),0,VLOOKUP(LOWER(F289)&amp;H289,Prices!A:C,2,0))</f>
        <v>53.4</v>
      </c>
      <c r="W289" s="19">
        <f t="shared" si="126"/>
        <v>-98618.144</v>
      </c>
      <c r="X289" s="13">
        <f t="shared" si="127"/>
        <v>-3199.9999999999886</v>
      </c>
      <c r="Y289" s="43">
        <f t="shared" si="120"/>
        <v>-0.85665517720639328</v>
      </c>
      <c r="Z289" s="49"/>
      <c r="AA289" s="24"/>
    </row>
    <row r="290" spans="1:27" hidden="1"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28.04</v>
      </c>
      <c r="V290" s="13">
        <f>IF(ISNA(VLOOKUP(LOWER(F290)&amp;H290,Prices!A:C,2,0)),0,VLOOKUP(LOWER(F290)&amp;H290,Prices!A:C,2,0))</f>
        <v>27.94</v>
      </c>
      <c r="W290" s="19">
        <f>IF(I290="B",(V290+T290)*K290,(V290+T290)*K290)</f>
        <v>-8734.6146000000008</v>
      </c>
      <c r="X290" s="13">
        <f>K290*(V290-U290)</f>
        <v>99.999999999997868</v>
      </c>
      <c r="Y290" s="43">
        <f t="shared" si="120"/>
        <v>-0.45421812792511707</v>
      </c>
      <c r="Z290" s="49"/>
      <c r="AA290" s="24"/>
    </row>
    <row r="291" spans="1:27" hidden="1"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5.45</v>
      </c>
      <c r="V291" s="13">
        <f>IF(ISNA(VLOOKUP(LOWER(F291)&amp;H291,Prices!A:C,2,0)),0,VLOOKUP(LOWER(F291)&amp;H291,Prices!A:C,2,0))</f>
        <v>5.41</v>
      </c>
      <c r="W291" s="19">
        <f>IF(I291="B",(V291+T291)*K291,(V291+T291)*K291)</f>
        <v>14342.509999999997</v>
      </c>
      <c r="X291" s="13">
        <f>K291*(V291-U291)</f>
        <v>60.000000000000057</v>
      </c>
      <c r="Y291" s="43">
        <f t="shared" si="120"/>
        <v>0.63787013564598605</v>
      </c>
      <c r="Z291" s="49"/>
      <c r="AA291" s="24"/>
    </row>
    <row r="292" spans="1:27" hidden="1"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hidden="1"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hidden="1"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hidden="1"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6.97</v>
      </c>
      <c r="V295" s="13">
        <f>IF(ISNA(VLOOKUP(LOWER(F295)&amp;H295,Prices!A:C,2,0)),0,VLOOKUP(LOWER(F295)&amp;H295,Prices!A:C,2,0))</f>
        <v>6.91</v>
      </c>
      <c r="W295" s="13">
        <f t="shared" si="132"/>
        <v>-10409.888999999994</v>
      </c>
      <c r="X295" s="13">
        <f t="shared" si="133"/>
        <v>-299.99999999999807</v>
      </c>
      <c r="Y295" s="43">
        <f t="shared" si="120"/>
        <v>-0.23158818687430466</v>
      </c>
      <c r="Z295" s="49"/>
      <c r="AA295" s="24"/>
    </row>
    <row r="296" spans="1:27" hidden="1"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9.69</v>
      </c>
      <c r="V296" s="13">
        <f>IF(ISNA(VLOOKUP(LOWER(F296)&amp;H296,Prices!A:C,2,0)),0,VLOOKUP(LOWER(F296)&amp;H296,Prices!A:C,2,0))</f>
        <v>9.4499999999999993</v>
      </c>
      <c r="W296" s="13">
        <f t="shared" si="132"/>
        <v>1089.8469999999882</v>
      </c>
      <c r="X296" s="13">
        <f t="shared" si="133"/>
        <v>-1200.0000000000011</v>
      </c>
      <c r="Y296" s="43">
        <f t="shared" si="120"/>
        <v>2.3615319609967239E-2</v>
      </c>
      <c r="Z296" s="49"/>
      <c r="AA296" s="24"/>
    </row>
    <row r="297" spans="1:27" hidden="1"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hidden="1"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hidden="1"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9.69</v>
      </c>
      <c r="V299" s="13">
        <f>IF(ISNA(VLOOKUP(LOWER(F299)&amp;H299,Prices!A:C,2,0)),0,VLOOKUP(LOWER(F299)&amp;H299,Prices!A:C,2,0))</f>
        <v>9.4499999999999993</v>
      </c>
      <c r="W299" s="13">
        <f t="shared" si="132"/>
        <v>871.87759999999776</v>
      </c>
      <c r="X299" s="13">
        <f t="shared" si="133"/>
        <v>-960.00000000000091</v>
      </c>
      <c r="Y299" s="43">
        <f t="shared" si="120"/>
        <v>2.3615319609967437E-2</v>
      </c>
      <c r="Z299" s="49"/>
      <c r="AA299" s="24"/>
    </row>
    <row r="300" spans="1:27" hidden="1"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13.35</v>
      </c>
      <c r="V300" s="13">
        <f>IF(ISNA(VLOOKUP(LOWER(F300)&amp;H300,Prices!A:C,2,0)),0,VLOOKUP(LOWER(F300)&amp;H300,Prices!A:C,2,0))</f>
        <v>13.6</v>
      </c>
      <c r="W300" s="13">
        <f t="shared" si="132"/>
        <v>-9125.9039999999986</v>
      </c>
      <c r="X300" s="13">
        <f t="shared" si="133"/>
        <v>375</v>
      </c>
      <c r="Y300" s="43">
        <f t="shared" si="120"/>
        <v>-0.30914308943089425</v>
      </c>
      <c r="Z300" s="49"/>
      <c r="AA300" s="24"/>
    </row>
    <row r="301" spans="1:27" hidden="1"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13.35</v>
      </c>
      <c r="V301" s="13">
        <f>IF(ISNA(VLOOKUP(LOWER(F301)&amp;H301,Prices!A:C,2,0)),0,VLOOKUP(LOWER(F301)&amp;H301,Prices!A:C,2,0))</f>
        <v>13.6</v>
      </c>
      <c r="W301" s="13">
        <f t="shared" si="132"/>
        <v>-9035.8859999999986</v>
      </c>
      <c r="X301" s="13">
        <f t="shared" si="133"/>
        <v>375</v>
      </c>
      <c r="Y301" s="43">
        <f t="shared" si="120"/>
        <v>-0.30702976554536182</v>
      </c>
      <c r="Z301" s="49"/>
      <c r="AA301" s="24"/>
    </row>
    <row r="302" spans="1:27" hidden="1"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6.97</v>
      </c>
      <c r="V302" s="13">
        <f>IF(ISNA(VLOOKUP(LOWER(F302)&amp;H302,Prices!A:C,2,0)),0,VLOOKUP(LOWER(F302)&amp;H302,Prices!A:C,2,0))</f>
        <v>6.91</v>
      </c>
      <c r="W302" s="13">
        <f t="shared" si="132"/>
        <v>-4065.3575999999985</v>
      </c>
      <c r="X302" s="13">
        <f t="shared" si="133"/>
        <v>-119.99999999999922</v>
      </c>
      <c r="Y302" s="43">
        <f t="shared" si="120"/>
        <v>-0.2273689932885905</v>
      </c>
      <c r="Z302" s="49"/>
      <c r="AA302" s="24"/>
    </row>
    <row r="303" spans="1:27" hidden="1"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43.74</v>
      </c>
      <c r="V303" s="13">
        <f>IF(ISNA(VLOOKUP(LOWER(F303)&amp;H303,Prices!A:C,2,0)),0,VLOOKUP(LOWER(F303)&amp;H303,Prices!A:C,2,0))</f>
        <v>45.67</v>
      </c>
      <c r="W303" s="13">
        <f t="shared" si="132"/>
        <v>28537.008000000005</v>
      </c>
      <c r="X303" s="13">
        <f t="shared" si="133"/>
        <v>2894.9999999999995</v>
      </c>
      <c r="Y303" s="43">
        <f t="shared" si="120"/>
        <v>0.71413933933933949</v>
      </c>
      <c r="Z303" s="49"/>
      <c r="AA303" s="24"/>
    </row>
    <row r="304" spans="1:27" hidden="1"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6.97</v>
      </c>
      <c r="V304" s="13">
        <f>IF(ISNA(VLOOKUP(LOWER(F304)&amp;H304,Prices!A:C,2,0)),0,VLOOKUP(LOWER(F304)&amp;H304,Prices!A:C,2,0))</f>
        <v>6.91</v>
      </c>
      <c r="W304" s="13">
        <f t="shared" ref="W304:W345" si="138">IF(I304="B",(V304+T304)*K304,(V304+T304)*K304)</f>
        <v>15252.286000000002</v>
      </c>
      <c r="X304" s="13">
        <f t="shared" ref="X304:X345" si="139">K304*(V304-U304)</f>
        <v>419.99999999999727</v>
      </c>
      <c r="Y304" s="43">
        <f t="shared" si="120"/>
        <v>0.23943934065934069</v>
      </c>
      <c r="Z304" s="49"/>
      <c r="AA304" s="24"/>
    </row>
    <row r="305" spans="1:27" hidden="1"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9.69</v>
      </c>
      <c r="V305" s="13">
        <f>IF(ISNA(VLOOKUP(LOWER(F305)&amp;H305,Prices!A:C,2,0)),0,VLOOKUP(LOWER(F305)&amp;H305,Prices!A:C,2,0))</f>
        <v>9.4499999999999993</v>
      </c>
      <c r="W305" s="13">
        <f t="shared" si="138"/>
        <v>1611.088199999994</v>
      </c>
      <c r="X305" s="13">
        <f t="shared" si="139"/>
        <v>1080.0000000000009</v>
      </c>
      <c r="Y305" s="43">
        <f t="shared" si="120"/>
        <v>3.6458207739307399E-2</v>
      </c>
      <c r="Z305" s="49"/>
      <c r="AA305" s="24"/>
    </row>
    <row r="306" spans="1:27" hidden="1"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hidden="1"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13.35</v>
      </c>
      <c r="V307" s="13">
        <f>IF(ISNA(VLOOKUP(LOWER(F307)&amp;H307,Prices!A:C,2,0)),0,VLOOKUP(LOWER(F307)&amp;H307,Prices!A:C,2,0))</f>
        <v>13.6</v>
      </c>
      <c r="W307" s="13">
        <f t="shared" si="138"/>
        <v>17749.655999999992</v>
      </c>
      <c r="X307" s="13">
        <f t="shared" si="139"/>
        <v>-750</v>
      </c>
      <c r="Y307" s="43">
        <f t="shared" si="120"/>
        <v>0.30279181166837243</v>
      </c>
      <c r="Z307" s="49"/>
      <c r="AA307" s="24"/>
    </row>
    <row r="308" spans="1:27" hidden="1"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43.74</v>
      </c>
      <c r="V308" s="13">
        <f>IF(ISNA(VLOOKUP(LOWER(F308)&amp;H308,Prices!A:C,2,0)),0,VLOOKUP(LOWER(F308)&amp;H308,Prices!A:C,2,0))</f>
        <v>45.67</v>
      </c>
      <c r="W308" s="13">
        <f t="shared" si="138"/>
        <v>-29596.750999999997</v>
      </c>
      <c r="X308" s="13">
        <f t="shared" si="139"/>
        <v>-2894.9999999999995</v>
      </c>
      <c r="Y308" s="43">
        <f t="shared" si="120"/>
        <v>-0.7597677063278141</v>
      </c>
      <c r="Z308" s="49"/>
      <c r="AA308" s="24"/>
    </row>
    <row r="309" spans="1:27" hidden="1"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9.69</v>
      </c>
      <c r="V309" s="13">
        <f>IF(ISNA(VLOOKUP(LOWER(F309)&amp;H309,Prices!A:C,2,0)),0,VLOOKUP(LOWER(F309)&amp;H309,Prices!A:C,2,0))</f>
        <v>9.4499999999999993</v>
      </c>
      <c r="W309" s="13">
        <f t="shared" si="138"/>
        <v>1206.5773000000072</v>
      </c>
      <c r="X309" s="13">
        <f t="shared" si="139"/>
        <v>1080.0000000000009</v>
      </c>
      <c r="Y309" s="43">
        <f t="shared" si="120"/>
        <v>2.7556864222907554E-2</v>
      </c>
      <c r="Z309" s="49"/>
      <c r="AA309" s="24"/>
    </row>
    <row r="310" spans="1:27" hidden="1"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650.07000000000005</v>
      </c>
      <c r="V310" s="13">
        <f>IF(ISNA(VLOOKUP(LOWER(F310)&amp;H310,Prices!A:C,2,0)),0,VLOOKUP(LOWER(F310)&amp;H310,Prices!A:C,2,0))</f>
        <v>677.95</v>
      </c>
      <c r="W310" s="13">
        <f>IF(I310="B",(V310+T310)*K310,(V310+T310)*K310)</f>
        <v>68339.208080000026</v>
      </c>
      <c r="X310" s="13">
        <f t="shared" si="139"/>
        <v>5575.9999999999991</v>
      </c>
      <c r="Y310" s="43">
        <f t="shared" si="120"/>
        <v>1.0164079969064195</v>
      </c>
      <c r="Z310" s="49"/>
      <c r="AA310" s="24"/>
    </row>
    <row r="311" spans="1:27" hidden="1"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650.07000000000005</v>
      </c>
      <c r="V311" s="13">
        <f>IF(ISNA(VLOOKUP(LOWER(F311)&amp;H311,Prices!A:C,2,0)),0,VLOOKUP(LOWER(F311)&amp;H311,Prices!A:C,2,0))</f>
        <v>677.95</v>
      </c>
      <c r="W311" s="13">
        <f t="shared" si="138"/>
        <v>34265.625160000003</v>
      </c>
      <c r="X311" s="13">
        <f t="shared" si="139"/>
        <v>2787.9999999999995</v>
      </c>
      <c r="Y311" s="43">
        <f t="shared" si="120"/>
        <v>1.0221831978998868</v>
      </c>
      <c r="Z311" s="49"/>
      <c r="AA311" s="24"/>
    </row>
    <row r="312" spans="1:27" hidden="1"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67.989999999999995</v>
      </c>
      <c r="V312" s="13">
        <f>IF(ISNA(VLOOKUP(LOWER(F312)&amp;H312,Prices!A:C,2,0)),0,VLOOKUP(LOWER(F312)&amp;H312,Prices!A:C,2,0))</f>
        <v>67.650000000000006</v>
      </c>
      <c r="W312" s="13">
        <f t="shared" si="138"/>
        <v>10534.637400000003</v>
      </c>
      <c r="X312" s="13">
        <f t="shared" si="139"/>
        <v>-237.99999999999244</v>
      </c>
      <c r="Y312" s="43">
        <f t="shared" si="120"/>
        <v>0.28616622932116381</v>
      </c>
      <c r="Z312" s="49"/>
      <c r="AA312" s="24"/>
    </row>
    <row r="313" spans="1:27" hidden="1"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650.07000000000005</v>
      </c>
      <c r="V313" s="13">
        <f>IF(ISNA(VLOOKUP(LOWER(F313)&amp;H313,Prices!A:C,2,0)),0,VLOOKUP(LOWER(F313)&amp;H313,Prices!A:C,2,0))</f>
        <v>677.95</v>
      </c>
      <c r="W313" s="13">
        <f t="shared" si="138"/>
        <v>34226.616580000009</v>
      </c>
      <c r="X313" s="13">
        <f t="shared" si="139"/>
        <v>2787.9999999999995</v>
      </c>
      <c r="Y313" s="43">
        <f t="shared" si="120"/>
        <v>1.0198330377521532</v>
      </c>
      <c r="Z313" s="49"/>
      <c r="AA313" s="24"/>
    </row>
    <row r="314" spans="1:27" hidden="1"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650.07000000000005</v>
      </c>
      <c r="V314" s="13">
        <f>IF(ISNA(VLOOKUP(LOWER(F314)&amp;H314,Prices!A:C,2,0)),0,VLOOKUP(LOWER(F314)&amp;H314,Prices!A:C,2,0))</f>
        <v>677.95</v>
      </c>
      <c r="W314" s="13">
        <f t="shared" si="138"/>
        <v>34322.637699999999</v>
      </c>
      <c r="X314" s="13">
        <f t="shared" si="139"/>
        <v>2787.9999999999995</v>
      </c>
      <c r="Y314" s="43">
        <f t="shared" si="120"/>
        <v>1.025627900791872</v>
      </c>
      <c r="Z314" s="49"/>
      <c r="AA314" s="24"/>
    </row>
    <row r="315" spans="1:27" hidden="1"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67.989999999999995</v>
      </c>
      <c r="V315" s="13">
        <f>IF(ISNA(VLOOKUP(LOWER(F315)&amp;H315,Prices!A:C,2,0)),0,VLOOKUP(LOWER(F315)&amp;H315,Prices!A:C,2,0))</f>
        <v>67.650000000000006</v>
      </c>
      <c r="W315" s="13">
        <f t="shared" si="138"/>
        <v>11087.748000000001</v>
      </c>
      <c r="X315" s="13">
        <f t="shared" si="139"/>
        <v>-237.99999999999244</v>
      </c>
      <c r="Y315" s="43">
        <f t="shared" si="120"/>
        <v>0.30578455598455601</v>
      </c>
      <c r="Z315" s="49"/>
      <c r="AA315" s="24"/>
    </row>
    <row r="316" spans="1:27" hidden="1"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66.33</v>
      </c>
      <c r="V316" s="13">
        <f>IF(ISNA(VLOOKUP(LOWER(F316)&amp;H316,Prices!A:C,2,0)),0,VLOOKUP(LOWER(F316)&amp;H316,Prices!A:C,2,0))</f>
        <v>69.89</v>
      </c>
      <c r="W316" s="13">
        <f t="shared" si="138"/>
        <v>33001.886400000003</v>
      </c>
      <c r="X316" s="13">
        <f t="shared" si="139"/>
        <v>3560.0000000000023</v>
      </c>
      <c r="Y316" s="43">
        <f t="shared" si="120"/>
        <v>0.89484507592190898</v>
      </c>
      <c r="Z316" s="49"/>
      <c r="AA316" s="24"/>
    </row>
    <row r="317" spans="1:27" hidden="1"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66.33</v>
      </c>
      <c r="V317" s="13">
        <f>IF(ISNA(VLOOKUP(LOWER(F317)&amp;H317,Prices!A:C,2,0)),0,VLOOKUP(LOWER(F317)&amp;H317,Prices!A:C,2,0))</f>
        <v>69.89</v>
      </c>
      <c r="W317" s="13">
        <f t="shared" si="138"/>
        <v>33001.886400000003</v>
      </c>
      <c r="X317" s="13">
        <f t="shared" si="139"/>
        <v>3560.0000000000023</v>
      </c>
      <c r="Y317" s="43">
        <f t="shared" si="120"/>
        <v>0.89484507592190898</v>
      </c>
      <c r="Z317" s="49"/>
      <c r="AA317" s="24"/>
    </row>
    <row r="318" spans="1:27" hidden="1"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17.05</v>
      </c>
      <c r="V318" s="13">
        <f>IF(ISNA(VLOOKUP(LOWER(F318)&amp;H318,Prices!A:C,2,0)),0,VLOOKUP(LOWER(F318)&amp;H318,Prices!A:C,2,0))</f>
        <v>16.95</v>
      </c>
      <c r="W318" s="13">
        <f t="shared" si="138"/>
        <v>-507.56799999999913</v>
      </c>
      <c r="X318" s="13">
        <f t="shared" si="139"/>
        <v>-200.00000000000284</v>
      </c>
      <c r="Y318" s="43">
        <f t="shared" si="120"/>
        <v>-1.4754883720930208E-2</v>
      </c>
      <c r="Z318" s="49"/>
      <c r="AA318" s="24"/>
    </row>
    <row r="319" spans="1:27" hidden="1"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hidden="1"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35.979999999999997</v>
      </c>
      <c r="V320" s="13">
        <f>IF(ISNA(VLOOKUP(LOWER(F320)&amp;H320,Prices!A:C,2,0)),0,VLOOKUP(LOWER(F320)&amp;H320,Prices!A:C,2,0))</f>
        <v>35.89</v>
      </c>
      <c r="W320" s="13">
        <f t="shared" si="138"/>
        <v>-9755.8449999999975</v>
      </c>
      <c r="X320" s="13">
        <f t="shared" si="139"/>
        <v>-98.999999999995936</v>
      </c>
      <c r="Y320" s="43">
        <f t="shared" si="120"/>
        <v>-0.1981888268156424</v>
      </c>
      <c r="Z320" s="49"/>
      <c r="AA320" s="24"/>
    </row>
    <row r="321" spans="1:27" hidden="1"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8.2899999999999991</v>
      </c>
      <c r="V321" s="13">
        <f>IF(ISNA(VLOOKUP(LOWER(F321)&amp;H321,Prices!A:C,2,0)),0,VLOOKUP(LOWER(F321)&amp;H321,Prices!A:C,2,0))</f>
        <v>8.34</v>
      </c>
      <c r="W321" s="13">
        <f t="shared" si="138"/>
        <v>6788.2383000000018</v>
      </c>
      <c r="X321" s="13">
        <f t="shared" si="139"/>
        <v>225.00000000000318</v>
      </c>
      <c r="Y321" s="43">
        <f t="shared" si="120"/>
        <v>0.22086345534407034</v>
      </c>
      <c r="Z321" s="49"/>
      <c r="AA321" s="13"/>
    </row>
    <row r="322" spans="1:27" hidden="1"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66.33</v>
      </c>
      <c r="V322" s="13">
        <f>IF(ISNA(VLOOKUP(LOWER(F322)&amp;H322,Prices!A:C,2,0)),0,VLOOKUP(LOWER(F322)&amp;H322,Prices!A:C,2,0))</f>
        <v>69.89</v>
      </c>
      <c r="W322" s="13">
        <f t="shared" si="138"/>
        <v>26465.5232</v>
      </c>
      <c r="X322" s="13">
        <f t="shared" si="139"/>
        <v>2848.0000000000018</v>
      </c>
      <c r="Y322" s="43">
        <f t="shared" si="120"/>
        <v>0.89896478260869572</v>
      </c>
      <c r="Z322" s="49"/>
      <c r="AA322" s="24"/>
    </row>
    <row r="323" spans="1:27" hidden="1"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650.07000000000005</v>
      </c>
      <c r="V323" s="13">
        <f>IF(ISNA(VLOOKUP(LOWER(F323)&amp;H323,Prices!A:C,2,0)),0,VLOOKUP(LOWER(F323)&amp;H323,Prices!A:C,2,0))</f>
        <v>677.95</v>
      </c>
      <c r="W323" s="13">
        <f t="shared" si="138"/>
        <v>35103.809520000003</v>
      </c>
      <c r="X323" s="13">
        <f t="shared" si="139"/>
        <v>2787.9999999999995</v>
      </c>
      <c r="Y323" s="43">
        <f t="shared" si="120"/>
        <v>1.07403651695019</v>
      </c>
      <c r="Z323" s="49"/>
      <c r="AA323" s="24"/>
    </row>
    <row r="324" spans="1:27" hidden="1"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6.82</v>
      </c>
      <c r="V324" s="13">
        <f>IF(ISNA(VLOOKUP(LOWER(F324)&amp;H324,Prices!A:C,2,0)),0,VLOOKUP(LOWER(F324)&amp;H324,Prices!A:C,2,0))</f>
        <v>6.77</v>
      </c>
      <c r="W324" s="13">
        <f t="shared" si="138"/>
        <v>-13463.783999999998</v>
      </c>
      <c r="X324" s="13">
        <f t="shared" si="139"/>
        <v>-225.00000000000318</v>
      </c>
      <c r="Y324" s="43">
        <f t="shared" si="120"/>
        <v>-0.30655245901639339</v>
      </c>
      <c r="Z324" s="49"/>
      <c r="AA324" s="24"/>
    </row>
    <row r="325" spans="1:27" hidden="1"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35.979999999999997</v>
      </c>
      <c r="V325" s="13">
        <f>IF(ISNA(VLOOKUP(LOWER(F325)&amp;H325,Prices!A:C,2,0)),0,VLOOKUP(LOWER(F325)&amp;H325,Prices!A:C,2,0))</f>
        <v>35.89</v>
      </c>
      <c r="W325" s="13">
        <f t="shared" si="138"/>
        <v>-10195.932999999994</v>
      </c>
      <c r="X325" s="13">
        <f t="shared" si="139"/>
        <v>-98.999999999995936</v>
      </c>
      <c r="Y325" s="43">
        <f t="shared" ref="Y325:Y388" si="143">W325/O325</f>
        <v>-0.2052941306755259</v>
      </c>
      <c r="Z325" s="49"/>
      <c r="AA325" s="24"/>
    </row>
    <row r="326" spans="1:27" hidden="1"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6.82</v>
      </c>
      <c r="V326" s="13">
        <f>IF(ISNA(VLOOKUP(LOWER(F326)&amp;H326,Prices!A:C,2,0)),0,VLOOKUP(LOWER(F326)&amp;H326,Prices!A:C,2,0))</f>
        <v>6.77</v>
      </c>
      <c r="W326" s="13">
        <f t="shared" si="138"/>
        <v>-13463.783999999998</v>
      </c>
      <c r="X326" s="13">
        <f t="shared" si="139"/>
        <v>-225.00000000000318</v>
      </c>
      <c r="Y326" s="43">
        <f t="shared" si="143"/>
        <v>-0.30655245901639339</v>
      </c>
      <c r="Z326" s="49"/>
      <c r="AA326" s="24"/>
    </row>
    <row r="327" spans="1:27" hidden="1"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6.82</v>
      </c>
      <c r="V327" s="13">
        <f>IF(ISNA(VLOOKUP(LOWER(F327)&amp;H327,Prices!A:C,2,0)),0,VLOOKUP(LOWER(F327)&amp;H327,Prices!A:C,2,0))</f>
        <v>6.77</v>
      </c>
      <c r="W327" s="13">
        <f t="shared" si="138"/>
        <v>-13492.78979999998</v>
      </c>
      <c r="X327" s="13">
        <f t="shared" si="139"/>
        <v>-225.00000000000318</v>
      </c>
      <c r="Y327" s="43">
        <f t="shared" si="143"/>
        <v>-0.30701016632915396</v>
      </c>
      <c r="Z327" s="49"/>
      <c r="AA327" s="24"/>
    </row>
    <row r="328" spans="1:27" hidden="1"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67.11</v>
      </c>
      <c r="V328" s="13">
        <f>IF(ISNA(VLOOKUP(LOWER(F328)&amp;H328,Prices!A:C,2,0)),0,VLOOKUP(LOWER(F328)&amp;H328,Prices!A:C,2,0))</f>
        <v>68.489999999999995</v>
      </c>
      <c r="W328" s="13">
        <f t="shared" si="138"/>
        <v>53000.054999999993</v>
      </c>
      <c r="X328" s="13">
        <f t="shared" si="139"/>
        <v>2069.9999999999932</v>
      </c>
      <c r="Y328" s="43">
        <f t="shared" si="143"/>
        <v>1.0658633484162894</v>
      </c>
      <c r="Z328" s="49"/>
      <c r="AA328" s="24"/>
    </row>
    <row r="329" spans="1:27" hidden="1"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35.979999999999997</v>
      </c>
      <c r="V329" s="13">
        <f>IF(ISNA(VLOOKUP(LOWER(F329)&amp;H329,Prices!A:C,2,0)),0,VLOOKUP(LOWER(F329)&amp;H329,Prices!A:C,2,0))</f>
        <v>35.89</v>
      </c>
      <c r="W329" s="13">
        <f t="shared" si="138"/>
        <v>-10581.010000000004</v>
      </c>
      <c r="X329" s="13">
        <f t="shared" si="139"/>
        <v>-98.999999999995936</v>
      </c>
      <c r="Y329" s="43">
        <f t="shared" si="143"/>
        <v>-0.21140879120879127</v>
      </c>
      <c r="Z329" s="49"/>
      <c r="AA329" s="24"/>
    </row>
    <row r="330" spans="1:27" hidden="1"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8.2899999999999991</v>
      </c>
      <c r="V330" s="13">
        <f>IF(ISNA(VLOOKUP(LOWER(F330)&amp;H330,Prices!A:C,2,0)),0,VLOOKUP(LOWER(F330)&amp;H330,Prices!A:C,2,0))</f>
        <v>8.34</v>
      </c>
      <c r="W330" s="13">
        <f t="shared" si="138"/>
        <v>6968.277900000001</v>
      </c>
      <c r="X330" s="13">
        <f t="shared" si="139"/>
        <v>225.00000000000318</v>
      </c>
      <c r="Y330" s="43">
        <f t="shared" si="143"/>
        <v>0.22805687776141387</v>
      </c>
      <c r="Z330" s="49"/>
      <c r="AA330" s="24"/>
    </row>
    <row r="331" spans="1:27" hidden="1"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35.979999999999997</v>
      </c>
      <c r="V331" s="13">
        <f>IF(ISNA(VLOOKUP(LOWER(F331)&amp;H331,Prices!A:C,2,0)),0,VLOOKUP(LOWER(F331)&amp;H331,Prices!A:C,2,0))</f>
        <v>35.89</v>
      </c>
      <c r="W331" s="13">
        <f t="shared" si="138"/>
        <v>-10592.012199999996</v>
      </c>
      <c r="X331" s="13">
        <f t="shared" si="139"/>
        <v>-98.999999999995936</v>
      </c>
      <c r="Y331" s="43">
        <f t="shared" si="143"/>
        <v>-0.21158211382113812</v>
      </c>
      <c r="Z331" s="49"/>
      <c r="AA331" s="24"/>
    </row>
    <row r="332" spans="1:27" hidden="1"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67.989999999999995</v>
      </c>
      <c r="V332" s="13">
        <f>IF(ISNA(VLOOKUP(LOWER(F332)&amp;H332,Prices!A:C,2,0)),0,VLOOKUP(LOWER(F332)&amp;H332,Prices!A:C,2,0))</f>
        <v>67.650000000000006</v>
      </c>
      <c r="W332" s="13">
        <f t="shared" si="138"/>
        <v>17489.970000000008</v>
      </c>
      <c r="X332" s="13">
        <f t="shared" si="139"/>
        <v>-339.9999999999892</v>
      </c>
      <c r="Y332" s="43">
        <f t="shared" si="143"/>
        <v>0.3487531405782654</v>
      </c>
      <c r="Z332" s="49"/>
      <c r="AA332" s="24"/>
    </row>
    <row r="333" spans="1:27" hidden="1"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67.11</v>
      </c>
      <c r="V333" s="13">
        <f>IF(ISNA(VLOOKUP(LOWER(F333)&amp;H333,Prices!A:C,2,0)),0,VLOOKUP(LOWER(F333)&amp;H333,Prices!A:C,2,0))</f>
        <v>68.489999999999995</v>
      </c>
      <c r="W333" s="13">
        <f t="shared" si="138"/>
        <v>52955.045999999995</v>
      </c>
      <c r="X333" s="13">
        <f t="shared" si="139"/>
        <v>2069.9999999999932</v>
      </c>
      <c r="Y333" s="43">
        <f t="shared" si="143"/>
        <v>1.0639952983725134</v>
      </c>
      <c r="Z333" s="49"/>
      <c r="AA333" s="24"/>
    </row>
    <row r="334" spans="1:27" hidden="1"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67.11</v>
      </c>
      <c r="V334" s="13">
        <f>IF(ISNA(VLOOKUP(LOWER(F334)&amp;H334,Prices!A:C,2,0)),0,VLOOKUP(LOWER(F334)&amp;H334,Prices!A:C,2,0))</f>
        <v>68.489999999999995</v>
      </c>
      <c r="W334" s="13">
        <f t="shared" si="138"/>
        <v>52958.046600000001</v>
      </c>
      <c r="X334" s="13">
        <f t="shared" si="139"/>
        <v>2069.9999999999932</v>
      </c>
      <c r="Y334" s="43">
        <f t="shared" si="143"/>
        <v>1.0641197299415277</v>
      </c>
      <c r="Z334" s="49"/>
      <c r="AA334" s="24"/>
    </row>
    <row r="335" spans="1:27" hidden="1"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8.2899999999999991</v>
      </c>
      <c r="V335" s="13">
        <f>IF(ISNA(VLOOKUP(LOWER(F335)&amp;H335,Prices!A:C,2,0)),0,VLOOKUP(LOWER(F335)&amp;H335,Prices!A:C,2,0))</f>
        <v>8.34</v>
      </c>
      <c r="W335" s="13">
        <f t="shared" si="138"/>
        <v>6563.1887999999999</v>
      </c>
      <c r="X335" s="13">
        <f t="shared" si="139"/>
        <v>225.00000000000318</v>
      </c>
      <c r="Y335" s="43">
        <f t="shared" si="143"/>
        <v>0.21198930232558139</v>
      </c>
      <c r="Z335" s="49"/>
      <c r="AA335" s="24"/>
    </row>
    <row r="336" spans="1:27" hidden="1"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8.2899999999999991</v>
      </c>
      <c r="V336" s="13">
        <f>IF(ISNA(VLOOKUP(LOWER(F336)&amp;H336,Prices!A:C,2,0)),0,VLOOKUP(LOWER(F336)&amp;H336,Prices!A:C,2,0))</f>
        <v>8.34</v>
      </c>
      <c r="W336" s="13">
        <f t="shared" si="138"/>
        <v>6293.1294000000025</v>
      </c>
      <c r="X336" s="13">
        <f t="shared" si="139"/>
        <v>225.00000000000318</v>
      </c>
      <c r="Y336" s="43">
        <f t="shared" si="143"/>
        <v>0.20150910662824215</v>
      </c>
      <c r="Z336" s="49"/>
      <c r="AA336" s="24"/>
    </row>
    <row r="337" spans="1:27" hidden="1"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67.989999999999995</v>
      </c>
      <c r="V337" s="13">
        <f>IF(ISNA(VLOOKUP(LOWER(F337)&amp;H337,Prices!A:C,2,0)),0,VLOOKUP(LOWER(F337)&amp;H337,Prices!A:C,2,0))</f>
        <v>67.650000000000006</v>
      </c>
      <c r="W337" s="13">
        <f t="shared" si="138"/>
        <v>10487.980800000008</v>
      </c>
      <c r="X337" s="13">
        <f t="shared" si="139"/>
        <v>-203.99999999999352</v>
      </c>
      <c r="Y337" s="43">
        <f t="shared" si="143"/>
        <v>0.34848421052631612</v>
      </c>
      <c r="Z337" s="49"/>
      <c r="AA337" s="24"/>
    </row>
    <row r="338" spans="1:27" hidden="1"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66.33</v>
      </c>
      <c r="V338" s="13">
        <f>IF(ISNA(VLOOKUP(LOWER(F338)&amp;H338,Prices!A:C,2,0)),0,VLOOKUP(LOWER(F338)&amp;H338,Prices!A:C,2,0))</f>
        <v>69.89</v>
      </c>
      <c r="W338" s="13">
        <f t="shared" si="138"/>
        <v>66063.785999999993</v>
      </c>
      <c r="X338" s="13">
        <f t="shared" si="139"/>
        <v>7120.0000000000045</v>
      </c>
      <c r="Y338" s="43">
        <f t="shared" si="143"/>
        <v>0.89638786974219797</v>
      </c>
      <c r="Z338" s="49"/>
      <c r="AA338" s="24"/>
    </row>
    <row r="339" spans="1:27" hidden="1"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650.07000000000005</v>
      </c>
      <c r="V339" s="13">
        <f>IF(ISNA(VLOOKUP(LOWER(F339)&amp;H339,Prices!A:C,2,0)),0,VLOOKUP(LOWER(F339)&amp;H339,Prices!A:C,2,0))</f>
        <v>677.95</v>
      </c>
      <c r="W339" s="13">
        <f t="shared" si="138"/>
        <v>69795.528399999996</v>
      </c>
      <c r="X339" s="13">
        <f t="shared" si="139"/>
        <v>5575.9999999999991</v>
      </c>
      <c r="Y339" s="43">
        <f t="shared" si="143"/>
        <v>1.0610448221343873</v>
      </c>
      <c r="Z339" s="49"/>
      <c r="AA339" s="24"/>
    </row>
    <row r="340" spans="1:27" hidden="1"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66.33</v>
      </c>
      <c r="V340" s="13">
        <f>IF(ISNA(VLOOKUP(LOWER(F340)&amp;H340,Prices!A:C,2,0)),0,VLOOKUP(LOWER(F340)&amp;H340,Prices!A:C,2,0))</f>
        <v>69.89</v>
      </c>
      <c r="W340" s="13">
        <f t="shared" si="138"/>
        <v>66143.803599999999</v>
      </c>
      <c r="X340" s="13">
        <f t="shared" si="139"/>
        <v>7120.0000000000045</v>
      </c>
      <c r="Y340" s="43">
        <f t="shared" si="143"/>
        <v>0.89844883998913339</v>
      </c>
      <c r="Z340" s="49"/>
      <c r="AA340" s="24"/>
    </row>
    <row r="341" spans="1:27" hidden="1"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6.82</v>
      </c>
      <c r="V341" s="13">
        <f>IF(ISNA(VLOOKUP(LOWER(F341)&amp;H341,Prices!A:C,2,0)),0,VLOOKUP(LOWER(F341)&amp;H341,Prices!A:C,2,0))</f>
        <v>6.77</v>
      </c>
      <c r="W341" s="13">
        <f t="shared" si="138"/>
        <v>-15409.85</v>
      </c>
      <c r="X341" s="13">
        <f t="shared" si="139"/>
        <v>-250.00000000000355</v>
      </c>
      <c r="Y341" s="43">
        <f t="shared" si="143"/>
        <v>-0.31289035532994924</v>
      </c>
      <c r="Z341" s="49"/>
      <c r="AA341" s="24"/>
    </row>
    <row r="342" spans="1:27" hidden="1"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67.989999999999995</v>
      </c>
      <c r="V342" s="13">
        <f>IF(ISNA(VLOOKUP(LOWER(F342)&amp;H342,Prices!A:C,2,0)),0,VLOOKUP(LOWER(F342)&amp;H342,Prices!A:C,2,0))</f>
        <v>67.650000000000006</v>
      </c>
      <c r="W342" s="13">
        <f t="shared" si="138"/>
        <v>17449.962000000007</v>
      </c>
      <c r="X342" s="13">
        <f t="shared" si="139"/>
        <v>-339.9999999999892</v>
      </c>
      <c r="Y342" s="43">
        <f t="shared" si="143"/>
        <v>0.34767806335923507</v>
      </c>
      <c r="Z342" s="49"/>
      <c r="AA342" s="24"/>
    </row>
    <row r="343" spans="1:27" hidden="1"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17.05</v>
      </c>
      <c r="V343" s="13">
        <f>IF(ISNA(VLOOKUP(LOWER(F343)&amp;H343,Prices!A:C,2,0)),0,VLOOKUP(LOWER(F343)&amp;H343,Prices!A:C,2,0))</f>
        <v>16.95</v>
      </c>
      <c r="W343" s="13">
        <f t="shared" si="138"/>
        <v>198.34919999999556</v>
      </c>
      <c r="X343" s="13">
        <f t="shared" si="139"/>
        <v>200.00000000000284</v>
      </c>
      <c r="Y343" s="43">
        <f t="shared" si="143"/>
        <v>5.8098769771527696E-3</v>
      </c>
      <c r="Z343" s="49"/>
      <c r="AA343" s="24"/>
    </row>
    <row r="344" spans="1:27" hidden="1"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67.989999999999995</v>
      </c>
      <c r="V344" s="13">
        <f>IF(ISNA(VLOOKUP(LOWER(F344)&amp;H344,Prices!A:C,2,0)),0,VLOOKUP(LOWER(F344)&amp;H344,Prices!A:C,2,0))</f>
        <v>67.650000000000006</v>
      </c>
      <c r="W344" s="13">
        <f t="shared" si="138"/>
        <v>-24416.455600000008</v>
      </c>
      <c r="X344" s="13">
        <f t="shared" si="139"/>
        <v>475.99999999998488</v>
      </c>
      <c r="Y344" s="43">
        <f t="shared" si="143"/>
        <v>-0.34693306999346396</v>
      </c>
      <c r="Z344" s="49"/>
      <c r="AA344" s="24"/>
    </row>
    <row r="345" spans="1:27" hidden="1"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650.07000000000005</v>
      </c>
      <c r="V345" s="13">
        <f>IF(ISNA(VLOOKUP(LOWER(F345)&amp;H345,Prices!A:C,2,0)),0,VLOOKUP(LOWER(F345)&amp;H345,Prices!A:C,2,0))</f>
        <v>677.95</v>
      </c>
      <c r="W345" s="13">
        <f t="shared" si="138"/>
        <v>-172638.17880000002</v>
      </c>
      <c r="X345" s="13">
        <f t="shared" si="139"/>
        <v>-13939.999999999998</v>
      </c>
      <c r="Y345" s="43">
        <f t="shared" si="143"/>
        <v>-1.0366169016452504</v>
      </c>
      <c r="Z345" s="49"/>
      <c r="AA345" s="24"/>
    </row>
    <row r="346" spans="1:27" hidden="1"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66.33</v>
      </c>
      <c r="V346" s="13">
        <f>IF(ISNA(VLOOKUP(LOWER(F346)&amp;H346,Prices!A:C,2,0)),0,VLOOKUP(LOWER(F346)&amp;H346,Prices!A:C,2,0))</f>
        <v>69.89</v>
      </c>
      <c r="W346" s="13">
        <f>IF(I346="B",(V346+T346)*K346,(V346+T346)*K346)</f>
        <v>-66469.547999999981</v>
      </c>
      <c r="X346" s="13">
        <f>K346*(V346-U346)</f>
        <v>-7120.0000000000045</v>
      </c>
      <c r="Y346" s="43">
        <f t="shared" si="143"/>
        <v>-0.90557967302452291</v>
      </c>
      <c r="Z346" s="49"/>
      <c r="AA346" s="24"/>
    </row>
    <row r="347" spans="1:27" hidden="1"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66.33</v>
      </c>
      <c r="V347" s="13">
        <f>IF(ISNA(VLOOKUP(LOWER(F347)&amp;H347,Prices!A:C,2,0)),0,VLOOKUP(LOWER(F347)&amp;H347,Prices!A:C,2,0))</f>
        <v>69.89</v>
      </c>
      <c r="W347" s="13">
        <f t="shared" ref="W347:W360" si="149">IF(I347="B",(V347+T347)*K347,(V347+T347)*K347)</f>
        <v>-159862.50128</v>
      </c>
      <c r="X347" s="13">
        <f t="shared" ref="X347:X360" si="150">K347*(V347-U347)</f>
        <v>-17088.000000000011</v>
      </c>
      <c r="Y347" s="43">
        <f t="shared" si="143"/>
        <v>-0.90921888524888528</v>
      </c>
      <c r="Z347" s="49"/>
      <c r="AA347" s="24"/>
    </row>
    <row r="348" spans="1:27" hidden="1"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67.989999999999995</v>
      </c>
      <c r="V348" s="13">
        <f>IF(ISNA(VLOOKUP(LOWER(F348)&amp;H348,Prices!A:C,2,0)),0,VLOOKUP(LOWER(F348)&amp;H348,Prices!A:C,2,0))</f>
        <v>67.650000000000006</v>
      </c>
      <c r="W348" s="13">
        <f t="shared" si="149"/>
        <v>-44773.524799999999</v>
      </c>
      <c r="X348" s="13">
        <f t="shared" si="150"/>
        <v>883.99999999997192</v>
      </c>
      <c r="Y348" s="43">
        <f t="shared" si="143"/>
        <v>-0.34106925057513293</v>
      </c>
      <c r="Z348" s="49"/>
      <c r="AA348" s="24"/>
    </row>
    <row r="349" spans="1:27" hidden="1"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35.979999999999997</v>
      </c>
      <c r="V349" s="13">
        <f>IF(ISNA(VLOOKUP(LOWER(F349)&amp;H349,Prices!A:C,2,0)),0,VLOOKUP(LOWER(F349)&amp;H349,Prices!A:C,2,0))</f>
        <v>35.89</v>
      </c>
      <c r="W349" s="13">
        <f t="shared" si="149"/>
        <v>25834.096399999991</v>
      </c>
      <c r="X349" s="13">
        <f t="shared" si="150"/>
        <v>197.99999999999187</v>
      </c>
      <c r="Y349" s="43">
        <f t="shared" si="143"/>
        <v>0.24623130825978376</v>
      </c>
      <c r="Z349" s="49"/>
      <c r="AA349" s="24"/>
    </row>
    <row r="350" spans="1:27" hidden="1"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35.979999999999997</v>
      </c>
      <c r="V350" s="13">
        <f>IF(ISNA(VLOOKUP(LOWER(F350)&amp;H350,Prices!A:C,2,0)),0,VLOOKUP(LOWER(F350)&amp;H350,Prices!A:C,2,0))</f>
        <v>35.89</v>
      </c>
      <c r="W350" s="13">
        <f t="shared" si="149"/>
        <v>13147.771999999999</v>
      </c>
      <c r="X350" s="13">
        <f t="shared" si="150"/>
        <v>98.999999999995936</v>
      </c>
      <c r="Y350" s="43">
        <f t="shared" si="143"/>
        <v>0.24953068893528182</v>
      </c>
      <c r="Z350" s="49"/>
      <c r="AA350" s="24"/>
    </row>
    <row r="351" spans="1:27" hidden="1"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8.2899999999999991</v>
      </c>
      <c r="V351" s="13">
        <f>IF(ISNA(VLOOKUP(LOWER(F351)&amp;H351,Prices!A:C,2,0)),0,VLOOKUP(LOWER(F351)&amp;H351,Prices!A:C,2,0))</f>
        <v>8.34</v>
      </c>
      <c r="W351" s="13">
        <f t="shared" si="149"/>
        <v>-11148.067799999993</v>
      </c>
      <c r="X351" s="13">
        <f t="shared" si="150"/>
        <v>-450.00000000000637</v>
      </c>
      <c r="Y351" s="43">
        <f t="shared" si="143"/>
        <v>-0.17421578059071718</v>
      </c>
      <c r="Z351" s="49"/>
      <c r="AA351" s="24"/>
    </row>
    <row r="352" spans="1:27" hidden="1"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67.11</v>
      </c>
      <c r="V352" s="13">
        <f>IF(ISNA(VLOOKUP(LOWER(F352)&amp;H352,Prices!A:C,2,0)),0,VLOOKUP(LOWER(F352)&amp;H352,Prices!A:C,2,0))</f>
        <v>68.489999999999995</v>
      </c>
      <c r="W352" s="13">
        <f t="shared" si="149"/>
        <v>-76471.159200000198</v>
      </c>
      <c r="X352" s="13">
        <f t="shared" si="150"/>
        <v>-3035.99999999999</v>
      </c>
      <c r="Y352" s="43">
        <f t="shared" si="143"/>
        <v>-1.0292769355012439</v>
      </c>
      <c r="Z352" s="49"/>
      <c r="AA352" s="24"/>
    </row>
    <row r="353" spans="1:27" hidden="1"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6.82</v>
      </c>
      <c r="V353" s="13">
        <f>IF(ISNA(VLOOKUP(LOWER(F353)&amp;H353,Prices!A:C,2,0)),0,VLOOKUP(LOWER(F353)&amp;H353,Prices!A:C,2,0))</f>
        <v>6.77</v>
      </c>
      <c r="W353" s="13">
        <f t="shared" si="149"/>
        <v>27124.576799999999</v>
      </c>
      <c r="X353" s="13">
        <f t="shared" si="150"/>
        <v>460.00000000000654</v>
      </c>
      <c r="Y353" s="43">
        <f t="shared" si="143"/>
        <v>0.30301372715492203</v>
      </c>
      <c r="Z353" s="49"/>
      <c r="AA353" s="24"/>
    </row>
    <row r="354" spans="1:27" hidden="1"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8.2899999999999991</v>
      </c>
      <c r="V354" s="13">
        <f>IF(ISNA(VLOOKUP(LOWER(F354)&amp;H354,Prices!A:C,2,0)),0,VLOOKUP(LOWER(F354)&amp;H354,Prices!A:C,2,0))</f>
        <v>8.34</v>
      </c>
      <c r="W354" s="13">
        <f t="shared" si="149"/>
        <v>-5618.9789999999975</v>
      </c>
      <c r="X354" s="13">
        <f t="shared" si="150"/>
        <v>-225.00000000000318</v>
      </c>
      <c r="Y354" s="43">
        <f t="shared" si="143"/>
        <v>-0.17586788732394359</v>
      </c>
      <c r="Z354" s="49"/>
      <c r="AA354" s="24"/>
    </row>
    <row r="355" spans="1:27" hidden="1"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6.82</v>
      </c>
      <c r="V355" s="13">
        <f>IF(ISNA(VLOOKUP(LOWER(F355)&amp;H355,Prices!A:C,2,0)),0,VLOOKUP(LOWER(F355)&amp;H355,Prices!A:C,2,0))</f>
        <v>6.77</v>
      </c>
      <c r="W355" s="13">
        <f t="shared" si="149"/>
        <v>13608.2392</v>
      </c>
      <c r="X355" s="13">
        <f t="shared" si="150"/>
        <v>230.00000000000327</v>
      </c>
      <c r="Y355" s="43">
        <f t="shared" si="143"/>
        <v>0.30372822069458083</v>
      </c>
      <c r="Z355" s="49"/>
      <c r="AA355" s="24"/>
    </row>
    <row r="356" spans="1:27" hidden="1"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35.979999999999997</v>
      </c>
      <c r="V356" s="13">
        <f>IF(ISNA(VLOOKUP(LOWER(F356)&amp;H356,Prices!A:C,2,0)),0,VLOOKUP(LOWER(F356)&amp;H356,Prices!A:C,2,0))</f>
        <v>35.89</v>
      </c>
      <c r="W356" s="13">
        <f t="shared" si="149"/>
        <v>7093.6076000000039</v>
      </c>
      <c r="X356" s="13">
        <f t="shared" si="150"/>
        <v>53.999999999997783</v>
      </c>
      <c r="Y356" s="43">
        <f t="shared" si="143"/>
        <v>0.24749171725629765</v>
      </c>
      <c r="Z356" s="49"/>
      <c r="AA356" s="24"/>
    </row>
    <row r="357" spans="1:27" hidden="1"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67.11</v>
      </c>
      <c r="V357" s="13">
        <f>IF(ISNA(VLOOKUP(LOWER(F357)&amp;H357,Prices!A:C,2,0)),0,VLOOKUP(LOWER(F357)&amp;H357,Prices!A:C,2,0))</f>
        <v>68.489999999999995</v>
      </c>
      <c r="W357" s="13">
        <f t="shared" si="149"/>
        <v>-79627.588600000017</v>
      </c>
      <c r="X357" s="13">
        <f t="shared" si="150"/>
        <v>-3173.9999999999895</v>
      </c>
      <c r="Y357" s="43">
        <f t="shared" si="143"/>
        <v>-1.0209581449617278</v>
      </c>
      <c r="Z357" s="49"/>
      <c r="AA357" s="24"/>
    </row>
    <row r="358" spans="1:27" hidden="1"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8.2899999999999991</v>
      </c>
      <c r="V358" s="13">
        <f>IF(ISNA(VLOOKUP(LOWER(F358)&amp;H358,Prices!A:C,2,0)),0,VLOOKUP(LOWER(F358)&amp;H358,Prices!A:C,2,0))</f>
        <v>8.34</v>
      </c>
      <c r="W358" s="13">
        <f t="shared" si="149"/>
        <v>-5888.6495999999997</v>
      </c>
      <c r="X358" s="13">
        <f t="shared" si="150"/>
        <v>-225.00000000000318</v>
      </c>
      <c r="Y358" s="43">
        <f t="shared" si="143"/>
        <v>-0.18587909090909091</v>
      </c>
      <c r="Z358" s="49"/>
      <c r="AA358" s="24"/>
    </row>
    <row r="359" spans="1:27" hidden="1"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35.979999999999997</v>
      </c>
      <c r="V359" s="13">
        <f>IF(ISNA(VLOOKUP(LOWER(F359)&amp;H359,Prices!A:C,2,0)),0,VLOOKUP(LOWER(F359)&amp;H359,Prices!A:C,2,0))</f>
        <v>35.89</v>
      </c>
      <c r="W359" s="13">
        <f t="shared" si="149"/>
        <v>5536.4900000000007</v>
      </c>
      <c r="X359" s="13">
        <f t="shared" si="150"/>
        <v>44.999999999998153</v>
      </c>
      <c r="Y359" s="43">
        <f t="shared" si="143"/>
        <v>0.23549510846448324</v>
      </c>
      <c r="Z359" s="49"/>
      <c r="AA359" s="24"/>
    </row>
    <row r="360" spans="1:27" hidden="1"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6.82</v>
      </c>
      <c r="V360" s="13">
        <f>IF(ISNA(VLOOKUP(LOWER(F360)&amp;H360,Prices!A:C,2,0)),0,VLOOKUP(LOWER(F360)&amp;H360,Prices!A:C,2,0))</f>
        <v>6.77</v>
      </c>
      <c r="W360" s="13">
        <f t="shared" si="149"/>
        <v>13904.064400000003</v>
      </c>
      <c r="X360" s="13">
        <f t="shared" si="150"/>
        <v>235.00000000000335</v>
      </c>
      <c r="Y360" s="43">
        <f t="shared" si="143"/>
        <v>0.30372808772772952</v>
      </c>
      <c r="Z360" s="49"/>
      <c r="AA360" s="24"/>
    </row>
    <row r="361" spans="1:27" hidden="1"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6.18</v>
      </c>
      <c r="V361" s="13">
        <f>IF(ISNA(VLOOKUP(LOWER(F361)&amp;H361,Prices!A:C,2,0)),0,VLOOKUP(LOWER(F361)&amp;H361,Prices!A:C,2,0))</f>
        <v>6.12</v>
      </c>
      <c r="W361" s="13">
        <f t="shared" ref="W361:W381" si="155">IF(I361="B",(V361+T361)*K361,(V361+T361)*K361)</f>
        <v>-5540.6413999999995</v>
      </c>
      <c r="X361" s="13">
        <f t="shared" ref="X361:X381" si="156">K361*(V361-U361)</f>
        <v>-419.99999999999727</v>
      </c>
      <c r="Y361" s="43">
        <f t="shared" si="143"/>
        <v>-0.11454706222865411</v>
      </c>
      <c r="Z361" s="49"/>
      <c r="AA361" s="24"/>
    </row>
    <row r="362" spans="1:27" hidden="1"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4.0199999999999996</v>
      </c>
      <c r="V362" s="13">
        <f>IF(ISNA(VLOOKUP(LOWER(F362)&amp;H362,Prices!A:C,2,0)),0,VLOOKUP(LOWER(F362)&amp;H362,Prices!A:C,2,0))</f>
        <v>4</v>
      </c>
      <c r="W362" s="13">
        <f t="shared" si="155"/>
        <v>-1209.0639999999996</v>
      </c>
      <c r="X362" s="13">
        <f t="shared" si="156"/>
        <v>-199.99999999999574</v>
      </c>
      <c r="Y362" s="43">
        <f t="shared" si="143"/>
        <v>-2.9346213592233002E-2</v>
      </c>
      <c r="Z362" s="49"/>
      <c r="AA362" s="24"/>
    </row>
    <row r="363" spans="1:27" hidden="1"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8.2899999999999991</v>
      </c>
      <c r="V363" s="13">
        <f>IF(ISNA(VLOOKUP(LOWER(F363)&amp;H363,Prices!A:C,2,0)),0,VLOOKUP(LOWER(F363)&amp;H363,Prices!A:C,2,0))</f>
        <v>8.34</v>
      </c>
      <c r="W363" s="13">
        <f t="shared" si="155"/>
        <v>9531.09</v>
      </c>
      <c r="X363" s="13">
        <f t="shared" si="156"/>
        <v>300.00000000000426</v>
      </c>
      <c r="Y363" s="43">
        <f t="shared" si="143"/>
        <v>0.23533555555555555</v>
      </c>
      <c r="Z363" s="49"/>
      <c r="AA363" s="24"/>
    </row>
    <row r="364" spans="1:27" hidden="1"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650.07000000000005</v>
      </c>
      <c r="V364" s="13">
        <f>IF(ISNA(VLOOKUP(LOWER(F364)&amp;H364,Prices!A:C,2,0)),0,VLOOKUP(LOWER(F364)&amp;H364,Prices!A:C,2,0))</f>
        <v>677.95</v>
      </c>
      <c r="W364" s="13">
        <f t="shared" si="155"/>
        <v>69551.474720000013</v>
      </c>
      <c r="X364" s="13">
        <f t="shared" si="156"/>
        <v>5575.9999999999991</v>
      </c>
      <c r="Y364" s="43">
        <f t="shared" si="143"/>
        <v>1.0534271586089909</v>
      </c>
      <c r="Z364" s="49"/>
      <c r="AA364" s="24"/>
    </row>
    <row r="365" spans="1:27" hidden="1"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8.2899999999999991</v>
      </c>
      <c r="V365" s="13">
        <f>IF(ISNA(VLOOKUP(LOWER(F365)&amp;H365,Prices!A:C,2,0)),0,VLOOKUP(LOWER(F365)&amp;H365,Prices!A:C,2,0))</f>
        <v>8.34</v>
      </c>
      <c r="W365" s="13">
        <f t="shared" si="155"/>
        <v>9471.0768000000025</v>
      </c>
      <c r="X365" s="13">
        <f t="shared" si="156"/>
        <v>300.00000000000426</v>
      </c>
      <c r="Y365" s="43">
        <f t="shared" si="143"/>
        <v>0.23350781065088763</v>
      </c>
      <c r="Z365" s="49"/>
      <c r="AA365" s="24"/>
    </row>
    <row r="366" spans="1:27" hidden="1"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4.0199999999999996</v>
      </c>
      <c r="V366" s="13">
        <f>IF(ISNA(VLOOKUP(LOWER(F366)&amp;H366,Prices!A:C,2,0)),0,VLOOKUP(LOWER(F366)&amp;H366,Prices!A:C,2,0))</f>
        <v>4</v>
      </c>
      <c r="W366" s="13">
        <f t="shared" si="155"/>
        <v>-1209.0639999999996</v>
      </c>
      <c r="X366" s="13">
        <f t="shared" si="156"/>
        <v>-199.99999999999574</v>
      </c>
      <c r="Y366" s="43">
        <f t="shared" si="143"/>
        <v>-2.9346213592233002E-2</v>
      </c>
      <c r="Z366" s="49"/>
      <c r="AA366" s="24"/>
    </row>
    <row r="367" spans="1:27" hidden="1"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6.18</v>
      </c>
      <c r="V367" s="13">
        <f>IF(ISNA(VLOOKUP(LOWER(F367)&amp;H367,Prices!A:C,2,0)),0,VLOOKUP(LOWER(F367)&amp;H367,Prices!A:C,2,0))</f>
        <v>6.12</v>
      </c>
      <c r="W367" s="13">
        <f t="shared" si="155"/>
        <v>-5750.6875999999938</v>
      </c>
      <c r="X367" s="13">
        <f t="shared" si="156"/>
        <v>-419.99999999999727</v>
      </c>
      <c r="Y367" s="43">
        <f t="shared" si="143"/>
        <v>-0.11837561959654166</v>
      </c>
      <c r="Z367" s="49"/>
      <c r="AA367" s="24"/>
    </row>
    <row r="368" spans="1:27" hidden="1"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8.2899999999999991</v>
      </c>
      <c r="V368" s="13">
        <f>IF(ISNA(VLOOKUP(LOWER(F368)&amp;H368,Prices!A:C,2,0)),0,VLOOKUP(LOWER(F368)&amp;H368,Prices!A:C,2,0))</f>
        <v>8.34</v>
      </c>
      <c r="W368" s="13">
        <f t="shared" si="155"/>
        <v>9411.063599999994</v>
      </c>
      <c r="X368" s="13">
        <f t="shared" si="156"/>
        <v>300.00000000000426</v>
      </c>
      <c r="Y368" s="43">
        <f t="shared" si="143"/>
        <v>0.2316854652880353</v>
      </c>
      <c r="Z368" s="49"/>
      <c r="AA368" s="24"/>
    </row>
    <row r="369" spans="1:27" hidden="1"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6.18</v>
      </c>
      <c r="V369" s="13">
        <f>IF(ISNA(VLOOKUP(LOWER(F369)&amp;H369,Prices!A:C,2,0)),0,VLOOKUP(LOWER(F369)&amp;H369,Prices!A:C,2,0))</f>
        <v>6.12</v>
      </c>
      <c r="W369" s="13">
        <f t="shared" si="155"/>
        <v>-5820.7029999999986</v>
      </c>
      <c r="X369" s="13">
        <f t="shared" si="156"/>
        <v>-419.99999999999727</v>
      </c>
      <c r="Y369" s="43">
        <f t="shared" si="143"/>
        <v>-0.11964446043165465</v>
      </c>
      <c r="Z369" s="49"/>
      <c r="AA369" s="24"/>
    </row>
    <row r="370" spans="1:27" hidden="1"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8.2899999999999991</v>
      </c>
      <c r="V370" s="13">
        <f>IF(ISNA(VLOOKUP(LOWER(F370)&amp;H370,Prices!A:C,2,0)),0,VLOOKUP(LOWER(F370)&amp;H370,Prices!A:C,2,0))</f>
        <v>8.34</v>
      </c>
      <c r="W370" s="13">
        <f t="shared" si="155"/>
        <v>9171.0108000000055</v>
      </c>
      <c r="X370" s="13">
        <f t="shared" si="156"/>
        <v>300.00000000000426</v>
      </c>
      <c r="Y370" s="43">
        <f t="shared" si="143"/>
        <v>0.22444960352422921</v>
      </c>
      <c r="Z370" s="49"/>
      <c r="AA370" s="24"/>
    </row>
    <row r="371" spans="1:27" hidden="1"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8.2899999999999991</v>
      </c>
      <c r="V371" s="13">
        <f>IF(ISNA(VLOOKUP(LOWER(F371)&amp;H371,Prices!A:C,2,0)),0,VLOOKUP(LOWER(F371)&amp;H371,Prices!A:C,2,0))</f>
        <v>8.34</v>
      </c>
      <c r="W371" s="13">
        <f t="shared" si="155"/>
        <v>9110.9976000000006</v>
      </c>
      <c r="X371" s="13">
        <f t="shared" si="156"/>
        <v>300.00000000000426</v>
      </c>
      <c r="Y371" s="43">
        <f t="shared" si="143"/>
        <v>0.22265390029325516</v>
      </c>
      <c r="Z371" s="49"/>
      <c r="AA371" s="24"/>
    </row>
    <row r="372" spans="1:27" hidden="1"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6.18</v>
      </c>
      <c r="V372" s="13">
        <f>IF(ISNA(VLOOKUP(LOWER(F372)&amp;H372,Prices!A:C,2,0)),0,VLOOKUP(LOWER(F372)&amp;H372,Prices!A:C,2,0))</f>
        <v>6.12</v>
      </c>
      <c r="W372" s="13">
        <f t="shared" si="155"/>
        <v>-4989.1739999999982</v>
      </c>
      <c r="X372" s="13">
        <f t="shared" si="156"/>
        <v>-359.99999999999767</v>
      </c>
      <c r="Y372" s="43">
        <f t="shared" si="143"/>
        <v>-0.11964446043165464</v>
      </c>
      <c r="Z372" s="49"/>
      <c r="AA372" s="24"/>
    </row>
    <row r="373" spans="1:27" hidden="1"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4.0199999999999996</v>
      </c>
      <c r="V373" s="13">
        <f>IF(ISNA(VLOOKUP(LOWER(F373)&amp;H373,Prices!A:C,2,0)),0,VLOOKUP(LOWER(F373)&amp;H373,Prices!A:C,2,0))</f>
        <v>4</v>
      </c>
      <c r="W373" s="13">
        <f t="shared" si="155"/>
        <v>-3927.2579999999912</v>
      </c>
      <c r="X373" s="13">
        <f t="shared" si="156"/>
        <v>-599.99999999998727</v>
      </c>
      <c r="Y373" s="43">
        <f t="shared" si="143"/>
        <v>-3.1696997578692425E-2</v>
      </c>
      <c r="Z373" s="49"/>
      <c r="AA373" s="24"/>
    </row>
    <row r="374" spans="1:27" hidden="1"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8.2899999999999991</v>
      </c>
      <c r="V374" s="13">
        <f>IF(ISNA(VLOOKUP(LOWER(F374)&amp;H374,Prices!A:C,2,0)),0,VLOOKUP(LOWER(F374)&amp;H374,Prices!A:C,2,0))</f>
        <v>8.34</v>
      </c>
      <c r="W374" s="13">
        <f t="shared" si="155"/>
        <v>9411.063599999994</v>
      </c>
      <c r="X374" s="13">
        <f t="shared" si="156"/>
        <v>300.00000000000426</v>
      </c>
      <c r="Y374" s="43">
        <f t="shared" si="143"/>
        <v>0.2316854652880353</v>
      </c>
      <c r="Z374" s="49"/>
      <c r="AA374" s="24"/>
    </row>
    <row r="375" spans="1:27" hidden="1"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18.36</v>
      </c>
      <c r="V375" s="13">
        <f>IF(ISNA(VLOOKUP(LOWER(F375)&amp;H375,Prices!A:C,2,0)),0,VLOOKUP(LOWER(F375)&amp;H375,Prices!A:C,2,0))</f>
        <v>18.21</v>
      </c>
      <c r="W375" s="13">
        <f t="shared" si="155"/>
        <v>-14630.207999999997</v>
      </c>
      <c r="X375" s="13">
        <f t="shared" si="156"/>
        <v>-299.99999999999716</v>
      </c>
      <c r="Y375" s="43">
        <f t="shared" si="143"/>
        <v>-0.28664200626959241</v>
      </c>
      <c r="Z375" s="49"/>
      <c r="AA375" s="24"/>
    </row>
    <row r="376" spans="1:27" hidden="1"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23.76</v>
      </c>
      <c r="V376" s="13">
        <f>IF(ISNA(VLOOKUP(LOWER(F376)&amp;H376,Prices!A:C,2,0)),0,VLOOKUP(LOWER(F376)&amp;H376,Prices!A:C,2,0))</f>
        <v>23.86</v>
      </c>
      <c r="W376" s="13">
        <f t="shared" si="155"/>
        <v>4351.3280000000022</v>
      </c>
      <c r="X376" s="13">
        <f t="shared" si="156"/>
        <v>199.99999999999574</v>
      </c>
      <c r="Y376" s="43">
        <f t="shared" si="143"/>
        <v>0.1003535055350554</v>
      </c>
      <c r="Z376" s="49"/>
      <c r="AA376" s="24"/>
    </row>
    <row r="377" spans="1:27" hidden="1"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10.28</v>
      </c>
      <c r="V377" s="13">
        <f>IF(ISNA(VLOOKUP(LOWER(F377)&amp;H377,Prices!A:C,2,0)),0,VLOOKUP(LOWER(F377)&amp;H377,Prices!A:C,2,0))</f>
        <v>10.4</v>
      </c>
      <c r="W377" s="13">
        <f t="shared" si="155"/>
        <v>-5609.44</v>
      </c>
      <c r="X377" s="13">
        <f t="shared" si="156"/>
        <v>480.00000000000398</v>
      </c>
      <c r="Y377" s="43">
        <f t="shared" si="143"/>
        <v>-0.11884406779661016</v>
      </c>
      <c r="Z377" s="49"/>
      <c r="AA377" s="24"/>
    </row>
    <row r="378" spans="1:27" hidden="1"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23.76</v>
      </c>
      <c r="V378" s="13">
        <f>IF(ISNA(VLOOKUP(LOWER(F378)&amp;H378,Prices!A:C,2,0)),0,VLOOKUP(LOWER(F378)&amp;H378,Prices!A:C,2,0))</f>
        <v>23.86</v>
      </c>
      <c r="W378" s="13">
        <f t="shared" si="155"/>
        <v>4191.2960000000012</v>
      </c>
      <c r="X378" s="13">
        <f t="shared" si="156"/>
        <v>199.99999999999574</v>
      </c>
      <c r="Y378" s="43">
        <f t="shared" si="143"/>
        <v>9.6307352941176497E-2</v>
      </c>
      <c r="Z378" s="49"/>
      <c r="AA378" s="24"/>
    </row>
    <row r="379" spans="1:27" hidden="1"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10.28</v>
      </c>
      <c r="V379" s="13">
        <f>IF(ISNA(VLOOKUP(LOWER(F379)&amp;H379,Prices!A:C,2,0)),0,VLOOKUP(LOWER(F379)&amp;H379,Prices!A:C,2,0))</f>
        <v>10.4</v>
      </c>
      <c r="W379" s="13">
        <f t="shared" si="155"/>
        <v>-5649.4479999999921</v>
      </c>
      <c r="X379" s="13">
        <f t="shared" si="156"/>
        <v>480.00000000000398</v>
      </c>
      <c r="Y379" s="43">
        <f t="shared" si="143"/>
        <v>-0.11959034716342067</v>
      </c>
      <c r="Z379" s="49"/>
      <c r="AA379" s="24"/>
    </row>
    <row r="380" spans="1:27" hidden="1"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18.36</v>
      </c>
      <c r="V380" s="13">
        <f>IF(ISNA(VLOOKUP(LOWER(F380)&amp;H380,Prices!A:C,2,0)),0,VLOOKUP(LOWER(F380)&amp;H380,Prices!A:C,2,0))</f>
        <v>18.21</v>
      </c>
      <c r="W380" s="13">
        <f t="shared" si="155"/>
        <v>-15170.315999999999</v>
      </c>
      <c r="X380" s="13">
        <f t="shared" si="156"/>
        <v>-299.99999999999716</v>
      </c>
      <c r="Y380" s="43">
        <f t="shared" si="143"/>
        <v>-0.29411236913532374</v>
      </c>
      <c r="Z380" s="49"/>
      <c r="AA380" s="24"/>
    </row>
    <row r="381" spans="1:27" hidden="1"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650.07000000000005</v>
      </c>
      <c r="V381" s="13">
        <f>IF(ISNA(VLOOKUP(LOWER(F381)&amp;H381,Prices!A:C,2,0)),0,VLOOKUP(LOWER(F381)&amp;H381,Prices!A:C,2,0))</f>
        <v>677.95</v>
      </c>
      <c r="W381" s="13">
        <f t="shared" si="155"/>
        <v>69915.554800000013</v>
      </c>
      <c r="X381" s="13">
        <f t="shared" si="156"/>
        <v>5575.9999999999991</v>
      </c>
      <c r="Y381" s="43">
        <f t="shared" si="143"/>
        <v>1.064811982942431</v>
      </c>
      <c r="Z381" s="49"/>
      <c r="AA381" s="24"/>
    </row>
    <row r="382" spans="1:27" hidden="1"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10.28</v>
      </c>
      <c r="V382" s="13">
        <f>IF(ISNA(VLOOKUP(LOWER(F382)&amp;H382,Prices!A:C,2,0)),0,VLOOKUP(LOWER(F382)&amp;H382,Prices!A:C,2,0))</f>
        <v>10.4</v>
      </c>
      <c r="W382" s="13">
        <f t="shared" ref="W382:W402" si="161">IF(I382="B",(V382+T382)*K382,(V382+T382)*K382)</f>
        <v>5902.9279999999953</v>
      </c>
      <c r="X382" s="13">
        <f t="shared" ref="X382:X402" si="162">K382*(V382-U382)</f>
        <v>-480.00000000000398</v>
      </c>
      <c r="Y382" s="43">
        <f t="shared" si="143"/>
        <v>0.12411539108494524</v>
      </c>
      <c r="Z382" s="49"/>
      <c r="AA382" s="24"/>
    </row>
    <row r="383" spans="1:27" hidden="1"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8.2899999999999991</v>
      </c>
      <c r="V383" s="13">
        <f>IF(ISNA(VLOOKUP(LOWER(F383)&amp;H383,Prices!A:C,2,0)),0,VLOOKUP(LOWER(F383)&amp;H383,Prices!A:C,2,0))</f>
        <v>8.34</v>
      </c>
      <c r="W383" s="13">
        <f t="shared" si="161"/>
        <v>-30745.814400000007</v>
      </c>
      <c r="X383" s="13">
        <f t="shared" si="162"/>
        <v>-900.00000000001273</v>
      </c>
      <c r="Y383" s="43">
        <f t="shared" si="143"/>
        <v>-0.25724409638554224</v>
      </c>
      <c r="Z383" s="49"/>
      <c r="AA383" s="24"/>
    </row>
    <row r="384" spans="1:27" hidden="1"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4.0199999999999996</v>
      </c>
      <c r="V384" s="13">
        <f>IF(ISNA(VLOOKUP(LOWER(F384)&amp;H384,Prices!A:C,2,0)),0,VLOOKUP(LOWER(F384)&amp;H384,Prices!A:C,2,0))</f>
        <v>4</v>
      </c>
      <c r="W384" s="13">
        <f t="shared" si="161"/>
        <v>-371.69499999999414</v>
      </c>
      <c r="X384" s="13">
        <f t="shared" si="162"/>
        <v>499.99999999998931</v>
      </c>
      <c r="Y384" s="43">
        <f t="shared" si="143"/>
        <v>-3.726265664160342E-3</v>
      </c>
      <c r="Z384" s="49"/>
      <c r="AA384" s="24"/>
    </row>
    <row r="385" spans="1:27" hidden="1"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6.18</v>
      </c>
      <c r="V385" s="13">
        <f>IF(ISNA(VLOOKUP(LOWER(F385)&amp;H385,Prices!A:C,2,0)),0,VLOOKUP(LOWER(F385)&amp;H385,Prices!A:C,2,0))</f>
        <v>6.12</v>
      </c>
      <c r="W385" s="13">
        <f t="shared" si="161"/>
        <v>6775.7989000000061</v>
      </c>
      <c r="X385" s="13">
        <f t="shared" si="162"/>
        <v>809.99999999999477</v>
      </c>
      <c r="Y385" s="43">
        <f t="shared" si="143"/>
        <v>7.570302106027603E-2</v>
      </c>
      <c r="Z385" s="49"/>
      <c r="AA385" s="24"/>
    </row>
    <row r="386" spans="1:27" hidden="1"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7.72</v>
      </c>
      <c r="V386" s="13">
        <f>IF(ISNA(VLOOKUP(LOWER(F386)&amp;H386,Prices!A:C,2,0)),0,VLOOKUP(LOWER(F386)&amp;H386,Prices!A:C,2,0))</f>
        <v>8.02</v>
      </c>
      <c r="W386" s="13">
        <f t="shared" si="161"/>
        <v>-9410.8899999999976</v>
      </c>
      <c r="X386" s="13">
        <f t="shared" si="162"/>
        <v>1499.9999999999991</v>
      </c>
      <c r="Y386" s="43">
        <f t="shared" si="143"/>
        <v>-0.19011898989898984</v>
      </c>
      <c r="Z386" s="49"/>
      <c r="AA386" s="24"/>
    </row>
    <row r="387" spans="1:27" hidden="1"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7.72</v>
      </c>
      <c r="V387" s="13">
        <f>IF(ISNA(VLOOKUP(LOWER(F387)&amp;H387,Prices!A:C,2,0)),0,VLOOKUP(LOWER(F387)&amp;H387,Prices!A:C,2,0))</f>
        <v>8.02</v>
      </c>
      <c r="W387" s="13">
        <f t="shared" si="161"/>
        <v>-9610.9340000000029</v>
      </c>
      <c r="X387" s="13">
        <f t="shared" si="162"/>
        <v>1499.9999999999991</v>
      </c>
      <c r="Y387" s="43">
        <f t="shared" si="143"/>
        <v>-0.19337895372233407</v>
      </c>
      <c r="Z387" s="49"/>
      <c r="AA387" s="24"/>
    </row>
    <row r="388" spans="1:27" hidden="1"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18.36</v>
      </c>
      <c r="V388" s="13">
        <f>IF(ISNA(VLOOKUP(LOWER(F388)&amp;H388,Prices!A:C,2,0)),0,VLOOKUP(LOWER(F388)&amp;H388,Prices!A:C,2,0))</f>
        <v>18.21</v>
      </c>
      <c r="W388" s="13">
        <f t="shared" si="161"/>
        <v>32513.423999999999</v>
      </c>
      <c r="X388" s="13">
        <f t="shared" si="162"/>
        <v>599.99999999999432</v>
      </c>
      <c r="Y388" s="43">
        <f t="shared" si="143"/>
        <v>0.30824254835039816</v>
      </c>
      <c r="Z388" s="49"/>
      <c r="AA388" s="24"/>
    </row>
    <row r="389" spans="1:27" hidden="1"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10.28</v>
      </c>
      <c r="V389" s="13">
        <f>IF(ISNA(VLOOKUP(LOWER(F389)&amp;H389,Prices!A:C,2,0)),0,VLOOKUP(LOWER(F389)&amp;H389,Prices!A:C,2,0))</f>
        <v>10.4</v>
      </c>
      <c r="W389" s="13">
        <f t="shared" si="161"/>
        <v>6062.7359999999935</v>
      </c>
      <c r="X389" s="13">
        <f t="shared" si="162"/>
        <v>-480.00000000000398</v>
      </c>
      <c r="Y389" s="43">
        <f t="shared" ref="Y389:Y452" si="166">W389/O389</f>
        <v>0.12704811399832341</v>
      </c>
      <c r="Z389" s="49"/>
      <c r="AA389" s="24"/>
    </row>
    <row r="390" spans="1:27" hidden="1"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23.76</v>
      </c>
      <c r="V390" s="13">
        <f>IF(ISNA(VLOOKUP(LOWER(F390)&amp;H390,Prices!A:C,2,0)),0,VLOOKUP(LOWER(F390)&amp;H390,Prices!A:C,2,0))</f>
        <v>23.86</v>
      </c>
      <c r="W390" s="13">
        <f t="shared" si="161"/>
        <v>-5787.7119999999995</v>
      </c>
      <c r="X390" s="13">
        <f t="shared" si="162"/>
        <v>-399.99999999999147</v>
      </c>
      <c r="Y390" s="43">
        <f t="shared" si="166"/>
        <v>-6.4479857397504448E-2</v>
      </c>
      <c r="Z390" s="49"/>
      <c r="AA390" s="24"/>
    </row>
    <row r="391" spans="1:27" hidden="1"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6.95</v>
      </c>
      <c r="V391" s="13">
        <f>IF(ISNA(VLOOKUP(LOWER(F391)&amp;H391,Prices!A:C,2,0)),0,VLOOKUP(LOWER(F391)&amp;H391,Prices!A:C,2,0))</f>
        <v>6.85</v>
      </c>
      <c r="W391" s="13">
        <f t="shared" si="161"/>
        <v>-8109.3170000000027</v>
      </c>
      <c r="X391" s="13">
        <f t="shared" si="162"/>
        <v>-500.00000000000267</v>
      </c>
      <c r="Y391" s="43">
        <f t="shared" si="166"/>
        <v>-0.19148328217237315</v>
      </c>
      <c r="Z391" s="49"/>
      <c r="AA391" s="24"/>
    </row>
    <row r="392" spans="1:27" hidden="1"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6.95</v>
      </c>
      <c r="V392" s="13">
        <f>IF(ISNA(VLOOKUP(LOWER(F392)&amp;H392,Prices!A:C,2,0)),0,VLOOKUP(LOWER(F392)&amp;H392,Prices!A:C,2,0))</f>
        <v>6.85</v>
      </c>
      <c r="W392" s="13">
        <f t="shared" si="161"/>
        <v>-8259.3500000000022</v>
      </c>
      <c r="X392" s="13">
        <f t="shared" si="162"/>
        <v>-500.00000000000267</v>
      </c>
      <c r="Y392" s="43">
        <f t="shared" si="166"/>
        <v>-0.19433764705882359</v>
      </c>
      <c r="Z392" s="49"/>
      <c r="AA392" s="24"/>
    </row>
    <row r="393" spans="1:27" hidden="1"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20.34</v>
      </c>
      <c r="V393" s="13">
        <f>IF(ISNA(VLOOKUP(LOWER(F393)&amp;H393,Prices!A:C,2,0)),0,VLOOKUP(LOWER(F393)&amp;H393,Prices!A:C,2,0))</f>
        <v>20.91</v>
      </c>
      <c r="W393" s="13">
        <f t="shared" si="161"/>
        <v>23988.072000000004</v>
      </c>
      <c r="X393" s="13">
        <f t="shared" si="162"/>
        <v>2280.0000000000009</v>
      </c>
      <c r="Y393" s="43">
        <f t="shared" si="166"/>
        <v>0.40221448692152922</v>
      </c>
      <c r="Z393" s="49"/>
      <c r="AA393" s="24"/>
    </row>
    <row r="394" spans="1:27" hidden="1"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20.34</v>
      </c>
      <c r="V394" s="13">
        <f>IF(ISNA(VLOOKUP(LOWER(F394)&amp;H394,Prices!A:C,2,0)),0,VLOOKUP(LOWER(F394)&amp;H394,Prices!A:C,2,0))</f>
        <v>20.91</v>
      </c>
      <c r="W394" s="13">
        <f t="shared" si="161"/>
        <v>23908.055999999993</v>
      </c>
      <c r="X394" s="13">
        <f t="shared" si="162"/>
        <v>2280.0000000000009</v>
      </c>
      <c r="Y394" s="43">
        <f t="shared" si="166"/>
        <v>0.40033583389149352</v>
      </c>
      <c r="Z394" s="49"/>
      <c r="AA394" s="24"/>
    </row>
    <row r="395" spans="1:27" hidden="1"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7.15</v>
      </c>
      <c r="V395" s="13">
        <f>IF(ISNA(VLOOKUP(LOWER(F395)&amp;H395,Prices!A:C,2,0)),0,VLOOKUP(LOWER(F395)&amp;H395,Prices!A:C,2,0))</f>
        <v>7.13</v>
      </c>
      <c r="W395" s="13">
        <f t="shared" si="161"/>
        <v>-17711.736999999997</v>
      </c>
      <c r="X395" s="13">
        <f t="shared" si="162"/>
        <v>-100.0000000000023</v>
      </c>
      <c r="Y395" s="43">
        <f t="shared" si="166"/>
        <v>-0.33199132146204308</v>
      </c>
      <c r="Z395" s="49"/>
      <c r="AA395" s="24"/>
    </row>
    <row r="396" spans="1:27" hidden="1"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12.9</v>
      </c>
      <c r="V396" s="13">
        <f>IF(ISNA(VLOOKUP(LOWER(F396)&amp;H396,Prices!A:C,2,0)),0,VLOOKUP(LOWER(F396)&amp;H396,Prices!A:C,2,0))</f>
        <v>12.8</v>
      </c>
      <c r="W396" s="13">
        <f t="shared" si="161"/>
        <v>-12820.241999999997</v>
      </c>
      <c r="X396" s="13">
        <f t="shared" si="162"/>
        <v>-299.99999999999892</v>
      </c>
      <c r="Y396" s="43">
        <f t="shared" si="166"/>
        <v>-0.2503464557703573</v>
      </c>
      <c r="Z396" s="49"/>
      <c r="AA396" s="24"/>
    </row>
    <row r="397" spans="1:27" hidden="1"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19.510000000000002</v>
      </c>
      <c r="V397" s="13">
        <f>IF(ISNA(VLOOKUP(LOWER(F397)&amp;H397,Prices!A:C,2,0)),0,VLOOKUP(LOWER(F397)&amp;H397,Prices!A:C,2,0))</f>
        <v>20.13</v>
      </c>
      <c r="W397" s="13">
        <f t="shared" si="161"/>
        <v>20387.976000000002</v>
      </c>
      <c r="X397" s="13">
        <f t="shared" si="162"/>
        <v>2479.99999999999</v>
      </c>
      <c r="Y397" s="43">
        <f t="shared" si="166"/>
        <v>0.33912135728542919</v>
      </c>
      <c r="Z397" s="49"/>
      <c r="AA397" s="24"/>
    </row>
    <row r="398" spans="1:27" hidden="1"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8.2899999999999991</v>
      </c>
      <c r="V398" s="13">
        <f>IF(ISNA(VLOOKUP(LOWER(F398)&amp;H398,Prices!A:C,2,0)),0,VLOOKUP(LOWER(F398)&amp;H398,Prices!A:C,2,0))</f>
        <v>8.34</v>
      </c>
      <c r="W398" s="13">
        <f t="shared" si="161"/>
        <v>-15462.797399999998</v>
      </c>
      <c r="X398" s="13">
        <f t="shared" si="162"/>
        <v>-450.00000000000637</v>
      </c>
      <c r="Y398" s="43">
        <f t="shared" si="166"/>
        <v>-0.25913855203619907</v>
      </c>
      <c r="Z398" s="49"/>
      <c r="AA398" s="24"/>
    </row>
    <row r="399" spans="1:27" hidden="1"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11.46</v>
      </c>
      <c r="V399" s="13">
        <f>IF(ISNA(VLOOKUP(LOWER(F399)&amp;H399,Prices!A:C,2,0)),0,VLOOKUP(LOWER(F399)&amp;H399,Prices!A:C,2,0))</f>
        <v>11.33</v>
      </c>
      <c r="W399" s="13">
        <f t="shared" si="161"/>
        <v>-13131.688000000004</v>
      </c>
      <c r="X399" s="13">
        <f t="shared" si="162"/>
        <v>-520.00000000000318</v>
      </c>
      <c r="Y399" s="43">
        <f t="shared" si="166"/>
        <v>-0.22470376454483237</v>
      </c>
      <c r="Z399" s="49"/>
      <c r="AA399" s="24"/>
    </row>
    <row r="400" spans="1:27" hidden="1"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6.18</v>
      </c>
      <c r="V400" s="13">
        <f>IF(ISNA(VLOOKUP(LOWER(F400)&amp;H400,Prices!A:C,2,0)),0,VLOOKUP(LOWER(F400)&amp;H400,Prices!A:C,2,0))</f>
        <v>6.12</v>
      </c>
      <c r="W400" s="13">
        <f t="shared" si="161"/>
        <v>7180.3097999999845</v>
      </c>
      <c r="X400" s="13">
        <f t="shared" si="162"/>
        <v>809.99999999999477</v>
      </c>
      <c r="Y400" s="43">
        <f t="shared" si="166"/>
        <v>7.9861081081080906E-2</v>
      </c>
      <c r="Z400" s="49"/>
      <c r="AA400" s="24"/>
    </row>
    <row r="401" spans="1:27" hidden="1"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4.0199999999999996</v>
      </c>
      <c r="V401" s="13">
        <f>IF(ISNA(VLOOKUP(LOWER(F401)&amp;H401,Prices!A:C,2,0)),0,VLOOKUP(LOWER(F401)&amp;H401,Prices!A:C,2,0))</f>
        <v>4</v>
      </c>
      <c r="W401" s="13">
        <f t="shared" si="161"/>
        <v>-871.08500000000481</v>
      </c>
      <c r="X401" s="13">
        <f t="shared" si="162"/>
        <v>499.99999999998931</v>
      </c>
      <c r="Y401" s="43">
        <f t="shared" si="166"/>
        <v>-8.7766750629723403E-3</v>
      </c>
      <c r="Z401" s="49"/>
      <c r="AA401" s="24"/>
    </row>
    <row r="402" spans="1:27" hidden="1"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8.2899999999999991</v>
      </c>
      <c r="V402" s="13">
        <f>IF(ISNA(VLOOKUP(LOWER(F402)&amp;H402,Prices!A:C,2,0)),0,VLOOKUP(LOWER(F402)&amp;H402,Prices!A:C,2,0))</f>
        <v>8.34</v>
      </c>
      <c r="W402" s="13">
        <f t="shared" si="161"/>
        <v>-15552.687599999999</v>
      </c>
      <c r="X402" s="13">
        <f t="shared" si="162"/>
        <v>-450.00000000000637</v>
      </c>
      <c r="Y402" s="43">
        <f t="shared" si="166"/>
        <v>-0.26103873111782477</v>
      </c>
      <c r="Z402" s="49"/>
      <c r="AA402" s="24"/>
    </row>
    <row r="403" spans="1:27" ht="40.5" hidden="1"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hidden="1"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hidden="1"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hidden="1"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18.82</v>
      </c>
      <c r="V406" s="13">
        <f>IF(ISNA(VLOOKUP(LOWER(F406)&amp;H406,Prices!A:C,2,0)),0,VLOOKUP(LOWER(F406)&amp;H406,Prices!A:C,2,0))</f>
        <v>18.57</v>
      </c>
      <c r="W406" s="13">
        <f t="shared" si="172"/>
        <v>-6888.8039999999928</v>
      </c>
      <c r="X406" s="13">
        <f t="shared" si="173"/>
        <v>-500</v>
      </c>
      <c r="Y406" s="43">
        <f t="shared" si="166"/>
        <v>-0.15649259427532924</v>
      </c>
      <c r="Z406" s="49"/>
      <c r="AA406" s="24"/>
    </row>
    <row r="407" spans="1:27" hidden="1"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12.38</v>
      </c>
      <c r="V407" s="13">
        <f>IF(ISNA(VLOOKUP(LOWER(F407)&amp;H407,Prices!A:C,2,0)),0,VLOOKUP(LOWER(F407)&amp;H407,Prices!A:C,2,0))</f>
        <v>12.25</v>
      </c>
      <c r="W407" s="13">
        <f t="shared" si="172"/>
        <v>-8027.1544000000004</v>
      </c>
      <c r="X407" s="13">
        <f t="shared" si="173"/>
        <v>-260.00000000000159</v>
      </c>
      <c r="Y407" s="43">
        <f t="shared" si="166"/>
        <v>-0.24683746617466173</v>
      </c>
      <c r="Z407" s="49"/>
      <c r="AA407" s="24"/>
    </row>
    <row r="408" spans="1:27" hidden="1"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18.82</v>
      </c>
      <c r="V408" s="13">
        <f>IF(ISNA(VLOOKUP(LOWER(F408)&amp;H408,Prices!A:C,2,0)),0,VLOOKUP(LOWER(F408)&amp;H408,Prices!A:C,2,0))</f>
        <v>18.57</v>
      </c>
      <c r="W408" s="13">
        <f t="shared" si="172"/>
        <v>-6928.8120000000008</v>
      </c>
      <c r="X408" s="13">
        <f t="shared" si="173"/>
        <v>-500</v>
      </c>
      <c r="Y408" s="43">
        <f t="shared" si="166"/>
        <v>-0.15725855651384477</v>
      </c>
      <c r="Z408" s="49"/>
      <c r="AA408" s="24"/>
    </row>
    <row r="409" spans="1:27" hidden="1"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18.82</v>
      </c>
      <c r="V409" s="13">
        <f>IF(ISNA(VLOOKUP(LOWER(F409)&amp;H409,Prices!A:C,2,0)),0,VLOOKUP(LOWER(F409)&amp;H409,Prices!A:C,2,0))</f>
        <v>18.57</v>
      </c>
      <c r="W409" s="13">
        <f t="shared" si="172"/>
        <v>-6968.8200000000006</v>
      </c>
      <c r="X409" s="13">
        <f t="shared" si="173"/>
        <v>-500</v>
      </c>
      <c r="Y409" s="43">
        <f t="shared" si="166"/>
        <v>-0.1580231292517007</v>
      </c>
      <c r="Z409" s="49"/>
      <c r="AA409" s="24"/>
    </row>
    <row r="410" spans="1:27" hidden="1"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11.46</v>
      </c>
      <c r="V410" s="13">
        <f>IF(ISNA(VLOOKUP(LOWER(F410)&amp;H410,Prices!A:C,2,0)),0,VLOOKUP(LOWER(F410)&amp;H410,Prices!A:C,2,0))</f>
        <v>11.33</v>
      </c>
      <c r="W410" s="13">
        <f t="shared" si="172"/>
        <v>12370.687999999995</v>
      </c>
      <c r="X410" s="13">
        <f t="shared" si="173"/>
        <v>520.00000000000318</v>
      </c>
      <c r="Y410" s="43">
        <f t="shared" si="166"/>
        <v>0.21417396121883647</v>
      </c>
      <c r="Z410" s="49"/>
      <c r="AA410" s="24"/>
    </row>
    <row r="411" spans="1:27" hidden="1"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20.34</v>
      </c>
      <c r="V411" s="13">
        <f>IF(ISNA(VLOOKUP(LOWER(F411)&amp;H411,Prices!A:C,2,0)),0,VLOOKUP(LOWER(F411)&amp;H411,Prices!A:C,2,0))</f>
        <v>20.91</v>
      </c>
      <c r="W411" s="13">
        <f t="shared" si="172"/>
        <v>-48830.308399999994</v>
      </c>
      <c r="X411" s="13">
        <f t="shared" si="173"/>
        <v>-4560.0000000000018</v>
      </c>
      <c r="Y411" s="43">
        <f t="shared" si="166"/>
        <v>-0.41175044185105231</v>
      </c>
      <c r="Z411" s="49"/>
      <c r="AA411" s="24"/>
    </row>
    <row r="412" spans="1:27" hidden="1"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6.95</v>
      </c>
      <c r="V412" s="13">
        <f>IF(ISNA(VLOOKUP(LOWER(F412)&amp;H412,Prices!A:C,2,0)),0,VLOOKUP(LOWER(F412)&amp;H412,Prices!A:C,2,0))</f>
        <v>6.85</v>
      </c>
      <c r="W412" s="13">
        <f t="shared" si="172"/>
        <v>16396.300000000003</v>
      </c>
      <c r="X412" s="13">
        <f t="shared" si="173"/>
        <v>1000.0000000000053</v>
      </c>
      <c r="Y412" s="43">
        <f t="shared" si="166"/>
        <v>0.19289764705882356</v>
      </c>
      <c r="Z412" s="49"/>
      <c r="AA412" s="24"/>
    </row>
    <row r="413" spans="1:27" hidden="1"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7.72</v>
      </c>
      <c r="V413" s="13">
        <f>IF(ISNA(VLOOKUP(LOWER(F413)&amp;H413,Prices!A:C,2,0)),0,VLOOKUP(LOWER(F413)&amp;H413,Prices!A:C,2,0))</f>
        <v>8.02</v>
      </c>
      <c r="W413" s="13">
        <f t="shared" si="172"/>
        <v>21176.170000000009</v>
      </c>
      <c r="X413" s="13">
        <f t="shared" si="173"/>
        <v>-2999.9999999999982</v>
      </c>
      <c r="Y413" s="43">
        <f t="shared" si="166"/>
        <v>0.20863221674876856</v>
      </c>
      <c r="Z413" s="49"/>
      <c r="AA413" s="24"/>
    </row>
    <row r="414" spans="1:27" hidden="1"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19.510000000000002</v>
      </c>
      <c r="V414" s="13">
        <f>IF(ISNA(VLOOKUP(LOWER(F414)&amp;H414,Prices!A:C,2,0)),0,VLOOKUP(LOWER(F414)&amp;H414,Prices!A:C,2,0))</f>
        <v>20.13</v>
      </c>
      <c r="W414" s="13">
        <f t="shared" si="172"/>
        <v>-20192.479999999996</v>
      </c>
      <c r="X414" s="13">
        <f t="shared" si="173"/>
        <v>-2479.99999999999</v>
      </c>
      <c r="Y414" s="43">
        <f t="shared" si="166"/>
        <v>-0.33431258278145687</v>
      </c>
      <c r="Z414" s="49"/>
      <c r="AA414" s="24"/>
    </row>
    <row r="415" spans="1:27" hidden="1"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7.15</v>
      </c>
      <c r="V415" s="13">
        <f>IF(ISNA(VLOOKUP(LOWER(F415)&amp;H415,Prices!A:C,2,0)),0,VLOOKUP(LOWER(F415)&amp;H415,Prices!A:C,2,0))</f>
        <v>7.13</v>
      </c>
      <c r="W415" s="13">
        <f t="shared" si="172"/>
        <v>17435.15700000001</v>
      </c>
      <c r="X415" s="13">
        <f t="shared" si="173"/>
        <v>100.0000000000023</v>
      </c>
      <c r="Y415" s="43">
        <f t="shared" si="166"/>
        <v>0.32803682031984965</v>
      </c>
      <c r="Z415" s="49"/>
      <c r="AA415" s="24"/>
    </row>
    <row r="416" spans="1:27" hidden="1"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15.4</v>
      </c>
      <c r="V416" s="13">
        <f>IF(ISNA(VLOOKUP(LOWER(F416)&amp;H416,Prices!A:C,2,0)),0,VLOOKUP(LOWER(F416)&amp;H416,Prices!A:C,2,0))</f>
        <v>15.56</v>
      </c>
      <c r="W416" s="13">
        <f t="shared" si="172"/>
        <v>-4284.9999999999982</v>
      </c>
      <c r="X416" s="13">
        <f t="shared" si="173"/>
        <v>160.00000000000014</v>
      </c>
      <c r="Y416" s="43">
        <f t="shared" si="166"/>
        <v>-0.21597782258064507</v>
      </c>
      <c r="Z416" s="49"/>
      <c r="AA416" s="24"/>
    </row>
    <row r="417" spans="1:27" hidden="1"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18.36</v>
      </c>
      <c r="V417" s="13">
        <f>IF(ISNA(VLOOKUP(LOWER(F417)&amp;H417,Prices!A:C,2,0)),0,VLOOKUP(LOWER(F417)&amp;H417,Prices!A:C,2,0))</f>
        <v>18.21</v>
      </c>
      <c r="W417" s="13">
        <f t="shared" si="172"/>
        <v>-8325.3060000000005</v>
      </c>
      <c r="X417" s="13">
        <f t="shared" si="173"/>
        <v>-149.99999999999858</v>
      </c>
      <c r="Y417" s="43">
        <f t="shared" si="166"/>
        <v>-0.31380723709008673</v>
      </c>
      <c r="Z417" s="49"/>
      <c r="AA417" s="24"/>
    </row>
    <row r="418" spans="1:27" hidden="1"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12.9</v>
      </c>
      <c r="V418" s="13">
        <f>IF(ISNA(VLOOKUP(LOWER(F418)&amp;H418,Prices!A:C,2,0)),0,VLOOKUP(LOWER(F418)&amp;H418,Prices!A:C,2,0))</f>
        <v>12.8</v>
      </c>
      <c r="W418" s="13">
        <f t="shared" si="172"/>
        <v>12568.764000000012</v>
      </c>
      <c r="X418" s="13">
        <f t="shared" si="173"/>
        <v>299.99999999999892</v>
      </c>
      <c r="Y418" s="43">
        <f t="shared" si="166"/>
        <v>0.24630146972369216</v>
      </c>
      <c r="Z418" s="49"/>
      <c r="AA418" s="24"/>
    </row>
    <row r="419" spans="1:27" ht="27" hidden="1"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650.07000000000005</v>
      </c>
      <c r="V419" s="13">
        <f>IF(ISNA(VLOOKUP(LOWER(F419)&amp;H419,Prices!A:C,2,0)),0,VLOOKUP(LOWER(F419)&amp;H419,Prices!A:C,2,0))</f>
        <v>677.95</v>
      </c>
      <c r="W419" s="13">
        <f t="shared" ref="W419:W437" si="178">IF(I419="B",(V419+T419)*K419,(V419+T419)*K419)</f>
        <v>35179.826240000002</v>
      </c>
      <c r="X419" s="13">
        <f t="shared" ref="X419:X437" si="179">K419*(V419-U419)</f>
        <v>2787.9999999999995</v>
      </c>
      <c r="Y419" s="43">
        <f t="shared" si="166"/>
        <v>1.0788710206084398</v>
      </c>
      <c r="Z419" s="49" t="s">
        <v>1409</v>
      </c>
      <c r="AA419" s="24"/>
    </row>
    <row r="420" spans="1:27" ht="27" hidden="1"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650.07000000000005</v>
      </c>
      <c r="V420" s="13">
        <f>IF(ISNA(VLOOKUP(LOWER(F420)&amp;H420,Prices!A:C,2,0)),0,VLOOKUP(LOWER(F420)&amp;H420,Prices!A:C,2,0))</f>
        <v>677.95</v>
      </c>
      <c r="W420" s="13">
        <f t="shared" si="178"/>
        <v>35179.826240000002</v>
      </c>
      <c r="X420" s="13">
        <f t="shared" si="179"/>
        <v>2787.9999999999995</v>
      </c>
      <c r="Y420" s="43">
        <f t="shared" si="166"/>
        <v>1.0788710206084398</v>
      </c>
      <c r="Z420" s="49" t="s">
        <v>1409</v>
      </c>
      <c r="AA420" s="24"/>
    </row>
    <row r="421" spans="1:27" hidden="1"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9.9</v>
      </c>
      <c r="V421" s="13">
        <f>IF(ISNA(VLOOKUP(LOWER(F421)&amp;H421,Prices!A:C,2,0)),0,VLOOKUP(LOWER(F421)&amp;H421,Prices!A:C,2,0))</f>
        <v>9.8699999999999992</v>
      </c>
      <c r="W421" s="13">
        <f t="shared" si="178"/>
        <v>-6250.0584000000072</v>
      </c>
      <c r="X421" s="13">
        <f t="shared" si="179"/>
        <v>-120.00000000000455</v>
      </c>
      <c r="Y421" s="43">
        <f t="shared" si="166"/>
        <v>-0.13670293963254609</v>
      </c>
      <c r="Z421" s="49" t="s">
        <v>1408</v>
      </c>
      <c r="AA421" s="24"/>
    </row>
    <row r="422" spans="1:27" hidden="1"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10.44</v>
      </c>
      <c r="V422" s="13">
        <f>IF(ISNA(VLOOKUP(LOWER(F422)&amp;H422,Prices!A:C,2,0)),0,VLOOKUP(LOWER(F422)&amp;H422,Prices!A:C,2,0))</f>
        <v>10.57</v>
      </c>
      <c r="W422" s="13">
        <f t="shared" si="178"/>
        <v>-4849.4239999999991</v>
      </c>
      <c r="X422" s="13">
        <f t="shared" si="179"/>
        <v>520.00000000000318</v>
      </c>
      <c r="Y422" s="43">
        <f t="shared" si="166"/>
        <v>-0.10291646859083189</v>
      </c>
      <c r="Z422" s="49"/>
      <c r="AA422" s="24"/>
    </row>
    <row r="423" spans="1:27" hidden="1"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10.44</v>
      </c>
      <c r="V423" s="13">
        <f>IF(ISNA(VLOOKUP(LOWER(F423)&amp;H423,Prices!A:C,2,0)),0,VLOOKUP(LOWER(F423)&amp;H423,Prices!A:C,2,0))</f>
        <v>10.57</v>
      </c>
      <c r="W423" s="13">
        <f t="shared" si="178"/>
        <v>-4889.4319999999989</v>
      </c>
      <c r="X423" s="13">
        <f t="shared" si="179"/>
        <v>520.00000000000318</v>
      </c>
      <c r="Y423" s="43">
        <f t="shared" si="166"/>
        <v>-0.10367752332485154</v>
      </c>
      <c r="Z423" s="49"/>
      <c r="AA423" s="24"/>
    </row>
    <row r="424" spans="1:27" hidden="1"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11.64</v>
      </c>
      <c r="V424" s="13">
        <f>IF(ISNA(VLOOKUP(LOWER(F424)&amp;H424,Prices!A:C,2,0)),0,VLOOKUP(LOWER(F424)&amp;H424,Prices!A:C,2,0))</f>
        <v>11.76</v>
      </c>
      <c r="W424" s="13">
        <f t="shared" si="178"/>
        <v>-13419.737999999994</v>
      </c>
      <c r="X424" s="13">
        <f t="shared" si="179"/>
        <v>359.99999999999767</v>
      </c>
      <c r="Y424" s="43">
        <f t="shared" si="166"/>
        <v>-0.27561589648798507</v>
      </c>
      <c r="Z424" s="49"/>
      <c r="AA424" s="24"/>
    </row>
    <row r="425" spans="1:27" hidden="1"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11.64</v>
      </c>
      <c r="V425" s="13">
        <f>IF(ISNA(VLOOKUP(LOWER(F425)&amp;H425,Prices!A:C,2,0)),0,VLOOKUP(LOWER(F425)&amp;H425,Prices!A:C,2,0))</f>
        <v>11.76</v>
      </c>
      <c r="W425" s="13">
        <f t="shared" si="178"/>
        <v>-8946.4919999999966</v>
      </c>
      <c r="X425" s="13">
        <f t="shared" si="179"/>
        <v>239.99999999999844</v>
      </c>
      <c r="Y425" s="43">
        <f t="shared" si="166"/>
        <v>-0.27561589648798512</v>
      </c>
      <c r="Z425" s="49"/>
      <c r="AA425" s="24"/>
    </row>
    <row r="426" spans="1:27" hidden="1"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11.64</v>
      </c>
      <c r="V426" s="13">
        <f>IF(ISNA(VLOOKUP(LOWER(F426)&amp;H426,Prices!A:C,2,0)),0,VLOOKUP(LOWER(F426)&amp;H426,Prices!A:C,2,0))</f>
        <v>11.76</v>
      </c>
      <c r="W426" s="13">
        <f t="shared" si="178"/>
        <v>-8946.4919999999966</v>
      </c>
      <c r="X426" s="13">
        <f t="shared" si="179"/>
        <v>239.99999999999844</v>
      </c>
      <c r="Y426" s="43">
        <f t="shared" si="166"/>
        <v>-0.27561589648798512</v>
      </c>
      <c r="Z426" s="49"/>
      <c r="AA426" s="24"/>
    </row>
    <row r="427" spans="1:27" ht="40.5" hidden="1"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8.15</v>
      </c>
      <c r="V427" s="13">
        <f>IF(ISNA(VLOOKUP(LOWER(F427)&amp;H427,Prices!A:C,2,0)),0,VLOOKUP(LOWER(F427)&amp;H427,Prices!A:C,2,0))</f>
        <v>8.1300000000000008</v>
      </c>
      <c r="W427" s="13">
        <f t="shared" si="178"/>
        <v>-9688.44</v>
      </c>
      <c r="X427" s="13">
        <f t="shared" si="179"/>
        <v>-79.999999999998295</v>
      </c>
      <c r="Y427" s="43">
        <f t="shared" si="166"/>
        <v>-0.22958388625592419</v>
      </c>
      <c r="Z427" s="49" t="s">
        <v>1415</v>
      </c>
      <c r="AA427" s="24"/>
    </row>
    <row r="428" spans="1:27" hidden="1"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11.64</v>
      </c>
      <c r="V428" s="13">
        <f>IF(ISNA(VLOOKUP(LOWER(F428)&amp;H428,Prices!A:C,2,0)),0,VLOOKUP(LOWER(F428)&amp;H428,Prices!A:C,2,0))</f>
        <v>11.76</v>
      </c>
      <c r="W428" s="13">
        <f t="shared" si="178"/>
        <v>-13419.737999999994</v>
      </c>
      <c r="X428" s="13">
        <f t="shared" si="179"/>
        <v>359.99999999999767</v>
      </c>
      <c r="Y428" s="43">
        <f t="shared" si="166"/>
        <v>-0.27561589648798507</v>
      </c>
      <c r="Z428" s="49"/>
      <c r="AA428" s="24"/>
    </row>
    <row r="429" spans="1:27" ht="27" hidden="1"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hidden="1"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hidden="1"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10.44</v>
      </c>
      <c r="V431" s="13">
        <f>IF(ISNA(VLOOKUP(LOWER(F431)&amp;H431,Prices!A:C,2,0)),0,VLOOKUP(LOWER(F431)&amp;H431,Prices!A:C,2,0))</f>
        <v>10.57</v>
      </c>
      <c r="W431" s="13">
        <f t="shared" si="178"/>
        <v>-3457.0319999999983</v>
      </c>
      <c r="X431" s="13">
        <f t="shared" si="179"/>
        <v>390.00000000000233</v>
      </c>
      <c r="Y431" s="43">
        <f t="shared" si="166"/>
        <v>-9.8322866894197905E-2</v>
      </c>
      <c r="Z431" s="49"/>
      <c r="AA431" s="24"/>
    </row>
    <row r="432" spans="1:27" hidden="1"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11.64</v>
      </c>
      <c r="V432" s="13">
        <f>IF(ISNA(VLOOKUP(LOWER(F432)&amp;H432,Prices!A:C,2,0)),0,VLOOKUP(LOWER(F432)&amp;H432,Prices!A:C,2,0))</f>
        <v>11.76</v>
      </c>
      <c r="W432" s="13">
        <f t="shared" si="178"/>
        <v>-18493.103999999996</v>
      </c>
      <c r="X432" s="13">
        <f t="shared" si="179"/>
        <v>479.99999999999687</v>
      </c>
      <c r="Y432" s="43">
        <f t="shared" si="166"/>
        <v>-0.28225128205128203</v>
      </c>
      <c r="Z432" s="49"/>
      <c r="AA432" s="24"/>
    </row>
    <row r="433" spans="1:27" hidden="1"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13.79</v>
      </c>
      <c r="V433" s="13">
        <f>IF(ISNA(VLOOKUP(LOWER(F433)&amp;H433,Prices!A:C,2,0)),0,VLOOKUP(LOWER(F433)&amp;H433,Prices!A:C,2,0))</f>
        <v>13.83</v>
      </c>
      <c r="W433" s="13">
        <f t="shared" si="178"/>
        <v>-18766.518000000004</v>
      </c>
      <c r="X433" s="13">
        <f t="shared" si="179"/>
        <v>40.000000000000924</v>
      </c>
      <c r="Y433" s="43">
        <f t="shared" si="166"/>
        <v>-0.5758366983737343</v>
      </c>
      <c r="Z433" s="49"/>
      <c r="AA433" s="24"/>
    </row>
    <row r="434" spans="1:27" ht="27" hidden="1"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650.07000000000005</v>
      </c>
      <c r="V434" s="13">
        <f>IF(ISNA(VLOOKUP(LOWER(F434)&amp;H434,Prices!A:C,2,0)),0,VLOOKUP(LOWER(F434)&amp;H434,Prices!A:C,2,0))</f>
        <v>677.95</v>
      </c>
      <c r="W434" s="13">
        <f t="shared" si="178"/>
        <v>35487.894000000008</v>
      </c>
      <c r="X434" s="13">
        <f t="shared" si="179"/>
        <v>2787.9999999999995</v>
      </c>
      <c r="Y434" s="43">
        <f t="shared" si="166"/>
        <v>1.098696408668731</v>
      </c>
      <c r="Z434" s="49" t="s">
        <v>1409</v>
      </c>
      <c r="AA434" s="24"/>
    </row>
    <row r="435" spans="1:27" ht="27" hidden="1"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650.07000000000005</v>
      </c>
      <c r="V435" s="13">
        <f>IF(ISNA(VLOOKUP(LOWER(F435)&amp;H435,Prices!A:C,2,0)),0,VLOOKUP(LOWER(F435)&amp;H435,Prices!A:C,2,0))</f>
        <v>677.95</v>
      </c>
      <c r="W435" s="13">
        <f t="shared" si="178"/>
        <v>35486.893780000006</v>
      </c>
      <c r="X435" s="13">
        <f t="shared" si="179"/>
        <v>2787.9999999999995</v>
      </c>
      <c r="Y435" s="43">
        <f t="shared" si="166"/>
        <v>1.0986314287483361</v>
      </c>
      <c r="Z435" s="49" t="s">
        <v>1409</v>
      </c>
      <c r="AA435" s="24"/>
    </row>
    <row r="436" spans="1:27" ht="40.5" hidden="1"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8.15</v>
      </c>
      <c r="V436" s="13">
        <f>IF(ISNA(VLOOKUP(LOWER(F436)&amp;H436,Prices!A:C,2,0)),0,VLOOKUP(LOWER(F436)&amp;H436,Prices!A:C,2,0))</f>
        <v>8.1300000000000008</v>
      </c>
      <c r="W436" s="13">
        <f t="shared" si="178"/>
        <v>-6606.1979999999958</v>
      </c>
      <c r="X436" s="13">
        <f t="shared" si="179"/>
        <v>-59.999999999998721</v>
      </c>
      <c r="Y436" s="43">
        <f t="shared" si="166"/>
        <v>-0.21317192642787983</v>
      </c>
      <c r="Z436" s="49" t="s">
        <v>1416</v>
      </c>
      <c r="AA436" s="24"/>
    </row>
    <row r="437" spans="1:27" hidden="1"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12.38</v>
      </c>
      <c r="V437" s="13">
        <f>IF(ISNA(VLOOKUP(LOWER(F437)&amp;H437,Prices!A:C,2,0)),0,VLOOKUP(LOWER(F437)&amp;H437,Prices!A:C,2,0))</f>
        <v>12.25</v>
      </c>
      <c r="W437" s="13">
        <f t="shared" si="178"/>
        <v>8819.3008000000009</v>
      </c>
      <c r="X437" s="13">
        <f t="shared" si="179"/>
        <v>260.00000000000159</v>
      </c>
      <c r="Y437" s="43">
        <f t="shared" si="166"/>
        <v>0.2643675299760192</v>
      </c>
      <c r="Z437" s="49"/>
      <c r="AA437" s="24"/>
    </row>
    <row r="438" spans="1:27" hidden="1"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hidden="1"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13.79</v>
      </c>
      <c r="V439" s="13">
        <f>IF(ISNA(VLOOKUP(LOWER(F439)&amp;H439,Prices!A:C,2,0)),0,VLOOKUP(LOWER(F439)&amp;H439,Prices!A:C,2,0))</f>
        <v>13.83</v>
      </c>
      <c r="W439" s="13">
        <f t="shared" ref="W439:W457" si="184">IF(I439="B",(V439+T439)*K439,(V439+T439)*K439)</f>
        <v>20378.900000000001</v>
      </c>
      <c r="X439" s="13">
        <f t="shared" ref="X439:X457" si="185">K439*(V439-U439)</f>
        <v>-40.000000000000924</v>
      </c>
      <c r="Y439" s="43">
        <f t="shared" si="166"/>
        <v>0.59500437956204388</v>
      </c>
      <c r="Z439" s="49"/>
      <c r="AA439" s="24"/>
    </row>
    <row r="440" spans="1:27" ht="54" hidden="1"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650.07000000000005</v>
      </c>
      <c r="V440" s="13">
        <f>IF(ISNA(VLOOKUP(LOWER(F440)&amp;H440,Prices!A:C,2,0)),0,VLOOKUP(LOWER(F440)&amp;H440,Prices!A:C,2,0))</f>
        <v>677.95</v>
      </c>
      <c r="W440" s="13">
        <f t="shared" si="184"/>
        <v>-176678.24890000004</v>
      </c>
      <c r="X440" s="13">
        <f t="shared" si="185"/>
        <v>-13939.999999999998</v>
      </c>
      <c r="Y440" s="43">
        <f t="shared" si="166"/>
        <v>-1.0872842173605344</v>
      </c>
      <c r="Z440" s="49" t="s">
        <v>1410</v>
      </c>
      <c r="AA440" s="24"/>
    </row>
    <row r="441" spans="1:27" hidden="1"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9.9</v>
      </c>
      <c r="V441" s="13">
        <f>IF(ISNA(VLOOKUP(LOWER(F441)&amp;H441,Prices!A:C,2,0)),0,VLOOKUP(LOWER(F441)&amp;H441,Prices!A:C,2,0))</f>
        <v>9.8699999999999992</v>
      </c>
      <c r="W441" s="13">
        <f t="shared" si="184"/>
        <v>5385.1976000000122</v>
      </c>
      <c r="X441" s="13">
        <f t="shared" si="185"/>
        <v>120.00000000000455</v>
      </c>
      <c r="Y441" s="43">
        <f t="shared" si="166"/>
        <v>0.11988418521816591</v>
      </c>
      <c r="Z441" s="49"/>
      <c r="AA441" s="24"/>
    </row>
    <row r="442" spans="1:27" hidden="1"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11.64</v>
      </c>
      <c r="V442" s="13">
        <f>IF(ISNA(VLOOKUP(LOWER(F442)&amp;H442,Prices!A:C,2,0)),0,VLOOKUP(LOWER(F442)&amp;H442,Prices!A:C,2,0))</f>
        <v>11.76</v>
      </c>
      <c r="W442" s="13">
        <f t="shared" si="184"/>
        <v>31782.911999999989</v>
      </c>
      <c r="X442" s="13">
        <f t="shared" si="185"/>
        <v>-839.99999999999454</v>
      </c>
      <c r="Y442" s="43">
        <f t="shared" si="166"/>
        <v>0.27821176470588227</v>
      </c>
      <c r="Z442" s="49"/>
      <c r="AA442" s="24"/>
    </row>
    <row r="443" spans="1:27" hidden="1"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18.82</v>
      </c>
      <c r="V443" s="13">
        <f>IF(ISNA(VLOOKUP(LOWER(F443)&amp;H443,Prices!A:C,2,0)),0,VLOOKUP(LOWER(F443)&amp;H443,Prices!A:C,2,0))</f>
        <v>18.57</v>
      </c>
      <c r="W443" s="13">
        <f t="shared" si="184"/>
        <v>9132.096000000005</v>
      </c>
      <c r="X443" s="13">
        <f t="shared" si="185"/>
        <v>750</v>
      </c>
      <c r="Y443" s="43">
        <f t="shared" si="166"/>
        <v>0.1406669131238448</v>
      </c>
      <c r="Z443" s="49"/>
      <c r="AA443" s="24"/>
    </row>
    <row r="444" spans="1:27" hidden="1"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10.44</v>
      </c>
      <c r="V444" s="13">
        <f>IF(ISNA(VLOOKUP(LOWER(F444)&amp;H444,Prices!A:C,2,0)),0,VLOOKUP(LOWER(F444)&amp;H444,Prices!A:C,2,0))</f>
        <v>10.57</v>
      </c>
      <c r="W444" s="13">
        <f t="shared" si="184"/>
        <v>5533.5009999999929</v>
      </c>
      <c r="X444" s="13">
        <f t="shared" si="185"/>
        <v>-715.00000000000432</v>
      </c>
      <c r="Y444" s="43">
        <f t="shared" si="166"/>
        <v>8.6806824064632415E-2</v>
      </c>
      <c r="Z444" s="49"/>
      <c r="AA444" s="24"/>
    </row>
    <row r="445" spans="1:27" hidden="1"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650.07000000000005</v>
      </c>
      <c r="V445" s="13">
        <f>IF(ISNA(VLOOKUP(LOWER(F445)&amp;H445,Prices!A:C,2,0)),0,VLOOKUP(LOWER(F445)&amp;H445,Prices!A:C,2,0))</f>
        <v>677.95</v>
      </c>
      <c r="W445" s="13">
        <f t="shared" si="184"/>
        <v>-105994.96198000002</v>
      </c>
      <c r="X445" s="13">
        <f t="shared" si="185"/>
        <v>-8363.9999999999982</v>
      </c>
      <c r="Y445" s="43">
        <f t="shared" si="166"/>
        <v>-1.0870274741818708</v>
      </c>
      <c r="Z445" s="49"/>
      <c r="AA445" s="24"/>
    </row>
    <row r="446" spans="1:27" hidden="1"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650.07000000000005</v>
      </c>
      <c r="V446" s="13">
        <f>IF(ISNA(VLOOKUP(LOWER(F446)&amp;H446,Prices!A:C,2,0)),0,VLOOKUP(LOWER(F446)&amp;H446,Prices!A:C,2,0))</f>
        <v>677.95</v>
      </c>
      <c r="W446" s="13">
        <f t="shared" si="184"/>
        <v>-105627.01302800002</v>
      </c>
      <c r="X446" s="13">
        <f t="shared" si="185"/>
        <v>-8363.9999999999982</v>
      </c>
      <c r="Y446" s="43">
        <f t="shared" si="166"/>
        <v>-1.0791767356713604</v>
      </c>
      <c r="Z446" s="49"/>
      <c r="AA446" s="24"/>
    </row>
    <row r="447" spans="1:27" hidden="1"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18.82</v>
      </c>
      <c r="V447" s="13">
        <f>IF(ISNA(VLOOKUP(LOWER(F447)&amp;H447,Prices!A:C,2,0)),0,VLOOKUP(LOWER(F447)&amp;H447,Prices!A:C,2,0))</f>
        <v>18.57</v>
      </c>
      <c r="W447" s="13">
        <f t="shared" si="184"/>
        <v>9821.2679999999964</v>
      </c>
      <c r="X447" s="13">
        <f t="shared" si="185"/>
        <v>750</v>
      </c>
      <c r="Y447" s="43">
        <f t="shared" si="166"/>
        <v>0.14969163237311381</v>
      </c>
      <c r="Z447" s="49"/>
      <c r="AA447" s="24"/>
    </row>
    <row r="448" spans="1:27" hidden="1"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11.64</v>
      </c>
      <c r="V448" s="13">
        <f>IF(ISNA(VLOOKUP(LOWER(F448)&amp;H448,Prices!A:C,2,0)),0,VLOOKUP(LOWER(F448)&amp;H448,Prices!A:C,2,0))</f>
        <v>11.76</v>
      </c>
      <c r="W448" s="13">
        <f t="shared" si="184"/>
        <v>31782.911999999989</v>
      </c>
      <c r="X448" s="13">
        <f t="shared" si="185"/>
        <v>-839.99999999999454</v>
      </c>
      <c r="Y448" s="43">
        <f t="shared" si="166"/>
        <v>0.27821176470588227</v>
      </c>
      <c r="Z448" s="49"/>
      <c r="AA448" s="24"/>
    </row>
    <row r="449" spans="1:27" hidden="1"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18.36</v>
      </c>
      <c r="V449" s="13">
        <f>IF(ISNA(VLOOKUP(LOWER(F449)&amp;H449,Prices!A:C,2,0)),0,VLOOKUP(LOWER(F449)&amp;H449,Prices!A:C,2,0))</f>
        <v>18.21</v>
      </c>
      <c r="W449" s="13">
        <f t="shared" si="184"/>
        <v>8398.0319999999974</v>
      </c>
      <c r="X449" s="13">
        <f t="shared" si="185"/>
        <v>149.99999999999858</v>
      </c>
      <c r="Y449" s="43">
        <f t="shared" si="166"/>
        <v>0.31524144144144134</v>
      </c>
      <c r="Z449" s="49"/>
      <c r="AA449" s="24"/>
    </row>
    <row r="450" spans="1:27" hidden="1"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hidden="1"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8.15</v>
      </c>
      <c r="V451" s="13">
        <f>IF(ISNA(VLOOKUP(LOWER(F451)&amp;H451,Prices!A:C,2,0)),0,VLOOKUP(LOWER(F451)&amp;H451,Prices!A:C,2,0))</f>
        <v>8.1300000000000008</v>
      </c>
      <c r="W451" s="13">
        <f t="shared" si="184"/>
        <v>7796.4409999999943</v>
      </c>
      <c r="X451" s="13">
        <f t="shared" si="185"/>
        <v>69.999999999998508</v>
      </c>
      <c r="Y451" s="43">
        <f t="shared" si="166"/>
        <v>0.21480757680121212</v>
      </c>
      <c r="Z451" s="49" t="s">
        <v>1417</v>
      </c>
      <c r="AA451" s="24"/>
    </row>
    <row r="452" spans="1:27" hidden="1"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10.44</v>
      </c>
      <c r="V452" s="13">
        <f>IF(ISNA(VLOOKUP(LOWER(F452)&amp;H452,Prices!A:C,2,0)),0,VLOOKUP(LOWER(F452)&amp;H452,Prices!A:C,2,0))</f>
        <v>10.57</v>
      </c>
      <c r="W452" s="13">
        <f t="shared" si="184"/>
        <v>2797.3551999999959</v>
      </c>
      <c r="X452" s="13">
        <f t="shared" si="185"/>
        <v>-351.0000000000021</v>
      </c>
      <c r="Y452" s="43">
        <f t="shared" si="166"/>
        <v>8.9161573277235812E-2</v>
      </c>
      <c r="Z452" s="49"/>
      <c r="AA452" s="24"/>
    </row>
    <row r="453" spans="1:27" hidden="1"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15.4</v>
      </c>
      <c r="V453" s="13">
        <f>IF(ISNA(VLOOKUP(LOWER(F453)&amp;H453,Prices!A:C,2,0)),0,VLOOKUP(LOWER(F453)&amp;H453,Prices!A:C,2,0))</f>
        <v>15.56</v>
      </c>
      <c r="W453" s="13">
        <f t="shared" si="184"/>
        <v>4185.2299999999987</v>
      </c>
      <c r="X453" s="13">
        <f t="shared" si="185"/>
        <v>-160.00000000000014</v>
      </c>
      <c r="Y453" s="43">
        <f t="shared" ref="Y453:Y488" si="189">W453/O453</f>
        <v>0.21169600404653507</v>
      </c>
      <c r="Z453" s="49"/>
      <c r="AA453" s="24"/>
    </row>
    <row r="454" spans="1:27" hidden="1"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hidden="1"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8.15</v>
      </c>
      <c r="V455" s="13">
        <f>IF(ISNA(VLOOKUP(LOWER(F455)&amp;H455,Prices!A:C,2,0)),0,VLOOKUP(LOWER(F455)&amp;H455,Prices!A:C,2,0))</f>
        <v>8.1300000000000008</v>
      </c>
      <c r="W455" s="13">
        <f t="shared" si="184"/>
        <v>3819.3399999999988</v>
      </c>
      <c r="X455" s="13">
        <f t="shared" si="185"/>
        <v>33.999999999999275</v>
      </c>
      <c r="Y455" s="43">
        <f t="shared" si="189"/>
        <v>0.21623393534507154</v>
      </c>
      <c r="Z455" s="49"/>
      <c r="AA455" s="24"/>
    </row>
    <row r="456" spans="1:27" hidden="1"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8.15</v>
      </c>
      <c r="V456" s="13">
        <f>IF(ISNA(VLOOKUP(LOWER(F456)&amp;H456,Prices!A:C,2,0)),0,VLOOKUP(LOWER(F456)&amp;H456,Prices!A:C,2,0))</f>
        <v>8.1300000000000008</v>
      </c>
      <c r="W456" s="13">
        <f t="shared" si="184"/>
        <v>4206.1399999999985</v>
      </c>
      <c r="X456" s="13">
        <f t="shared" si="185"/>
        <v>35.999999999999233</v>
      </c>
      <c r="Y456" s="43">
        <f t="shared" si="189"/>
        <v>0.2229717981340118</v>
      </c>
      <c r="Z456" s="49"/>
      <c r="AA456" s="24"/>
    </row>
    <row r="457" spans="1:27" hidden="1"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10.44</v>
      </c>
      <c r="V457" s="13">
        <f>IF(ISNA(VLOOKUP(LOWER(F457)&amp;H457,Prices!A:C,2,0)),0,VLOOKUP(LOWER(F457)&amp;H457,Prices!A:C,2,0))</f>
        <v>10.57</v>
      </c>
      <c r="W457" s="13">
        <f t="shared" si="184"/>
        <v>2817.0595999999987</v>
      </c>
      <c r="X457" s="13">
        <f t="shared" si="185"/>
        <v>-364.00000000000216</v>
      </c>
      <c r="Y457" s="43">
        <f t="shared" si="189"/>
        <v>8.6806964131640532E-2</v>
      </c>
      <c r="Z457" s="49"/>
      <c r="AA457" s="24"/>
    </row>
    <row r="458" spans="1:27" hidden="1"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73.09</v>
      </c>
      <c r="V458" s="13">
        <f>IF(ISNA(VLOOKUP(LOWER(F458)&amp;H458,Prices!A:C,2,0)),0,VLOOKUP(LOWER(F458)&amp;H458,Prices!A:C,2,0))</f>
        <v>73.459999999999994</v>
      </c>
      <c r="W458" s="13">
        <f t="shared" ref="W458:W473" si="194">IF(I458="B",(V458+T458)*K458,(V458+T458)*K458)</f>
        <v>29051.119999999999</v>
      </c>
      <c r="X458" s="13">
        <f t="shared" ref="X458:X473" si="195">K458*(V458-U458)</f>
        <v>369.99999999999034</v>
      </c>
      <c r="Y458" s="43">
        <f t="shared" si="189"/>
        <v>0.6543045045045045</v>
      </c>
      <c r="Z458" s="49"/>
      <c r="AA458" s="24"/>
    </row>
    <row r="459" spans="1:27" hidden="1"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20.170000000000002</v>
      </c>
      <c r="V459" s="13">
        <f>IF(ISNA(VLOOKUP(LOWER(F459)&amp;H459,Prices!A:C,2,0)),0,VLOOKUP(LOWER(F459)&amp;H459,Prices!A:C,2,0))</f>
        <v>19.829999999999998</v>
      </c>
      <c r="W459" s="13">
        <f t="shared" si="194"/>
        <v>-12386.442000000003</v>
      </c>
      <c r="X459" s="13">
        <f t="shared" si="195"/>
        <v>-340.00000000000341</v>
      </c>
      <c r="Y459" s="43">
        <f t="shared" si="189"/>
        <v>-0.38455268550139715</v>
      </c>
      <c r="Z459" s="49"/>
      <c r="AA459" s="24"/>
    </row>
    <row r="460" spans="1:27" hidden="1"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hidden="1"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9.33</v>
      </c>
      <c r="V461" s="13">
        <f>IF(ISNA(VLOOKUP(LOWER(F461)&amp;H461,Prices!A:C,2,0)),0,VLOOKUP(LOWER(F461)&amp;H461,Prices!A:C,2,0))</f>
        <v>9.64</v>
      </c>
      <c r="W461" s="13">
        <f t="shared" si="194"/>
        <v>-10045.864000000001</v>
      </c>
      <c r="X461" s="13">
        <f t="shared" si="195"/>
        <v>620.00000000000102</v>
      </c>
      <c r="Y461" s="43">
        <f t="shared" si="189"/>
        <v>-0.34262837653478861</v>
      </c>
      <c r="Z461" s="49"/>
      <c r="AA461" s="24"/>
    </row>
    <row r="462" spans="1:27" hidden="1"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114.93</v>
      </c>
      <c r="V462" s="13">
        <f>IF(ISNA(VLOOKUP(LOWER(F462)&amp;H462,Prices!A:C,2,0)),0,VLOOKUP(LOWER(F462)&amp;H462,Prices!A:C,2,0))</f>
        <v>110.57</v>
      </c>
      <c r="W462" s="13">
        <f t="shared" si="194"/>
        <v>228.56239999999843</v>
      </c>
      <c r="X462" s="13">
        <f t="shared" si="195"/>
        <v>-872.00000000000273</v>
      </c>
      <c r="Y462" s="43">
        <f t="shared" si="189"/>
        <v>1.0446179159049289E-2</v>
      </c>
      <c r="Z462" s="49"/>
      <c r="AA462" s="24"/>
    </row>
    <row r="463" spans="1:27" hidden="1"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10.6</v>
      </c>
      <c r="V463" s="13">
        <f>IF(ISNA(VLOOKUP(LOWER(F463)&amp;H463,Prices!A:C,2,0)),0,VLOOKUP(LOWER(F463)&amp;H463,Prices!A:C,2,0))</f>
        <v>10.43</v>
      </c>
      <c r="W463" s="13">
        <f t="shared" si="194"/>
        <v>-2125</v>
      </c>
      <c r="X463" s="13">
        <f t="shared" si="195"/>
        <v>-339.99999999999989</v>
      </c>
      <c r="Y463" s="43">
        <f t="shared" si="189"/>
        <v>-9.2471714534377719E-2</v>
      </c>
      <c r="Z463" s="49"/>
      <c r="AA463" s="24"/>
    </row>
    <row r="464" spans="1:27" hidden="1"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10.32</v>
      </c>
      <c r="V464" s="13">
        <f>IF(ISNA(VLOOKUP(LOWER(F464)&amp;H464,Prices!A:C,2,0)),0,VLOOKUP(LOWER(F464)&amp;H464,Prices!A:C,2,0))</f>
        <v>10.32</v>
      </c>
      <c r="W464" s="13">
        <f t="shared" si="194"/>
        <v>15684.694600000003</v>
      </c>
      <c r="X464" s="13">
        <f t="shared" si="195"/>
        <v>0</v>
      </c>
      <c r="Y464" s="43">
        <f t="shared" si="189"/>
        <v>1.0271574721676491</v>
      </c>
      <c r="Z464" s="49"/>
      <c r="AA464" s="24"/>
    </row>
    <row r="465" spans="1:27" hidden="1"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10.6</v>
      </c>
      <c r="V465" s="13">
        <f>IF(ISNA(VLOOKUP(LOWER(F465)&amp;H465,Prices!A:C,2,0)),0,VLOOKUP(LOWER(F465)&amp;H465,Prices!A:C,2,0))</f>
        <v>10.43</v>
      </c>
      <c r="W465" s="13">
        <f t="shared" si="194"/>
        <v>-2164.9999999999991</v>
      </c>
      <c r="X465" s="13">
        <f t="shared" si="195"/>
        <v>-339.99999999999989</v>
      </c>
      <c r="Y465" s="43">
        <f t="shared" si="189"/>
        <v>-9.4048653344917424E-2</v>
      </c>
      <c r="Z465" s="49"/>
      <c r="AA465" s="24"/>
    </row>
    <row r="466" spans="1:27" hidden="1"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27.7</v>
      </c>
      <c r="V466" s="13">
        <f>IF(ISNA(VLOOKUP(LOWER(F466)&amp;H466,Prices!A:C,2,0)),0,VLOOKUP(LOWER(F466)&amp;H466,Prices!A:C,2,0))</f>
        <v>27.22</v>
      </c>
      <c r="W466" s="13">
        <f t="shared" si="194"/>
        <v>-10775.487600000002</v>
      </c>
      <c r="X466" s="13">
        <f t="shared" si="195"/>
        <v>-240.00000000000023</v>
      </c>
      <c r="Y466" s="43">
        <f t="shared" si="189"/>
        <v>-0.44198062346185407</v>
      </c>
      <c r="Z466" s="49"/>
      <c r="AA466" s="24"/>
    </row>
    <row r="467" spans="1:27" hidden="1"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20.79</v>
      </c>
      <c r="V467" s="13">
        <f>IF(ISNA(VLOOKUP(LOWER(F467)&amp;H467,Prices!A:C,2,0)),0,VLOOKUP(LOWER(F467)&amp;H467,Prices!A:C,2,0))</f>
        <v>20.27</v>
      </c>
      <c r="W467" s="13">
        <f t="shared" si="194"/>
        <v>12794.451999999999</v>
      </c>
      <c r="X467" s="13">
        <f t="shared" si="195"/>
        <v>-1039.9999999999991</v>
      </c>
      <c r="Y467" s="43">
        <f t="shared" si="189"/>
        <v>0.46122754145638067</v>
      </c>
      <c r="Z467" s="49"/>
      <c r="AA467" s="24"/>
    </row>
    <row r="468" spans="1:27" hidden="1"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8.19</v>
      </c>
      <c r="V468" s="13">
        <f>IF(ISNA(VLOOKUP(LOWER(F468)&amp;H468,Prices!A:C,2,0)),0,VLOOKUP(LOWER(F468)&amp;H468,Prices!A:C,2,0))</f>
        <v>8.25</v>
      </c>
      <c r="W468" s="13">
        <f t="shared" si="194"/>
        <v>514.68039999999962</v>
      </c>
      <c r="X468" s="13">
        <f t="shared" si="195"/>
        <v>120.00000000000099</v>
      </c>
      <c r="Y468" s="43">
        <f t="shared" si="189"/>
        <v>3.2207784730913618E-2</v>
      </c>
      <c r="Z468" s="49"/>
      <c r="AA468" s="24"/>
    </row>
    <row r="469" spans="1:27" hidden="1"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8.19</v>
      </c>
      <c r="V469" s="13">
        <f>IF(ISNA(VLOOKUP(LOWER(F469)&amp;H469,Prices!A:C,2,0)),0,VLOOKUP(LOWER(F469)&amp;H469,Prices!A:C,2,0))</f>
        <v>8.25</v>
      </c>
      <c r="W469" s="13">
        <f t="shared" si="194"/>
        <v>494.67999999999893</v>
      </c>
      <c r="X469" s="13">
        <f t="shared" si="195"/>
        <v>120.00000000000099</v>
      </c>
      <c r="Y469" s="43">
        <f t="shared" si="189"/>
        <v>3.0917499999999935E-2</v>
      </c>
      <c r="Z469" s="49"/>
      <c r="AA469" s="24"/>
    </row>
    <row r="470" spans="1:27" hidden="1"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14.11</v>
      </c>
      <c r="V470" s="13">
        <f>IF(ISNA(VLOOKUP(LOWER(F470)&amp;H470,Prices!A:C,2,0)),0,VLOOKUP(LOWER(F470)&amp;H470,Prices!A:C,2,0))</f>
        <v>14.08</v>
      </c>
      <c r="W470" s="13">
        <f t="shared" si="194"/>
        <v>-4314.9999999999991</v>
      </c>
      <c r="X470" s="13">
        <f t="shared" si="195"/>
        <v>-29.999999999999361</v>
      </c>
      <c r="Y470" s="43">
        <f t="shared" si="189"/>
        <v>-0.23463839042958123</v>
      </c>
      <c r="Z470" s="49"/>
      <c r="AA470" s="24"/>
    </row>
    <row r="471" spans="1:27" hidden="1"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37.200000000000003</v>
      </c>
      <c r="V471" s="13">
        <f>IF(ISNA(VLOOKUP(LOWER(F471)&amp;H471,Prices!A:C,2,0)),0,VLOOKUP(LOWER(F471)&amp;H471,Prices!A:C,2,0))</f>
        <v>36.520000000000003</v>
      </c>
      <c r="W471" s="13">
        <f t="shared" si="194"/>
        <v>139.00000000000148</v>
      </c>
      <c r="X471" s="13">
        <f t="shared" si="195"/>
        <v>-203.99999999999991</v>
      </c>
      <c r="Y471" s="43">
        <f t="shared" si="189"/>
        <v>1.2856085830558776E-2</v>
      </c>
      <c r="Z471" s="49"/>
      <c r="AA471" s="24"/>
    </row>
    <row r="472" spans="1:27" hidden="1"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10.68</v>
      </c>
      <c r="V472" s="13">
        <f>IF(ISNA(VLOOKUP(LOWER(F472)&amp;H472,Prices!A:C,2,0)),0,VLOOKUP(LOWER(F472)&amp;H472,Prices!A:C,2,0))</f>
        <v>10.6</v>
      </c>
      <c r="W472" s="13">
        <f t="shared" si="194"/>
        <v>-1195.2358000000008</v>
      </c>
      <c r="X472" s="13">
        <f t="shared" si="195"/>
        <v>-80.000000000000071</v>
      </c>
      <c r="Y472" s="43">
        <f t="shared" si="189"/>
        <v>-0.10137708227311287</v>
      </c>
      <c r="Z472" s="49"/>
      <c r="AA472" s="24"/>
    </row>
    <row r="473" spans="1:27" hidden="1"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76.64</v>
      </c>
      <c r="V473" s="13">
        <f>IF(ISNA(VLOOKUP(LOWER(F473)&amp;H473,Prices!A:C,2,0)),0,VLOOKUP(LOWER(F473)&amp;H473,Prices!A:C,2,0))</f>
        <v>76.8</v>
      </c>
      <c r="W473" s="13">
        <f t="shared" si="194"/>
        <v>4320</v>
      </c>
      <c r="X473" s="13">
        <f t="shared" si="195"/>
        <v>15.999999999999659</v>
      </c>
      <c r="Y473" s="43">
        <f t="shared" si="189"/>
        <v>1.2876304023845009</v>
      </c>
      <c r="Z473" s="49"/>
      <c r="AA473" s="24"/>
    </row>
    <row r="474" spans="1:27" hidden="1"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114.93</v>
      </c>
      <c r="V474" s="13">
        <f>IF(ISNA(VLOOKUP(LOWER(F474)&amp;H474,Prices!A:C,2,0)),0,VLOOKUP(LOWER(F474)&amp;H474,Prices!A:C,2,0))</f>
        <v>110.57</v>
      </c>
      <c r="W474" s="13">
        <f t="shared" ref="W474:W488" si="201">IF(I474="B",(V474+T474)*K474,(V474+T474)*K474)</f>
        <v>-1436.1140799999987</v>
      </c>
      <c r="X474" s="13">
        <f t="shared" ref="X474:X488" si="202">K474*(V474-U474)</f>
        <v>872.00000000000273</v>
      </c>
      <c r="Y474" s="43">
        <f t="shared" si="189"/>
        <v>-6.9364088098918017E-2</v>
      </c>
      <c r="Z474" s="49"/>
      <c r="AA474" s="24"/>
    </row>
    <row r="475" spans="1:27" hidden="1"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20.79</v>
      </c>
      <c r="V475" s="13">
        <f>IF(ISNA(VLOOKUP(LOWER(F475)&amp;H475,Prices!A:C,2,0)),0,VLOOKUP(LOWER(F475)&amp;H475,Prices!A:C,2,0))</f>
        <v>20.27</v>
      </c>
      <c r="W475" s="13">
        <f t="shared" si="201"/>
        <v>-13432.567999999999</v>
      </c>
      <c r="X475" s="13">
        <f t="shared" si="202"/>
        <v>1039.9999999999991</v>
      </c>
      <c r="Y475" s="43">
        <f t="shared" si="189"/>
        <v>-0.49493618275607953</v>
      </c>
      <c r="Z475" s="49"/>
      <c r="AA475" s="24"/>
    </row>
    <row r="476" spans="1:27" hidden="1"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10.32</v>
      </c>
      <c r="V476" s="13">
        <f>IF(ISNA(VLOOKUP(LOWER(F476)&amp;H476,Prices!A:C,2,0)),0,VLOOKUP(LOWER(F476)&amp;H476,Prices!A:C,2,0))</f>
        <v>10.32</v>
      </c>
      <c r="W476" s="13">
        <f t="shared" si="201"/>
        <v>-16279.993999999999</v>
      </c>
      <c r="X476" s="13">
        <f t="shared" si="202"/>
        <v>0</v>
      </c>
      <c r="Y476" s="43">
        <f t="shared" si="189"/>
        <v>-1.1074825850340133</v>
      </c>
      <c r="Z476" s="49"/>
      <c r="AA476" s="24"/>
    </row>
    <row r="477" spans="1:27" hidden="1"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10.6</v>
      </c>
      <c r="V477" s="13">
        <f>IF(ISNA(VLOOKUP(LOWER(F477)&amp;H477,Prices!A:C,2,0)),0,VLOOKUP(LOWER(F477)&amp;H477,Prices!A:C,2,0))</f>
        <v>10.43</v>
      </c>
      <c r="W477" s="13">
        <f t="shared" si="201"/>
        <v>3665.4719999999943</v>
      </c>
      <c r="X477" s="13">
        <f t="shared" si="202"/>
        <v>679.99999999999977</v>
      </c>
      <c r="Y477" s="43">
        <f t="shared" si="189"/>
        <v>8.0666197183098462E-2</v>
      </c>
      <c r="Z477" s="49"/>
      <c r="AA477" s="24"/>
    </row>
    <row r="478" spans="1:27" hidden="1"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76.64</v>
      </c>
      <c r="V478" s="13">
        <f>IF(ISNA(VLOOKUP(LOWER(F478)&amp;H478,Prices!A:C,2,0)),0,VLOOKUP(LOWER(F478)&amp;H478,Prices!A:C,2,0))</f>
        <v>76.8</v>
      </c>
      <c r="W478" s="13">
        <f t="shared" si="201"/>
        <v>-4469.2199999999993</v>
      </c>
      <c r="X478" s="13">
        <f t="shared" si="202"/>
        <v>-15.999999999999659</v>
      </c>
      <c r="Y478" s="43">
        <f t="shared" si="189"/>
        <v>-1.3883876980428702</v>
      </c>
      <c r="Z478" s="49"/>
      <c r="AA478" s="24"/>
    </row>
    <row r="479" spans="1:27" hidden="1"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27.7</v>
      </c>
      <c r="V479" s="13">
        <f>IF(ISNA(VLOOKUP(LOWER(F479)&amp;H479,Prices!A:C,2,0)),0,VLOOKUP(LOWER(F479)&amp;H479,Prices!A:C,2,0))</f>
        <v>27.22</v>
      </c>
      <c r="W479" s="13">
        <f t="shared" si="201"/>
        <v>10000.887200000001</v>
      </c>
      <c r="X479" s="13">
        <f t="shared" si="202"/>
        <v>240.00000000000023</v>
      </c>
      <c r="Y479" s="43">
        <f>W479/O479</f>
        <v>0.42304937394247044</v>
      </c>
      <c r="Z479" s="49"/>
      <c r="AA479" s="24"/>
    </row>
    <row r="480" spans="1:27" hidden="1"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9.33</v>
      </c>
      <c r="V480" s="13">
        <f>IF(ISNA(VLOOKUP(LOWER(F480)&amp;H480,Prices!A:C,2,0)),0,VLOOKUP(LOWER(F480)&amp;H480,Prices!A:C,2,0))</f>
        <v>9.64</v>
      </c>
      <c r="W480" s="13">
        <f t="shared" si="201"/>
        <v>9462.4646000000012</v>
      </c>
      <c r="X480" s="13">
        <f t="shared" si="202"/>
        <v>-620.00000000000102</v>
      </c>
      <c r="Y480" s="43">
        <f>W480/O480</f>
        <v>0.32882039823470138</v>
      </c>
      <c r="Z480" s="49"/>
      <c r="AA480" s="24"/>
    </row>
    <row r="481" spans="1:27" hidden="1"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37.200000000000003</v>
      </c>
      <c r="V481" s="13">
        <f>IF(ISNA(VLOOKUP(LOWER(F481)&amp;H481,Prices!A:C,2,0)),0,VLOOKUP(LOWER(F481)&amp;H481,Prices!A:C,2,0))</f>
        <v>36.520000000000003</v>
      </c>
      <c r="W481" s="13">
        <f t="shared" si="201"/>
        <v>-389.58000000010031</v>
      </c>
      <c r="X481" s="13">
        <f t="shared" si="202"/>
        <v>203.99999999999991</v>
      </c>
      <c r="Y481" s="43">
        <f t="shared" si="189"/>
        <v>-3.6815346815356642E-2</v>
      </c>
      <c r="Z481" s="49"/>
      <c r="AA481" s="24"/>
    </row>
    <row r="482" spans="1:27" hidden="1"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hidden="1"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10.68</v>
      </c>
      <c r="V483" s="13">
        <f>IF(ISNA(VLOOKUP(LOWER(F483)&amp;H483,Prices!A:C,2,0)),0,VLOOKUP(LOWER(F483)&amp;H483,Prices!A:C,2,0))</f>
        <v>10.6</v>
      </c>
      <c r="W483" s="13">
        <f t="shared" si="201"/>
        <v>963.18840000000171</v>
      </c>
      <c r="X483" s="13">
        <f t="shared" si="202"/>
        <v>80.000000000000071</v>
      </c>
      <c r="Y483" s="43">
        <f t="shared" si="189"/>
        <v>8.3176891191709998E-2</v>
      </c>
      <c r="Z483" s="49"/>
      <c r="AA483" s="24"/>
    </row>
    <row r="484" spans="1:27" hidden="1"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8.19</v>
      </c>
      <c r="V484" s="13">
        <f>IF(ISNA(VLOOKUP(LOWER(F484)&amp;H484,Prices!A:C,2,0)),0,VLOOKUP(LOWER(F484)&amp;H484,Prices!A:C,2,0))</f>
        <v>8.25</v>
      </c>
      <c r="W484" s="13">
        <f t="shared" si="201"/>
        <v>-1718.2104000000002</v>
      </c>
      <c r="X484" s="13">
        <f t="shared" si="202"/>
        <v>-240.00000000000199</v>
      </c>
      <c r="Y484" s="43">
        <f t="shared" si="189"/>
        <v>-5.4859846743295027E-2</v>
      </c>
      <c r="Z484" s="49"/>
      <c r="AA484" s="24"/>
    </row>
    <row r="485" spans="1:27" hidden="1"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73.09</v>
      </c>
      <c r="V485" s="13">
        <f>IF(ISNA(VLOOKUP(LOWER(F485)&amp;H485,Prices!A:C,2,0)),0,VLOOKUP(LOWER(F485)&amp;H485,Prices!A:C,2,0))</f>
        <v>73.459999999999994</v>
      </c>
      <c r="W485" s="13">
        <f t="shared" si="201"/>
        <v>-29003.411999999997</v>
      </c>
      <c r="X485" s="13">
        <f t="shared" si="202"/>
        <v>-369.99999999999034</v>
      </c>
      <c r="Y485" s="43">
        <f t="shared" si="189"/>
        <v>-0.65161563693552005</v>
      </c>
      <c r="Z485" s="49"/>
      <c r="AA485" s="24"/>
    </row>
    <row r="486" spans="1:27" hidden="1"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14.11</v>
      </c>
      <c r="V486" s="13">
        <f>IF(ISNA(VLOOKUP(LOWER(F486)&amp;H486,Prices!A:C,2,0)),0,VLOOKUP(LOWER(F486)&amp;H486,Prices!A:C,2,0))</f>
        <v>14.08</v>
      </c>
      <c r="W486" s="13">
        <f t="shared" si="201"/>
        <v>4056.8399999999992</v>
      </c>
      <c r="X486" s="13">
        <f t="shared" si="202"/>
        <v>29.999999999999361</v>
      </c>
      <c r="Y486" s="43">
        <f t="shared" si="189"/>
        <v>0.22339427312775326</v>
      </c>
      <c r="Z486" s="49"/>
      <c r="AA486" s="24"/>
    </row>
    <row r="487" spans="1:27" hidden="1"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20.170000000000002</v>
      </c>
      <c r="V487" s="13">
        <f>IF(ISNA(VLOOKUP(LOWER(F487)&amp;H487,Prices!A:C,2,0)),0,VLOOKUP(LOWER(F487)&amp;H487,Prices!A:C,2,0))</f>
        <v>19.829999999999998</v>
      </c>
      <c r="W487" s="13">
        <f t="shared" si="201"/>
        <v>6108.9500000000035</v>
      </c>
      <c r="X487" s="13">
        <f t="shared" si="202"/>
        <v>170.00000000000171</v>
      </c>
      <c r="Y487" s="43">
        <f t="shared" si="189"/>
        <v>0.38073854783421646</v>
      </c>
      <c r="Z487" s="49"/>
      <c r="AA487" s="24"/>
    </row>
    <row r="488" spans="1:27" hidden="1"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20.170000000000002</v>
      </c>
      <c r="V488" s="13">
        <f>IF(ISNA(VLOOKUP(LOWER(F488)&amp;H488,Prices!A:C,2,0)),0,VLOOKUP(LOWER(F488)&amp;H488,Prices!A:C,2,0))</f>
        <v>19.829999999999998</v>
      </c>
      <c r="W488" s="13">
        <f t="shared" si="201"/>
        <v>6004.06</v>
      </c>
      <c r="X488" s="13">
        <f t="shared" si="202"/>
        <v>170.00000000000171</v>
      </c>
      <c r="Y488" s="43">
        <f t="shared" si="189"/>
        <v>0.37666624843161861</v>
      </c>
      <c r="Z488" s="49"/>
      <c r="AA488" s="24"/>
    </row>
    <row r="489" spans="1:27" hidden="1"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9.91</v>
      </c>
      <c r="V489" s="13">
        <f>IF(ISNA(VLOOKUP(LOWER(F489)&amp;H489,Prices!A:C,2,0)),0,VLOOKUP(LOWER(F489)&amp;H489,Prices!A:C,2,0))</f>
        <v>10.11</v>
      </c>
      <c r="W489" s="13">
        <f t="shared" ref="W489:W494" si="207">IF(I489="B",(V489+T489)*K489,(V489+T489)*K489)</f>
        <v>-10190</v>
      </c>
      <c r="X489" s="13">
        <f t="shared" ref="X489:X494" si="208">K489*(V489-U489)</f>
        <v>139.99999999999949</v>
      </c>
      <c r="Y489" s="43">
        <f t="shared" ref="Y489:Y494" si="209">W489/O489</f>
        <v>-0.5903139844745684</v>
      </c>
      <c r="Z489" s="49"/>
      <c r="AA489" s="24"/>
    </row>
    <row r="490" spans="1:27" hidden="1"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23.55</v>
      </c>
      <c r="V490" s="13">
        <f>IF(ISNA(VLOOKUP(LOWER(F490)&amp;H490,Prices!A:C,2,0)),0,VLOOKUP(LOWER(F490)&amp;H490,Prices!A:C,2,0))</f>
        <v>23.19</v>
      </c>
      <c r="W490" s="13">
        <f t="shared" si="207"/>
        <v>-2981</v>
      </c>
      <c r="X490" s="13">
        <f t="shared" si="208"/>
        <v>-215.99999999999966</v>
      </c>
      <c r="Y490" s="43">
        <f t="shared" si="209"/>
        <v>-0.17649496743635287</v>
      </c>
      <c r="Z490" s="49"/>
      <c r="AA490" s="24"/>
    </row>
    <row r="491" spans="1:27" hidden="1"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71.819999999999993</v>
      </c>
      <c r="V491" s="13">
        <f>IF(ISNA(VLOOKUP(LOWER(F491)&amp;H491,Prices!A:C,2,0)),0,VLOOKUP(LOWER(F491)&amp;H491,Prices!A:C,2,0))</f>
        <v>71.8</v>
      </c>
      <c r="W491" s="13">
        <f t="shared" si="207"/>
        <v>1193</v>
      </c>
      <c r="X491" s="13">
        <f t="shared" si="208"/>
        <v>-1.9999999999996021</v>
      </c>
      <c r="Y491" s="43">
        <f t="shared" si="209"/>
        <v>0.19943162821798729</v>
      </c>
      <c r="Z491" s="49"/>
      <c r="AA491" s="24"/>
    </row>
    <row r="492" spans="1:27" hidden="1"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16.34</v>
      </c>
      <c r="V492" s="13">
        <f>IF(ISNA(VLOOKUP(LOWER(F492)&amp;H492,Prices!A:C,2,0)),0,VLOOKUP(LOWER(F492)&amp;H492,Prices!A:C,2,0))</f>
        <v>16.3</v>
      </c>
      <c r="W492" s="13">
        <f t="shared" si="207"/>
        <v>-1465.1595999999997</v>
      </c>
      <c r="X492" s="13">
        <f t="shared" si="208"/>
        <v>-15.999999999999659</v>
      </c>
      <c r="Y492" s="43">
        <f t="shared" si="209"/>
        <v>-0.18360395989974934</v>
      </c>
      <c r="Z492" s="49"/>
      <c r="AA492" s="24"/>
    </row>
    <row r="493" spans="1:27" hidden="1"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10.86</v>
      </c>
      <c r="V493" s="13">
        <f>IF(ISNA(VLOOKUP(LOWER(F493)&amp;H493,Prices!A:C,2,0)),0,VLOOKUP(LOWER(F493)&amp;H493,Prices!A:C,2,0))</f>
        <v>10.76</v>
      </c>
      <c r="W493" s="13">
        <f t="shared" si="207"/>
        <v>-503.07452000000035</v>
      </c>
      <c r="X493" s="13">
        <f t="shared" si="208"/>
        <v>-29.999999999999893</v>
      </c>
      <c r="Y493" s="43">
        <f t="shared" si="209"/>
        <v>-0.13501731615673654</v>
      </c>
      <c r="Z493" s="49"/>
      <c r="AA493" s="24"/>
    </row>
    <row r="494" spans="1:27" hidden="1"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9.91</v>
      </c>
      <c r="V494" s="13">
        <f>IF(ISNA(VLOOKUP(LOWER(F494)&amp;H494,Prices!A:C,2,0)),0,VLOOKUP(LOWER(F494)&amp;H494,Prices!A:C,2,0))</f>
        <v>10.11</v>
      </c>
      <c r="W494" s="13">
        <f t="shared" si="207"/>
        <v>10295.599999999999</v>
      </c>
      <c r="X494" s="13">
        <f t="shared" si="208"/>
        <v>-139.99999999999949</v>
      </c>
      <c r="Y494" s="43">
        <f t="shared" si="209"/>
        <v>0.59187122736418507</v>
      </c>
      <c r="Z494" s="49"/>
      <c r="AA494" s="24"/>
    </row>
    <row r="495" spans="1:27" hidden="1"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23.55</v>
      </c>
      <c r="V495" s="13">
        <f>IF(ISNA(VLOOKUP(LOWER(F495)&amp;H495,Prices!A:C,2,0)),0,VLOOKUP(LOWER(F495)&amp;H495,Prices!A:C,2,0))</f>
        <v>23.19</v>
      </c>
      <c r="W495" s="13">
        <f t="shared" ref="W495:W504" si="214">IF(I495="B",(V495+T495)*K495,(V495+T495)*K495)</f>
        <v>2546.5199999999995</v>
      </c>
      <c r="X495" s="13">
        <f t="shared" ref="X495:X504" si="215">K495*(V495-U495)</f>
        <v>215.99999999999966</v>
      </c>
      <c r="Y495" s="43">
        <f t="shared" ref="Y495:Y504" si="216">W495/O495</f>
        <v>0.15450309428467415</v>
      </c>
      <c r="Z495" s="49"/>
      <c r="AA495" s="24"/>
    </row>
    <row r="496" spans="1:27" hidden="1"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10.86</v>
      </c>
      <c r="V496" s="13">
        <f>IF(ISNA(VLOOKUP(LOWER(F496)&amp;H496,Prices!A:C,2,0)),0,VLOOKUP(LOWER(F496)&amp;H496,Prices!A:C,2,0))</f>
        <v>10.76</v>
      </c>
      <c r="W496" s="13">
        <f t="shared" si="214"/>
        <v>435.25655999999981</v>
      </c>
      <c r="X496" s="13">
        <f t="shared" si="215"/>
        <v>29.999999999999893</v>
      </c>
      <c r="Y496" s="43">
        <f t="shared" si="216"/>
        <v>0.1185339215686274</v>
      </c>
      <c r="Z496" s="49"/>
      <c r="AA496" s="24"/>
    </row>
    <row r="497" spans="1:27" hidden="1"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16.34</v>
      </c>
      <c r="V497" s="13">
        <f>IF(ISNA(VLOOKUP(LOWER(F497)&amp;H497,Prices!A:C,2,0)),0,VLOOKUP(LOWER(F497)&amp;H497,Prices!A:C,2,0))</f>
        <v>16.3</v>
      </c>
      <c r="W497" s="13">
        <f t="shared" si="214"/>
        <v>1354.9522399999987</v>
      </c>
      <c r="X497" s="13">
        <f t="shared" si="215"/>
        <v>15.999999999999659</v>
      </c>
      <c r="Y497" s="43">
        <f t="shared" si="216"/>
        <v>0.17177386409736292</v>
      </c>
      <c r="Z497" s="49"/>
      <c r="AA497" s="24"/>
    </row>
    <row r="498" spans="1:27" hidden="1"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71.819999999999993</v>
      </c>
      <c r="V498" s="13">
        <f>IF(ISNA(VLOOKUP(LOWER(F498)&amp;H498,Prices!A:C,2,0)),0,VLOOKUP(LOWER(F498)&amp;H498,Prices!A:C,2,0))</f>
        <v>71.8</v>
      </c>
      <c r="W498" s="13">
        <f t="shared" si="214"/>
        <v>-1240.9499999999994</v>
      </c>
      <c r="X498" s="13">
        <f t="shared" si="215"/>
        <v>1.9999999999996021</v>
      </c>
      <c r="Y498" s="43">
        <f t="shared" si="216"/>
        <v>-0.20856302521008394</v>
      </c>
      <c r="Z498" s="49"/>
      <c r="AA498" s="24"/>
    </row>
    <row r="499" spans="1:27" hidden="1"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hidden="1"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53.7</v>
      </c>
      <c r="V500" s="13">
        <f>IF(ISNA(VLOOKUP(LOWER(F500)&amp;H500,Prices!A:C,2,0)),0,VLOOKUP(LOWER(F500)&amp;H500,Prices!A:C,2,0))</f>
        <v>55.26</v>
      </c>
      <c r="W500" s="13">
        <f t="shared" si="214"/>
        <v>29254.799999999996</v>
      </c>
      <c r="X500" s="13">
        <f t="shared" si="215"/>
        <v>1559.9999999999952</v>
      </c>
      <c r="Y500" s="43">
        <f t="shared" si="216"/>
        <v>1.1251846153846152</v>
      </c>
      <c r="Z500" s="49"/>
      <c r="AA500" s="24"/>
    </row>
    <row r="501" spans="1:27" hidden="1"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53.7</v>
      </c>
      <c r="V501" s="13">
        <f>IF(ISNA(VLOOKUP(LOWER(F501)&amp;H501,Prices!A:C,2,0)),0,VLOOKUP(LOWER(F501)&amp;H501,Prices!A:C,2,0))</f>
        <v>55.26</v>
      </c>
      <c r="W501" s="13">
        <f t="shared" si="214"/>
        <v>29224.793999999998</v>
      </c>
      <c r="X501" s="13">
        <f t="shared" si="215"/>
        <v>1559.9999999999952</v>
      </c>
      <c r="Y501" s="43">
        <f t="shared" si="216"/>
        <v>1.1227350749135612</v>
      </c>
      <c r="Z501" s="49"/>
      <c r="AA501" s="24"/>
    </row>
    <row r="502" spans="1:27" hidden="1"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hidden="1"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28.04</v>
      </c>
      <c r="V503" s="13">
        <f>IF(ISNA(VLOOKUP(LOWER(F503)&amp;H503,Prices!A:C,2,0)),0,VLOOKUP(LOWER(F503)&amp;H503,Prices!A:C,2,0))</f>
        <v>27.94</v>
      </c>
      <c r="W503" s="13">
        <f t="shared" si="214"/>
        <v>16171.265999999996</v>
      </c>
      <c r="X503" s="13">
        <f t="shared" si="215"/>
        <v>-199.99999999999574</v>
      </c>
      <c r="Y503" s="43">
        <f t="shared" si="216"/>
        <v>0.40733667506297216</v>
      </c>
      <c r="Z503" s="49"/>
      <c r="AA503" s="24"/>
    </row>
    <row r="504" spans="1:27" hidden="1"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36.950000000000003</v>
      </c>
      <c r="V504" s="13">
        <f>IF(ISNA(VLOOKUP(LOWER(F504)&amp;H504,Prices!A:C,2,0)),0,VLOOKUP(LOWER(F504)&amp;H504,Prices!A:C,2,0))</f>
        <v>37.200000000000003</v>
      </c>
      <c r="W504" s="13">
        <f t="shared" si="214"/>
        <v>14965.000000000004</v>
      </c>
      <c r="X504" s="13">
        <f t="shared" si="215"/>
        <v>250</v>
      </c>
      <c r="Y504" s="43">
        <f t="shared" si="216"/>
        <v>0.6731893837156997</v>
      </c>
      <c r="Z504" s="49"/>
      <c r="AA504" s="24"/>
    </row>
    <row r="505" spans="1:27" hidden="1"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28.04</v>
      </c>
      <c r="V505" s="13">
        <f>IF(ISNA(VLOOKUP(LOWER(F505)&amp;H505,Prices!A:C,2,0)),0,VLOOKUP(LOWER(F505)&amp;H505,Prices!A:C,2,0))</f>
        <v>27.94</v>
      </c>
      <c r="W505" s="13">
        <f>IF(I505="B",(V505+T505)*K505,(V505+T505)*K505)</f>
        <v>-16228.434000000007</v>
      </c>
      <c r="X505" s="13">
        <f>K505*(V505-U505)</f>
        <v>199.99999999999574</v>
      </c>
      <c r="Y505" s="43">
        <f>W505/O505</f>
        <v>-0.40877667506297244</v>
      </c>
      <c r="Z505" s="49"/>
      <c r="AA505" s="24"/>
    </row>
    <row r="506" spans="1:27" hidden="1"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11.15</v>
      </c>
      <c r="V506" s="13">
        <f>IF(ISNA(VLOOKUP(LOWER(F506)&amp;H506,Prices!A:C,2,0)),0,VLOOKUP(LOWER(F506)&amp;H506,Prices!A:C,2,0))</f>
        <v>10.99</v>
      </c>
      <c r="W506" s="13">
        <f>IF(I506="B",(V506+T506)*K506,(V506+T506)*K506)</f>
        <v>-15727.54</v>
      </c>
      <c r="X506" s="13">
        <f>K506*(V506-U506)</f>
        <v>-320.00000000000028</v>
      </c>
      <c r="Y506" s="43">
        <f>W506/O506</f>
        <v>-0.41717612732095494</v>
      </c>
      <c r="Z506" s="49"/>
      <c r="AA506" s="24"/>
    </row>
    <row r="507" spans="1:27" hidden="1"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hidden="1"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36.950000000000003</v>
      </c>
      <c r="V508" s="13">
        <f>IF(ISNA(VLOOKUP(LOWER(F508)&amp;H508,Prices!A:C,2,0)),0,VLOOKUP(LOWER(F508)&amp;H508,Prices!A:C,2,0))</f>
        <v>37.200000000000003</v>
      </c>
      <c r="W508" s="13">
        <f>IF(I508="B",(V508+T508)*K508,(V508+T508)*K508)</f>
        <v>-15147.080000000005</v>
      </c>
      <c r="X508" s="13">
        <f>K508*(V508-U508)</f>
        <v>-250</v>
      </c>
      <c r="Y508" s="43">
        <f>W508/O508</f>
        <v>-0.68600905797101475</v>
      </c>
      <c r="Z508" s="49"/>
      <c r="AA508" s="24"/>
    </row>
    <row r="509" spans="1:27" hidden="1"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53.7</v>
      </c>
      <c r="V509" s="13">
        <f>IF(ISNA(VLOOKUP(LOWER(F509)&amp;H509,Prices!A:C,2,0)),0,VLOOKUP(LOWER(F509)&amp;H509,Prices!A:C,2,0))</f>
        <v>55.26</v>
      </c>
      <c r="W509" s="13">
        <f>IF(I509="B",(V509+T509)*K509,(V509+T509)*K509)</f>
        <v>-58462.544000000002</v>
      </c>
      <c r="X509" s="13">
        <f>K509*(V509-U509)</f>
        <v>-3119.9999999999905</v>
      </c>
      <c r="Y509" s="43">
        <f>W509/O509</f>
        <v>-1.1216911742133537</v>
      </c>
      <c r="Z509" s="49"/>
      <c r="AA509" s="24"/>
    </row>
    <row r="510" spans="1:27" hidden="1"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11.15</v>
      </c>
      <c r="V510" s="13">
        <f>IF(ISNA(VLOOKUP(LOWER(F510)&amp;H510,Prices!A:C,2,0)),0,VLOOKUP(LOWER(F510)&amp;H510,Prices!A:C,2,0))</f>
        <v>10.99</v>
      </c>
      <c r="W510" s="13">
        <f t="shared" ref="W510:W516" si="221">IF(I510="B",(V510+T510)*K510,(V510+T510)*K510)</f>
        <v>16174.160000000003</v>
      </c>
      <c r="X510" s="13">
        <f t="shared" ref="X510:X516" si="222">K510*(V510-U510)</f>
        <v>320.00000000000028</v>
      </c>
      <c r="Y510" s="43">
        <f t="shared" ref="Y510:Y516" si="223">W510/O510</f>
        <v>0.423407329842932</v>
      </c>
      <c r="Z510" s="49"/>
      <c r="AA510" s="24"/>
    </row>
    <row r="511" spans="1:27" hidden="1"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29.6</v>
      </c>
      <c r="V511" s="13">
        <f>IF(ISNA(VLOOKUP(LOWER(F511)&amp;H511,Prices!A:C,2,0)),0,VLOOKUP(LOWER(F511)&amp;H511,Prices!A:C,2,0))</f>
        <v>30.47</v>
      </c>
      <c r="W511" s="13">
        <f t="shared" si="221"/>
        <v>51679.869999999981</v>
      </c>
      <c r="X511" s="13">
        <f t="shared" si="222"/>
        <v>4349.9999999999873</v>
      </c>
      <c r="Y511" s="43">
        <f t="shared" si="223"/>
        <v>0.51346120218579216</v>
      </c>
      <c r="Z511" s="49"/>
      <c r="AA511" s="24"/>
    </row>
    <row r="512" spans="1:27" hidden="1"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29.6</v>
      </c>
      <c r="V512" s="13">
        <f>IF(ISNA(VLOOKUP(LOWER(F512)&amp;H512,Prices!A:C,2,0)),0,VLOOKUP(LOWER(F512)&amp;H512,Prices!A:C,2,0))</f>
        <v>30.47</v>
      </c>
      <c r="W512" s="13">
        <f t="shared" si="221"/>
        <v>30857.892</v>
      </c>
      <c r="X512" s="13">
        <f t="shared" si="222"/>
        <v>2609.9999999999923</v>
      </c>
      <c r="Y512" s="43">
        <f t="shared" si="223"/>
        <v>0.50971080277502478</v>
      </c>
      <c r="Z512" s="49"/>
      <c r="AA512" s="24"/>
    </row>
    <row r="513" spans="1:27" hidden="1"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hidden="1"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6.18</v>
      </c>
      <c r="V514" s="13">
        <f>IF(ISNA(VLOOKUP(LOWER(F514)&amp;H514,Prices!A:C,2,0)),0,VLOOKUP(LOWER(F514)&amp;H514,Prices!A:C,2,0))</f>
        <v>6.12</v>
      </c>
      <c r="W514" s="13">
        <f t="shared" si="221"/>
        <v>-1225.2691999999997</v>
      </c>
      <c r="X514" s="13">
        <f t="shared" si="222"/>
        <v>-119.99999999999922</v>
      </c>
      <c r="Y514" s="43">
        <f t="shared" si="223"/>
        <v>-9.1030401188707255E-2</v>
      </c>
      <c r="Z514" s="49" t="s">
        <v>1473</v>
      </c>
      <c r="AA514" s="24"/>
    </row>
    <row r="515" spans="1:27" hidden="1"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6.18</v>
      </c>
      <c r="V515" s="13">
        <f>IF(ISNA(VLOOKUP(LOWER(F515)&amp;H515,Prices!A:C,2,0)),0,VLOOKUP(LOWER(F515)&amp;H515,Prices!A:C,2,0))</f>
        <v>6.12</v>
      </c>
      <c r="W515" s="13">
        <f t="shared" si="221"/>
        <v>-1085.2664</v>
      </c>
      <c r="X515" s="13">
        <f t="shared" si="222"/>
        <v>-119.99999999999922</v>
      </c>
      <c r="Y515" s="43">
        <f t="shared" si="223"/>
        <v>-8.1476456456456459E-2</v>
      </c>
      <c r="Z515" s="49"/>
      <c r="AA515" s="24"/>
    </row>
    <row r="516" spans="1:27" hidden="1"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7.07</v>
      </c>
      <c r="V516" s="13">
        <f>IF(ISNA(VLOOKUP(LOWER(F516)&amp;H516,Prices!A:C,2,0)),0,VLOOKUP(LOWER(F516)&amp;H516,Prices!A:C,2,0))</f>
        <v>7.02</v>
      </c>
      <c r="W516" s="13">
        <f t="shared" si="221"/>
        <v>-21008.411999999997</v>
      </c>
      <c r="X516" s="13">
        <f t="shared" si="222"/>
        <v>-150.00000000000213</v>
      </c>
      <c r="Y516" s="43">
        <f t="shared" si="223"/>
        <v>-0.49948673323823101</v>
      </c>
      <c r="Z516" s="49" t="s">
        <v>1474</v>
      </c>
      <c r="AA516" s="24"/>
    </row>
    <row r="517" spans="1:27" hidden="1"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hidden="1"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6.18</v>
      </c>
      <c r="V518" s="13">
        <f>IF(ISNA(VLOOKUP(LOWER(F518)&amp;H518,Prices!A:C,2,0)),0,VLOOKUP(LOWER(F518)&amp;H518,Prices!A:C,2,0))</f>
        <v>6.12</v>
      </c>
      <c r="W518" s="13">
        <f t="shared" si="231"/>
        <v>2646.8647999999994</v>
      </c>
      <c r="X518" s="13">
        <f t="shared" si="232"/>
        <v>239.99999999999844</v>
      </c>
      <c r="Y518" s="43">
        <f t="shared" si="233"/>
        <v>9.745452135493371E-2</v>
      </c>
      <c r="Z518" s="49"/>
      <c r="AA518" s="24"/>
    </row>
    <row r="519" spans="1:27" hidden="1"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29.6</v>
      </c>
      <c r="V519" s="13">
        <f>IF(ISNA(VLOOKUP(LOWER(F519)&amp;H519,Prices!A:C,2,0)),0,VLOOKUP(LOWER(F519)&amp;H519,Prices!A:C,2,0))</f>
        <v>30.47</v>
      </c>
      <c r="W519" s="13">
        <f t="shared" si="231"/>
        <v>-41576.479999999989</v>
      </c>
      <c r="X519" s="13">
        <f t="shared" si="232"/>
        <v>-3479.99999999999</v>
      </c>
      <c r="Y519" s="43">
        <f t="shared" si="233"/>
        <v>-0.51712039800995013</v>
      </c>
      <c r="Z519" s="49"/>
      <c r="AA519" s="24"/>
    </row>
    <row r="520" spans="1:27" hidden="1"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40.299999999999997</v>
      </c>
      <c r="V520" s="13">
        <f>IF(ISNA(VLOOKUP(LOWER(F520)&amp;H520,Prices!A:C,2,0)),0,VLOOKUP(LOWER(F520)&amp;H520,Prices!A:C,2,0))</f>
        <v>39.700000000000003</v>
      </c>
      <c r="W520" s="13">
        <f t="shared" si="231"/>
        <v>-5308.9999999999973</v>
      </c>
      <c r="X520" s="13">
        <f t="shared" si="232"/>
        <v>-599.99999999999432</v>
      </c>
      <c r="Y520" s="43">
        <f t="shared" si="233"/>
        <v>-0.11797777777777772</v>
      </c>
      <c r="Z520" s="49"/>
      <c r="AA520" s="24"/>
    </row>
    <row r="521" spans="1:27" hidden="1"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20.170000000000002</v>
      </c>
      <c r="V521" s="13">
        <f>IF(ISNA(VLOOKUP(LOWER(F521)&amp;H521,Prices!A:C,2,0)),0,VLOOKUP(LOWER(F521)&amp;H521,Prices!A:C,2,0))</f>
        <v>19.829999999999998</v>
      </c>
      <c r="W521" s="13">
        <f t="shared" si="231"/>
        <v>-6975.3600000000024</v>
      </c>
      <c r="X521" s="13">
        <f t="shared" si="232"/>
        <v>-340.00000000000341</v>
      </c>
      <c r="Y521" s="43">
        <f t="shared" si="233"/>
        <v>-0.26027462686567171</v>
      </c>
      <c r="Z521" s="49"/>
      <c r="AA521" s="24"/>
    </row>
    <row r="522" spans="1:27" hidden="1"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40.299999999999997</v>
      </c>
      <c r="V522" s="13">
        <f>IF(ISNA(VLOOKUP(LOWER(F522)&amp;H522,Prices!A:C,2,0)),0,VLOOKUP(LOWER(F522)&amp;H522,Prices!A:C,2,0))</f>
        <v>39.700000000000003</v>
      </c>
      <c r="W522" s="13">
        <f t="shared" si="231"/>
        <v>-5248.9879999999976</v>
      </c>
      <c r="X522" s="13">
        <f t="shared" si="232"/>
        <v>-599.99999999999432</v>
      </c>
      <c r="Y522" s="43">
        <f t="shared" si="233"/>
        <v>-0.11679991099243431</v>
      </c>
      <c r="Z522" s="49"/>
      <c r="AA522" s="24"/>
    </row>
    <row r="523" spans="1:27" hidden="1"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20.170000000000002</v>
      </c>
      <c r="V523" s="13">
        <f>IF(ISNA(VLOOKUP(LOWER(F523)&amp;H523,Prices!A:C,2,0)),0,VLOOKUP(LOWER(F523)&amp;H523,Prices!A:C,2,0))</f>
        <v>19.829999999999998</v>
      </c>
      <c r="W523" s="13">
        <f t="shared" si="231"/>
        <v>-6755.3160000000007</v>
      </c>
      <c r="X523" s="13">
        <f t="shared" si="232"/>
        <v>-340.00000000000341</v>
      </c>
      <c r="Y523" s="43">
        <f t="shared" si="233"/>
        <v>-0.2541503386004515</v>
      </c>
      <c r="Z523" s="49"/>
      <c r="AA523" s="24"/>
    </row>
    <row r="524" spans="1:27" hidden="1"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40.299999999999997</v>
      </c>
      <c r="V524" s="13">
        <f>IF(ISNA(VLOOKUP(LOWER(F524)&amp;H524,Prices!A:C,2,0)),0,VLOOKUP(LOWER(F524)&amp;H524,Prices!A:C,2,0))</f>
        <v>39.700000000000003</v>
      </c>
      <c r="W524" s="13">
        <f t="shared" si="231"/>
        <v>-5429.0239999999985</v>
      </c>
      <c r="X524" s="13">
        <f t="shared" si="232"/>
        <v>-599.99999999999432</v>
      </c>
      <c r="Y524" s="43">
        <f t="shared" si="233"/>
        <v>-0.12032411347517727</v>
      </c>
      <c r="Z524" s="49"/>
      <c r="AA524" s="24"/>
    </row>
    <row r="525" spans="1:27" hidden="1"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20.170000000000002</v>
      </c>
      <c r="V525" s="13">
        <f>IF(ISNA(VLOOKUP(LOWER(F525)&amp;H525,Prices!A:C,2,0)),0,VLOOKUP(LOWER(F525)&amp;H525,Prices!A:C,2,0))</f>
        <v>19.829999999999998</v>
      </c>
      <c r="W525" s="13">
        <f t="shared" si="231"/>
        <v>-6635.2920000000031</v>
      </c>
      <c r="X525" s="13">
        <f t="shared" si="232"/>
        <v>-340.00000000000341</v>
      </c>
      <c r="Y525" s="43">
        <f t="shared" si="233"/>
        <v>-0.25076689342403641</v>
      </c>
      <c r="Z525" s="49"/>
      <c r="AA525" s="24"/>
    </row>
    <row r="526" spans="1:27" hidden="1"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23.34</v>
      </c>
      <c r="V526" s="13">
        <f>IF(ISNA(VLOOKUP(LOWER(F526)&amp;H526,Prices!A:C,2,0)),0,VLOOKUP(LOWER(F526)&amp;H526,Prices!A:C,2,0))</f>
        <v>23.28</v>
      </c>
      <c r="W526" s="13">
        <f t="shared" si="231"/>
        <v>4490.7468000000035</v>
      </c>
      <c r="X526" s="13">
        <f t="shared" si="232"/>
        <v>-119.99999999999744</v>
      </c>
      <c r="Y526" s="43">
        <f t="shared" si="233"/>
        <v>0.10677001426533532</v>
      </c>
      <c r="Z526" s="49"/>
      <c r="AA526" s="24"/>
    </row>
    <row r="527" spans="1:27" hidden="1"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23.34</v>
      </c>
      <c r="V527" s="13">
        <f>IF(ISNA(VLOOKUP(LOWER(F527)&amp;H527,Prices!A:C,2,0)),0,VLOOKUP(LOWER(F527)&amp;H527,Prices!A:C,2,0))</f>
        <v>23.28</v>
      </c>
      <c r="W527" s="13">
        <f t="shared" si="231"/>
        <v>4390.7248000000009</v>
      </c>
      <c r="X527" s="13">
        <f t="shared" si="232"/>
        <v>-119.99999999999744</v>
      </c>
      <c r="Y527" s="43">
        <f t="shared" si="233"/>
        <v>0.1041443263757116</v>
      </c>
      <c r="Z527" s="49"/>
      <c r="AA527" s="24"/>
    </row>
    <row r="528" spans="1:27" hidden="1"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7.07</v>
      </c>
      <c r="V528" s="13">
        <f>IF(ISNA(VLOOKUP(LOWER(F528)&amp;H528,Prices!A:C,2,0)),0,VLOOKUP(LOWER(F528)&amp;H528,Prices!A:C,2,0))</f>
        <v>7.02</v>
      </c>
      <c r="W528" s="13">
        <f t="shared" si="231"/>
        <v>20440.140000000003</v>
      </c>
      <c r="X528" s="13">
        <f t="shared" si="232"/>
        <v>150.00000000000213</v>
      </c>
      <c r="Y528" s="43">
        <f t="shared" si="233"/>
        <v>0.4919407942238268</v>
      </c>
      <c r="Z528" s="49"/>
      <c r="AA528" s="24"/>
    </row>
    <row r="529" spans="1:27" hidden="1"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29.6</v>
      </c>
      <c r="V529" s="13">
        <f>IF(ISNA(VLOOKUP(LOWER(F529)&amp;H529,Prices!A:C,2,0)),0,VLOOKUP(LOWER(F529)&amp;H529,Prices!A:C,2,0))</f>
        <v>30.47</v>
      </c>
      <c r="W529" s="13">
        <f t="shared" si="231"/>
        <v>-42894.896000000001</v>
      </c>
      <c r="X529" s="13">
        <f t="shared" si="232"/>
        <v>-3479.99999999999</v>
      </c>
      <c r="Y529" s="43">
        <f t="shared" si="233"/>
        <v>-0.54242407688416794</v>
      </c>
      <c r="Z529" s="49" t="s">
        <v>1478</v>
      </c>
      <c r="AA529" s="24"/>
    </row>
    <row r="530" spans="1:27" hidden="1"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23.34</v>
      </c>
      <c r="V530" s="13">
        <f>IF(ISNA(VLOOKUP(LOWER(F530)&amp;H530,Prices!A:C,2,0)),0,VLOOKUP(LOWER(F530)&amp;H530,Prices!A:C,2,0))</f>
        <v>23.28</v>
      </c>
      <c r="W530" s="13">
        <f t="shared" ref="W530:W532" si="239">IF(I530="B",(V530+T530)*K530,(V530+T530)*K530)</f>
        <v>-10341.113600000013</v>
      </c>
      <c r="X530" s="13">
        <f t="shared" ref="X530:X532" si="240">K530*(V530-U530)</f>
        <v>239.99999999999488</v>
      </c>
      <c r="Y530" s="43">
        <f t="shared" ref="Y530:Y532" si="241">W530/O530</f>
        <v>-0.12477212355212371</v>
      </c>
      <c r="Z530" s="49"/>
      <c r="AA530" s="24"/>
    </row>
    <row r="531" spans="1:27" hidden="1"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20.170000000000002</v>
      </c>
      <c r="V531" s="13">
        <f>IF(ISNA(VLOOKUP(LOWER(F531)&amp;H531,Prices!A:C,2,0)),0,VLOOKUP(LOWER(F531)&amp;H531,Prices!A:C,2,0))</f>
        <v>19.829999999999998</v>
      </c>
      <c r="W531" s="13">
        <f t="shared" si="239"/>
        <v>18955.752000000015</v>
      </c>
      <c r="X531" s="13">
        <f t="shared" si="240"/>
        <v>1020.0000000000102</v>
      </c>
      <c r="Y531" s="43">
        <f t="shared" si="241"/>
        <v>0.24135156608097805</v>
      </c>
      <c r="Z531" s="49"/>
      <c r="AA531" s="24"/>
    </row>
    <row r="532" spans="1:27" hidden="1"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40.299999999999997</v>
      </c>
      <c r="V532" s="13">
        <f>IF(ISNA(VLOOKUP(LOWER(F532)&amp;H532,Prices!A:C,2,0)),0,VLOOKUP(LOWER(F532)&amp;H532,Prices!A:C,2,0))</f>
        <v>39.700000000000003</v>
      </c>
      <c r="W532" s="13">
        <f t="shared" si="239"/>
        <v>276.57600000001281</v>
      </c>
      <c r="X532" s="13">
        <f t="shared" si="240"/>
        <v>1799.9999999999829</v>
      </c>
      <c r="Y532" s="43">
        <f t="shared" si="241"/>
        <v>2.3140562248997053E-3</v>
      </c>
      <c r="Z532" s="49"/>
      <c r="AA532" s="24"/>
    </row>
    <row r="533" spans="1:27" hidden="1"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11.53</v>
      </c>
      <c r="V533" s="13">
        <f>IF(ISNA(VLOOKUP(LOWER(F533)&amp;H533,Prices!A:C,2,0)),0,VLOOKUP(LOWER(F533)&amp;H533,Prices!A:C,2,0))</f>
        <v>11.53</v>
      </c>
      <c r="W533" s="13">
        <f t="shared" ref="W533:W554" si="246">IF(I533="B",(V533+T533)*K533,(V533+T533)*K533)</f>
        <v>-11799.276000000002</v>
      </c>
      <c r="X533" s="13">
        <f t="shared" ref="X533:X554" si="247">K533*(V533-U533)</f>
        <v>0</v>
      </c>
      <c r="Y533" s="43">
        <f t="shared" ref="Y533:Y554" si="248">W533/O533</f>
        <v>-0.25440439844760676</v>
      </c>
      <c r="Z533" s="49"/>
      <c r="AA533" s="24"/>
    </row>
    <row r="534" spans="1:27" hidden="1"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11.53</v>
      </c>
      <c r="V534" s="13">
        <f>IF(ISNA(VLOOKUP(LOWER(F534)&amp;H534,Prices!A:C,2,0)),0,VLOOKUP(LOWER(F534)&amp;H534,Prices!A:C,2,0))</f>
        <v>11.53</v>
      </c>
      <c r="W534" s="13">
        <f t="shared" si="246"/>
        <v>-11799.276000000002</v>
      </c>
      <c r="X534" s="13">
        <f t="shared" si="247"/>
        <v>0</v>
      </c>
      <c r="Y534" s="43">
        <f t="shared" si="248"/>
        <v>-0.25440439844760676</v>
      </c>
      <c r="Z534" s="49"/>
      <c r="AA534" s="24"/>
    </row>
    <row r="535" spans="1:27" hidden="1"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26.72</v>
      </c>
      <c r="V535" s="13">
        <f>IF(ISNA(VLOOKUP(LOWER(F535)&amp;H535,Prices!A:C,2,0)),0,VLOOKUP(LOWER(F535)&amp;H535,Prices!A:C,2,0))</f>
        <v>26.49</v>
      </c>
      <c r="W535" s="13">
        <f t="shared" si="246"/>
        <v>-4576.8059999999978</v>
      </c>
      <c r="X535" s="13">
        <f t="shared" si="247"/>
        <v>-690.00000000000125</v>
      </c>
      <c r="Y535" s="43">
        <f t="shared" si="248"/>
        <v>-5.4466333452338422E-2</v>
      </c>
      <c r="Z535" s="49"/>
      <c r="AA535" s="24"/>
    </row>
    <row r="536" spans="1:27" hidden="1"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26.72</v>
      </c>
      <c r="V536" s="13">
        <f>IF(ISNA(VLOOKUP(LOWER(F536)&amp;H536,Prices!A:C,2,0)),0,VLOOKUP(LOWER(F536)&amp;H536,Prices!A:C,2,0))</f>
        <v>26.49</v>
      </c>
      <c r="W536" s="13">
        <f t="shared" si="246"/>
        <v>-3251.2439999999997</v>
      </c>
      <c r="X536" s="13">
        <f t="shared" si="247"/>
        <v>-460.00000000000085</v>
      </c>
      <c r="Y536" s="43">
        <f t="shared" si="248"/>
        <v>-5.783073639274279E-2</v>
      </c>
      <c r="Z536" s="49"/>
      <c r="AA536" s="24"/>
    </row>
    <row r="537" spans="1:27" hidden="1"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26.72</v>
      </c>
      <c r="V537" s="13">
        <f>IF(ISNA(VLOOKUP(LOWER(F537)&amp;H537,Prices!A:C,2,0)),0,VLOOKUP(LOWER(F537)&amp;H537,Prices!A:C,2,0))</f>
        <v>26.49</v>
      </c>
      <c r="W537" s="13">
        <f t="shared" si="246"/>
        <v>-1565.6100000000031</v>
      </c>
      <c r="X537" s="13">
        <f t="shared" si="247"/>
        <v>-230.00000000000043</v>
      </c>
      <c r="Y537" s="43">
        <f t="shared" si="248"/>
        <v>-5.5814973262032198E-2</v>
      </c>
      <c r="Z537" s="49"/>
      <c r="AA537" s="24"/>
    </row>
    <row r="538" spans="1:27" hidden="1"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11.53</v>
      </c>
      <c r="V538" s="13">
        <f>IF(ISNA(VLOOKUP(LOWER(F538)&amp;H538,Prices!A:C,2,0)),0,VLOOKUP(LOWER(F538)&amp;H538,Prices!A:C,2,0))</f>
        <v>11.53</v>
      </c>
      <c r="W538" s="13">
        <f t="shared" si="246"/>
        <v>-7486.108000000002</v>
      </c>
      <c r="X538" s="13">
        <f t="shared" si="247"/>
        <v>0</v>
      </c>
      <c r="Y538" s="43">
        <f t="shared" si="248"/>
        <v>-0.24512468893254755</v>
      </c>
      <c r="Z538" s="49"/>
      <c r="AA538" s="24"/>
    </row>
    <row r="539" spans="1:27" hidden="1"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11.53</v>
      </c>
      <c r="V539" s="13">
        <f>IF(ISNA(VLOOKUP(LOWER(F539)&amp;H539,Prices!A:C,2,0)),0,VLOOKUP(LOWER(F539)&amp;H539,Prices!A:C,2,0))</f>
        <v>11.53</v>
      </c>
      <c r="W539" s="13">
        <f t="shared" si="246"/>
        <v>-7546.1200000000017</v>
      </c>
      <c r="X539" s="13">
        <f t="shared" si="247"/>
        <v>0</v>
      </c>
      <c r="Y539" s="43">
        <f t="shared" si="248"/>
        <v>-0.24660522875816998</v>
      </c>
      <c r="Z539" s="49"/>
      <c r="AA539" s="24"/>
    </row>
    <row r="540" spans="1:27" hidden="1"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24.46</v>
      </c>
      <c r="V540" s="13">
        <f>IF(ISNA(VLOOKUP(LOWER(F540)&amp;H540,Prices!A:C,2,0)),0,VLOOKUP(LOWER(F540)&amp;H540,Prices!A:C,2,0))</f>
        <v>24.81</v>
      </c>
      <c r="W540" s="13">
        <f t="shared" si="246"/>
        <v>21827.515999999996</v>
      </c>
      <c r="X540" s="13">
        <f t="shared" si="247"/>
        <v>1749.9999999999893</v>
      </c>
      <c r="Y540" s="43">
        <f t="shared" si="248"/>
        <v>0.21357647749510758</v>
      </c>
      <c r="Z540" s="49"/>
      <c r="AA540" s="24"/>
    </row>
    <row r="541" spans="1:27" hidden="1"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11.15</v>
      </c>
      <c r="V541" s="13">
        <f>IF(ISNA(VLOOKUP(LOWER(F541)&amp;H541,Prices!A:C,2,0)),0,VLOOKUP(LOWER(F541)&amp;H541,Prices!A:C,2,0))</f>
        <v>10.99</v>
      </c>
      <c r="W541" s="13">
        <f t="shared" si="246"/>
        <v>-23831.358000000004</v>
      </c>
      <c r="X541" s="13">
        <f t="shared" si="247"/>
        <v>-480.00000000000045</v>
      </c>
      <c r="Y541" s="43">
        <f t="shared" si="248"/>
        <v>-0.41964004226096152</v>
      </c>
      <c r="Z541" s="49"/>
      <c r="AA541" s="24"/>
    </row>
    <row r="542" spans="1:27" hidden="1"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6.63</v>
      </c>
      <c r="V542" s="13">
        <f>IF(ISNA(VLOOKUP(LOWER(F542)&amp;H542,Prices!A:C,2,0)),0,VLOOKUP(LOWER(F542)&amp;H542,Prices!A:C,2,0))</f>
        <v>6.58</v>
      </c>
      <c r="W542" s="13">
        <f t="shared" si="246"/>
        <v>3205</v>
      </c>
      <c r="X542" s="13">
        <f t="shared" si="247"/>
        <v>-149.99999999999946</v>
      </c>
      <c r="Y542" s="43">
        <f t="shared" si="248"/>
        <v>0.19388989715668481</v>
      </c>
      <c r="Z542" s="49"/>
      <c r="AA542" s="24"/>
    </row>
    <row r="543" spans="1:27" hidden="1"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11.15</v>
      </c>
      <c r="V543" s="13">
        <f>IF(ISNA(VLOOKUP(LOWER(F543)&amp;H543,Prices!A:C,2,0)),0,VLOOKUP(LOWER(F543)&amp;H543,Prices!A:C,2,0))</f>
        <v>10.99</v>
      </c>
      <c r="W543" s="13">
        <f t="shared" si="246"/>
        <v>-23861.364000000005</v>
      </c>
      <c r="X543" s="13">
        <f t="shared" si="247"/>
        <v>-480.00000000000045</v>
      </c>
      <c r="Y543" s="43">
        <f t="shared" si="248"/>
        <v>-0.41994656810982051</v>
      </c>
      <c r="Z543" s="49"/>
      <c r="AA543" s="24"/>
    </row>
    <row r="544" spans="1:27" hidden="1"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11.15</v>
      </c>
      <c r="V544" s="13">
        <f>IF(ISNA(VLOOKUP(LOWER(F544)&amp;H544,Prices!A:C,2,0)),0,VLOOKUP(LOWER(F544)&amp;H544,Prices!A:C,2,0))</f>
        <v>10.99</v>
      </c>
      <c r="W544" s="13">
        <f t="shared" si="246"/>
        <v>-7694.9999999999982</v>
      </c>
      <c r="X544" s="13">
        <f t="shared" si="247"/>
        <v>-160.00000000000014</v>
      </c>
      <c r="Y544" s="43">
        <f t="shared" si="248"/>
        <v>-0.41193790149892923</v>
      </c>
      <c r="Z544" s="49"/>
      <c r="AA544" s="24"/>
    </row>
    <row r="545" spans="1:27" hidden="1"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8.2899999999999991</v>
      </c>
      <c r="V545" s="13">
        <f>IF(ISNA(VLOOKUP(LOWER(F545)&amp;H545,Prices!A:C,2,0)),0,VLOOKUP(LOWER(F545)&amp;H545,Prices!A:C,2,0))</f>
        <v>8.34</v>
      </c>
      <c r="W545" s="13">
        <f t="shared" si="246"/>
        <v>14684.885999999997</v>
      </c>
      <c r="X545" s="13">
        <f t="shared" si="247"/>
        <v>500.00000000000711</v>
      </c>
      <c r="Y545" s="43">
        <f t="shared" si="248"/>
        <v>0.2137537991266375</v>
      </c>
      <c r="Z545" s="49"/>
      <c r="AA545" s="24"/>
    </row>
    <row r="546" spans="1:27" hidden="1"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8.2899999999999991</v>
      </c>
      <c r="V546" s="13">
        <f>IF(ISNA(VLOOKUP(LOWER(F546)&amp;H546,Prices!A:C,2,0)),0,VLOOKUP(LOWER(F546)&amp;H546,Prices!A:C,2,0))</f>
        <v>8.34</v>
      </c>
      <c r="W546" s="13">
        <f t="shared" si="246"/>
        <v>15485.062000000004</v>
      </c>
      <c r="X546" s="13">
        <f t="shared" si="247"/>
        <v>500.00000000000711</v>
      </c>
      <c r="Y546" s="43">
        <f t="shared" si="248"/>
        <v>0.2280568777614139</v>
      </c>
      <c r="Z546" s="49"/>
      <c r="AA546" s="24"/>
    </row>
    <row r="547" spans="1:27" hidden="1"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8.2899999999999991</v>
      </c>
      <c r="V547" s="13">
        <f>IF(ISNA(VLOOKUP(LOWER(F547)&amp;H547,Prices!A:C,2,0)),0,VLOOKUP(LOWER(F547)&amp;H547,Prices!A:C,2,0))</f>
        <v>8.34</v>
      </c>
      <c r="W547" s="13">
        <f t="shared" si="246"/>
        <v>3134.7291999999989</v>
      </c>
      <c r="X547" s="13">
        <f t="shared" si="247"/>
        <v>100.00000000000142</v>
      </c>
      <c r="Y547" s="43">
        <f t="shared" si="248"/>
        <v>0.23151618906942384</v>
      </c>
      <c r="Z547" s="49"/>
      <c r="AA547" s="24"/>
    </row>
    <row r="548" spans="1:27" hidden="1"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11.53</v>
      </c>
      <c r="V548" s="13">
        <f>IF(ISNA(VLOOKUP(LOWER(F548)&amp;H548,Prices!A:C,2,0)),0,VLOOKUP(LOWER(F548)&amp;H548,Prices!A:C,2,0))</f>
        <v>11.53</v>
      </c>
      <c r="W548" s="13">
        <f t="shared" si="246"/>
        <v>-3675.0000000000009</v>
      </c>
      <c r="X548" s="13">
        <f t="shared" si="247"/>
        <v>0</v>
      </c>
      <c r="Y548" s="43">
        <f t="shared" si="248"/>
        <v>-0.24177631578947376</v>
      </c>
      <c r="Z548" s="49"/>
      <c r="AA548" s="24"/>
    </row>
    <row r="549" spans="1:27" hidden="1"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8.2899999999999991</v>
      </c>
      <c r="V549" s="13">
        <f>IF(ISNA(VLOOKUP(LOWER(F549)&amp;H549,Prices!A:C,2,0)),0,VLOOKUP(LOWER(F549)&amp;H549,Prices!A:C,2,0))</f>
        <v>8.34</v>
      </c>
      <c r="W549" s="13">
        <f t="shared" si="246"/>
        <v>3314.7327999999998</v>
      </c>
      <c r="X549" s="13">
        <f t="shared" si="247"/>
        <v>100.00000000000142</v>
      </c>
      <c r="Y549" s="43">
        <f t="shared" si="248"/>
        <v>0.24810874251497003</v>
      </c>
      <c r="Z549" s="49"/>
      <c r="AA549" s="24"/>
    </row>
    <row r="550" spans="1:27" hidden="1"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11.53</v>
      </c>
      <c r="V550" s="13">
        <f>IF(ISNA(VLOOKUP(LOWER(F550)&amp;H550,Prices!A:C,2,0)),0,VLOOKUP(LOWER(F550)&amp;H550,Prices!A:C,2,0))</f>
        <v>11.53</v>
      </c>
      <c r="W550" s="13">
        <f t="shared" si="246"/>
        <v>-7006.0119999999988</v>
      </c>
      <c r="X550" s="13">
        <f t="shared" si="247"/>
        <v>0</v>
      </c>
      <c r="Y550" s="43">
        <f t="shared" si="248"/>
        <v>-0.23306759813705918</v>
      </c>
      <c r="Z550" s="49"/>
      <c r="AA550" s="24"/>
    </row>
    <row r="551" spans="1:27" hidden="1"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24.46</v>
      </c>
      <c r="V551" s="13">
        <f>IF(ISNA(VLOOKUP(LOWER(F551)&amp;H551,Prices!A:C,2,0)),0,VLOOKUP(LOWER(F551)&amp;H551,Prices!A:C,2,0))</f>
        <v>24.81</v>
      </c>
      <c r="W551" s="13">
        <f t="shared" si="246"/>
        <v>9071.0811999999951</v>
      </c>
      <c r="X551" s="13">
        <f t="shared" si="247"/>
        <v>699.99999999999568</v>
      </c>
      <c r="Y551" s="43">
        <f t="shared" si="248"/>
        <v>0.22375631968426232</v>
      </c>
      <c r="Z551" s="49"/>
      <c r="AA551" s="24"/>
    </row>
    <row r="552" spans="1:27" hidden="1"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8.2899999999999991</v>
      </c>
      <c r="V552" s="13">
        <f>IF(ISNA(VLOOKUP(LOWER(F552)&amp;H552,Prices!A:C,2,0)),0,VLOOKUP(LOWER(F552)&amp;H552,Prices!A:C,2,0))</f>
        <v>8.34</v>
      </c>
      <c r="W552" s="13">
        <f t="shared" si="246"/>
        <v>3254.7315999999996</v>
      </c>
      <c r="X552" s="13">
        <f t="shared" si="247"/>
        <v>100.00000000000142</v>
      </c>
      <c r="Y552" s="43">
        <f t="shared" si="248"/>
        <v>0.24252843517138598</v>
      </c>
      <c r="Z552" s="49"/>
      <c r="AA552" s="24"/>
    </row>
    <row r="553" spans="1:27" hidden="1"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5.26</v>
      </c>
      <c r="V553" s="13">
        <f>IF(ISNA(VLOOKUP(LOWER(F553)&amp;H553,Prices!A:C,2,0)),0,VLOOKUP(LOWER(F553)&amp;H553,Prices!A:C,2,0))</f>
        <v>5.22</v>
      </c>
      <c r="W553" s="13">
        <f t="shared" si="246"/>
        <v>144.99999999999869</v>
      </c>
      <c r="X553" s="13">
        <f t="shared" si="247"/>
        <v>-120.00000000000011</v>
      </c>
      <c r="Y553" s="43">
        <f t="shared" si="248"/>
        <v>9.3488072211475627E-3</v>
      </c>
      <c r="Z553" s="49"/>
      <c r="AA553" s="24"/>
    </row>
    <row r="554" spans="1:27" hidden="1"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8.2899999999999991</v>
      </c>
      <c r="V554" s="13">
        <f>IF(ISNA(VLOOKUP(LOWER(F554)&amp;H554,Prices!A:C,2,0)),0,VLOOKUP(LOWER(F554)&amp;H554,Prices!A:C,2,0))</f>
        <v>8.34</v>
      </c>
      <c r="W554" s="13">
        <f t="shared" si="246"/>
        <v>3154.7295999999997</v>
      </c>
      <c r="X554" s="13">
        <f t="shared" si="247"/>
        <v>100.00000000000142</v>
      </c>
      <c r="Y554" s="43">
        <f t="shared" si="248"/>
        <v>0.23333798816568044</v>
      </c>
      <c r="Z554" s="49"/>
      <c r="AA554" s="24"/>
    </row>
    <row r="555" spans="1:27" hidden="1"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5.26</v>
      </c>
      <c r="V555" s="13">
        <f>IF(ISNA(VLOOKUP(LOWER(F555)&amp;H555,Prices!A:C,2,0)),0,VLOOKUP(LOWER(F555)&amp;H555,Prices!A:C,2,0))</f>
        <v>5.22</v>
      </c>
      <c r="W555" s="13">
        <f t="shared" ref="W555:W561" si="253">IF(I555="B",(V555+T555)*K555,(V555+T555)*K555)</f>
        <v>-1369.3100000000004</v>
      </c>
      <c r="X555" s="13">
        <f t="shared" ref="X555:X561" si="254">K555*(V555-U555)</f>
        <v>120.00000000000011</v>
      </c>
      <c r="Y555" s="43">
        <f t="shared" ref="Y555:Y561" si="255">W555/O555</f>
        <v>-9.5689028651292848E-2</v>
      </c>
      <c r="Z555" s="49"/>
      <c r="AA555" s="24"/>
    </row>
    <row r="556" spans="1:27" hidden="1"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11.53</v>
      </c>
      <c r="V556" s="13">
        <f>IF(ISNA(VLOOKUP(LOWER(F556)&amp;H556,Prices!A:C,2,0)),0,VLOOKUP(LOWER(F556)&amp;H556,Prices!A:C,2,0))</f>
        <v>11.53</v>
      </c>
      <c r="W556" s="13">
        <f t="shared" si="253"/>
        <v>33709.416000000012</v>
      </c>
      <c r="X556" s="13">
        <f t="shared" si="254"/>
        <v>0</v>
      </c>
      <c r="Y556" s="43">
        <f t="shared" si="255"/>
        <v>0.18338274398868465</v>
      </c>
      <c r="Z556" s="49"/>
      <c r="AA556" s="24"/>
    </row>
    <row r="557" spans="1:27" hidden="1"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8.2899999999999991</v>
      </c>
      <c r="V557" s="13">
        <f>IF(ISNA(VLOOKUP(LOWER(F557)&amp;H557,Prices!A:C,2,0)),0,VLOOKUP(LOWER(F557)&amp;H557,Prices!A:C,2,0))</f>
        <v>8.34</v>
      </c>
      <c r="W557" s="13">
        <f t="shared" si="253"/>
        <v>-41953.995999999985</v>
      </c>
      <c r="X557" s="13">
        <f t="shared" si="254"/>
        <v>-1400.00000000002</v>
      </c>
      <c r="Y557" s="43">
        <f t="shared" si="255"/>
        <v>-0.21873824817518239</v>
      </c>
      <c r="Z557" s="49"/>
      <c r="AA557" s="24"/>
    </row>
    <row r="558" spans="1:27" hidden="1"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6.63</v>
      </c>
      <c r="V558" s="13">
        <f>IF(ISNA(VLOOKUP(LOWER(F558)&amp;H558,Prices!A:C,2,0)),0,VLOOKUP(LOWER(F558)&amp;H558,Prices!A:C,2,0))</f>
        <v>6.58</v>
      </c>
      <c r="W558" s="13">
        <f t="shared" si="253"/>
        <v>-3261.5</v>
      </c>
      <c r="X558" s="13">
        <f t="shared" si="254"/>
        <v>149.99999999999946</v>
      </c>
      <c r="Y558" s="43">
        <f t="shared" si="255"/>
        <v>-0.19766666666666666</v>
      </c>
      <c r="Z558" s="49"/>
      <c r="AA558" s="24"/>
    </row>
    <row r="559" spans="1:27" hidden="1"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11.15</v>
      </c>
      <c r="V559" s="13">
        <f>IF(ISNA(VLOOKUP(LOWER(F559)&amp;H559,Prices!A:C,2,0)),0,VLOOKUP(LOWER(F559)&amp;H559,Prices!A:C,2,0))</f>
        <v>10.99</v>
      </c>
      <c r="W559" s="13">
        <f t="shared" si="253"/>
        <v>51016.280000000006</v>
      </c>
      <c r="X559" s="13">
        <f t="shared" si="254"/>
        <v>1120.0000000000009</v>
      </c>
      <c r="Y559" s="43">
        <f t="shared" si="255"/>
        <v>0.39825355191256834</v>
      </c>
      <c r="Z559" s="49"/>
      <c r="AA559" s="24"/>
    </row>
    <row r="560" spans="1:27" hidden="1"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26.72</v>
      </c>
      <c r="V560" s="13">
        <f>IF(ISNA(VLOOKUP(LOWER(F560)&amp;H560,Prices!A:C,2,0)),0,VLOOKUP(LOWER(F560)&amp;H560,Prices!A:C,2,0))</f>
        <v>26.49</v>
      </c>
      <c r="W560" s="13">
        <f t="shared" si="253"/>
        <v>7480.056000000026</v>
      </c>
      <c r="X560" s="13">
        <f t="shared" si="254"/>
        <v>1380.0000000000025</v>
      </c>
      <c r="Y560" s="43">
        <f t="shared" si="255"/>
        <v>4.4892906013683988E-2</v>
      </c>
      <c r="Z560" s="49"/>
      <c r="AA560" s="24"/>
    </row>
    <row r="561" spans="1:27" hidden="1"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24.46</v>
      </c>
      <c r="V561" s="13">
        <f>IF(ISNA(VLOOKUP(LOWER(F561)&amp;H561,Prices!A:C,2,0)),0,VLOOKUP(LOWER(F561)&amp;H561,Prices!A:C,2,0))</f>
        <v>24.81</v>
      </c>
      <c r="W561" s="13">
        <f t="shared" si="253"/>
        <v>-32722.166399999966</v>
      </c>
      <c r="X561" s="13">
        <f t="shared" si="254"/>
        <v>-2449.999999999985</v>
      </c>
      <c r="Y561" s="43">
        <f t="shared" si="255"/>
        <v>-0.23187476190476167</v>
      </c>
      <c r="Z561" s="49"/>
      <c r="AA561" s="24"/>
    </row>
    <row r="562" spans="1:27" hidden="1"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hidden="1"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6.91</v>
      </c>
      <c r="V563" s="13">
        <f>IF(ISNA(VLOOKUP(LOWER(F563)&amp;H563,Prices!A:C,2,0)),0,VLOOKUP(LOWER(F563)&amp;H563,Prices!A:C,2,0))</f>
        <v>6.83</v>
      </c>
      <c r="W563" s="13">
        <f t="shared" ref="W563" si="260">IF(I563="B",(V563+T563)*K563,(V563+T563)*K563)</f>
        <v>6793.9829999999993</v>
      </c>
      <c r="X563" s="13">
        <f t="shared" ref="X563" si="261">K563*(V563-U563)</f>
        <v>-400.00000000000034</v>
      </c>
      <c r="Y563" s="43">
        <f t="shared" ref="Y563" si="262">W563/O563</f>
        <v>0.24840888482632539</v>
      </c>
      <c r="Z563" s="49"/>
      <c r="AA563" s="24"/>
    </row>
    <row r="564" spans="1:27" hidden="1"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10.44</v>
      </c>
      <c r="V564" s="13">
        <f>IF(ISNA(VLOOKUP(LOWER(F564)&amp;H564,Prices!A:C,2,0)),0,VLOOKUP(LOWER(F564)&amp;H564,Prices!A:C,2,0))</f>
        <v>10.57</v>
      </c>
      <c r="W564" s="13">
        <f t="shared" ref="W564:W575" si="267">IF(I564="B",(V564+T564)*K564,(V564+T564)*K564)</f>
        <v>355.00000000000045</v>
      </c>
      <c r="X564" s="13">
        <f t="shared" ref="X564:X575" si="268">K564*(V564-U564)</f>
        <v>260.00000000000159</v>
      </c>
      <c r="Y564" s="43">
        <f t="shared" ref="Y564:Y575" si="269">W564/O564</f>
        <v>1.7083734359961522E-2</v>
      </c>
      <c r="Z564" s="49"/>
      <c r="AA564" s="24"/>
    </row>
    <row r="565" spans="1:27" hidden="1"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29.75</v>
      </c>
      <c r="V565" s="13">
        <f>IF(ISNA(VLOOKUP(LOWER(F565)&amp;H565,Prices!A:C,2,0)),0,VLOOKUP(LOWER(F565)&amp;H565,Prices!A:C,2,0))</f>
        <v>29.5</v>
      </c>
      <c r="W565" s="13">
        <f t="shared" si="267"/>
        <v>15909.332999999999</v>
      </c>
      <c r="X565" s="13">
        <f t="shared" si="268"/>
        <v>-375</v>
      </c>
      <c r="Y565" s="43">
        <f t="shared" si="269"/>
        <v>0.56147284277395437</v>
      </c>
      <c r="Z565" s="49"/>
      <c r="AA565" s="24"/>
    </row>
    <row r="566" spans="1:27" hidden="1"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27.42</v>
      </c>
      <c r="V566" s="13">
        <f>IF(ISNA(VLOOKUP(LOWER(F566)&amp;H566,Prices!A:C,2,0)),0,VLOOKUP(LOWER(F566)&amp;H566,Prices!A:C,2,0))</f>
        <v>27.92</v>
      </c>
      <c r="W566" s="13">
        <f t="shared" si="267"/>
        <v>-2033.3755999999994</v>
      </c>
      <c r="X566" s="13">
        <f t="shared" si="268"/>
        <v>300</v>
      </c>
      <c r="Y566" s="43">
        <f t="shared" si="269"/>
        <v>-0.10827346112886045</v>
      </c>
      <c r="Z566" s="49"/>
      <c r="AA566" s="24"/>
    </row>
    <row r="567" spans="1:27" hidden="1"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10.44</v>
      </c>
      <c r="V567" s="13">
        <f>IF(ISNA(VLOOKUP(LOWER(F567)&amp;H567,Prices!A:C,2,0)),0,VLOOKUP(LOWER(F567)&amp;H567,Prices!A:C,2,0))</f>
        <v>10.57</v>
      </c>
      <c r="W567" s="13">
        <f t="shared" si="267"/>
        <v>310.00000000000051</v>
      </c>
      <c r="X567" s="13">
        <f t="shared" si="268"/>
        <v>195.00000000000117</v>
      </c>
      <c r="Y567" s="43">
        <f t="shared" si="269"/>
        <v>1.9948519948519983E-2</v>
      </c>
      <c r="Z567" s="49"/>
      <c r="AA567" s="24"/>
    </row>
    <row r="568" spans="1:27" hidden="1"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29.75</v>
      </c>
      <c r="V568" s="13">
        <f>IF(ISNA(VLOOKUP(LOWER(F568)&amp;H568,Prices!A:C,2,0)),0,VLOOKUP(LOWER(F568)&amp;H568,Prices!A:C,2,0))</f>
        <v>29.5</v>
      </c>
      <c r="W568" s="13">
        <f t="shared" si="267"/>
        <v>10504.999999999998</v>
      </c>
      <c r="X568" s="13">
        <f t="shared" si="268"/>
        <v>-250</v>
      </c>
      <c r="Y568" s="43">
        <f t="shared" si="269"/>
        <v>0.55318588730911</v>
      </c>
      <c r="Z568" s="49"/>
      <c r="AA568" s="24"/>
    </row>
    <row r="569" spans="1:27" hidden="1"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67.11</v>
      </c>
      <c r="V569" s="13">
        <f>IF(ISNA(VLOOKUP(LOWER(F569)&amp;H569,Prices!A:C,2,0)),0,VLOOKUP(LOWER(F569)&amp;H569,Prices!A:C,2,0))</f>
        <v>68.489999999999995</v>
      </c>
      <c r="W569" s="13">
        <f t="shared" si="267"/>
        <v>34233.149999999994</v>
      </c>
      <c r="X569" s="13">
        <f t="shared" si="268"/>
        <v>1379.9999999999955</v>
      </c>
      <c r="Y569" s="43">
        <f t="shared" si="269"/>
        <v>0.99950802919708015</v>
      </c>
      <c r="Z569" s="49"/>
      <c r="AA569" s="24"/>
    </row>
    <row r="570" spans="1:27" hidden="1"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67.11</v>
      </c>
      <c r="V570" s="13">
        <f>IF(ISNA(VLOOKUP(LOWER(F570)&amp;H570,Prices!A:C,2,0)),0,VLOOKUP(LOWER(F570)&amp;H570,Prices!A:C,2,0))</f>
        <v>68.489999999999995</v>
      </c>
      <c r="W570" s="13">
        <f t="shared" si="267"/>
        <v>34213.145999999993</v>
      </c>
      <c r="X570" s="13">
        <f t="shared" si="268"/>
        <v>1379.9999999999955</v>
      </c>
      <c r="Y570" s="43">
        <f t="shared" si="269"/>
        <v>0.99834099795739695</v>
      </c>
      <c r="Z570" s="49"/>
      <c r="AA570" s="24"/>
    </row>
    <row r="571" spans="1:27" hidden="1"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18.309999999999999</v>
      </c>
      <c r="V571" s="13">
        <f>IF(ISNA(VLOOKUP(LOWER(F571)&amp;H571,Prices!A:C,2,0)),0,VLOOKUP(LOWER(F571)&amp;H571,Prices!A:C,2,0))</f>
        <v>17.93</v>
      </c>
      <c r="W571" s="13">
        <f t="shared" si="267"/>
        <v>-22431.656000000003</v>
      </c>
      <c r="X571" s="13">
        <f t="shared" si="268"/>
        <v>-759.99999999999795</v>
      </c>
      <c r="Y571" s="43">
        <f t="shared" si="269"/>
        <v>-0.38489457789979414</v>
      </c>
      <c r="Z571" s="49"/>
      <c r="AA571" s="24"/>
    </row>
    <row r="572" spans="1:27" hidden="1"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650.07000000000005</v>
      </c>
      <c r="V572" s="13">
        <f>IF(ISNA(VLOOKUP(LOWER(F572)&amp;H572,Prices!A:C,2,0)),0,VLOOKUP(LOWER(F572)&amp;H572,Prices!A:C,2,0))</f>
        <v>677.95</v>
      </c>
      <c r="W572" s="13">
        <f t="shared" si="267"/>
        <v>32564.250940000005</v>
      </c>
      <c r="X572" s="13">
        <f t="shared" si="268"/>
        <v>2787.9999999999995</v>
      </c>
      <c r="Y572" s="43">
        <f t="shared" si="269"/>
        <v>0.9245166777389775</v>
      </c>
      <c r="Z572" s="49"/>
      <c r="AA572" s="24"/>
    </row>
    <row r="573" spans="1:27" hidden="1"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101.5</v>
      </c>
      <c r="V573" s="13">
        <f>IF(ISNA(VLOOKUP(LOWER(F573)&amp;H573,Prices!A:C,2,0)),0,VLOOKUP(LOWER(F573)&amp;H573,Prices!A:C,2,0))</f>
        <v>101.32</v>
      </c>
      <c r="W573" s="13">
        <f t="shared" si="267"/>
        <v>10930.0816</v>
      </c>
      <c r="X573" s="13">
        <f t="shared" si="268"/>
        <v>-72.000000000002728</v>
      </c>
      <c r="Y573" s="43">
        <f t="shared" si="269"/>
        <v>0.36935934036226004</v>
      </c>
      <c r="Z573" s="49"/>
      <c r="AA573" s="24"/>
    </row>
    <row r="574" spans="1:27" hidden="1"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650.07000000000005</v>
      </c>
      <c r="V574" s="13">
        <f>IF(ISNA(VLOOKUP(LOWER(F574)&amp;H574,Prices!A:C,2,0)),0,VLOOKUP(LOWER(F574)&amp;H574,Prices!A:C,2,0))</f>
        <v>677.95</v>
      </c>
      <c r="W574" s="13">
        <f t="shared" si="267"/>
        <v>32773.296920000008</v>
      </c>
      <c r="X574" s="13">
        <f t="shared" si="268"/>
        <v>2787.9999999999995</v>
      </c>
      <c r="Y574" s="43">
        <f t="shared" si="269"/>
        <v>0.93600550979608177</v>
      </c>
      <c r="Z574" s="49"/>
      <c r="AA574" s="24"/>
    </row>
    <row r="575" spans="1:27" hidden="1"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14.9</v>
      </c>
      <c r="V575" s="13">
        <f>IF(ISNA(VLOOKUP(LOWER(F575)&amp;H575,Prices!A:C,2,0)),0,VLOOKUP(LOWER(F575)&amp;H575,Prices!A:C,2,0))</f>
        <v>15.87</v>
      </c>
      <c r="W575" s="13">
        <f t="shared" si="267"/>
        <v>-1326.6120000000008</v>
      </c>
      <c r="X575" s="13">
        <f t="shared" si="268"/>
        <v>1939.9999999999977</v>
      </c>
      <c r="Y575" s="43">
        <f t="shared" si="269"/>
        <v>-4.0127404718693305E-2</v>
      </c>
      <c r="Z575" s="49"/>
      <c r="AA575" s="24"/>
    </row>
    <row r="576" spans="1:27" hidden="1"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55.39</v>
      </c>
      <c r="V576" s="13">
        <f>IF(ISNA(VLOOKUP(LOWER(F576)&amp;H576,Prices!A:C,2,0)),0,VLOOKUP(LOWER(F576)&amp;H576,Prices!A:C,2,0))</f>
        <v>57.19</v>
      </c>
      <c r="W576" s="13">
        <f t="shared" ref="W576:W596" si="274">IF(I576="B",(V576+T576)*K576,(V576+T576)*K576)</f>
        <v>34985</v>
      </c>
      <c r="X576" s="13">
        <f t="shared" ref="X576:X596" si="275">K576*(V576-U576)</f>
        <v>1799.9999999999973</v>
      </c>
      <c r="Y576" s="43">
        <f t="shared" ref="Y576:Y596" si="276">W576/O576</f>
        <v>1.5759009009009008</v>
      </c>
      <c r="Z576" s="49"/>
      <c r="AA576" s="13"/>
    </row>
    <row r="577" spans="1:27" hidden="1"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10.44</v>
      </c>
      <c r="V577" s="13">
        <f>IF(ISNA(VLOOKUP(LOWER(F577)&amp;H577,Prices!A:C,2,0)),0,VLOOKUP(LOWER(F577)&amp;H577,Prices!A:C,2,0))</f>
        <v>10.57</v>
      </c>
      <c r="W577" s="13">
        <f t="shared" si="274"/>
        <v>486.52</v>
      </c>
      <c r="X577" s="13">
        <f t="shared" si="275"/>
        <v>-221.00000000000134</v>
      </c>
      <c r="Y577" s="43">
        <f t="shared" si="276"/>
        <v>2.6328264516478163E-2</v>
      </c>
      <c r="Z577" s="49"/>
      <c r="AA577" s="24"/>
    </row>
    <row r="578" spans="1:27" hidden="1"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6.91</v>
      </c>
      <c r="V578" s="13">
        <f>IF(ISNA(VLOOKUP(LOWER(F578)&amp;H578,Prices!A:C,2,0)),0,VLOOKUP(LOWER(F578)&amp;H578,Prices!A:C,2,0))</f>
        <v>6.83</v>
      </c>
      <c r="W578" s="13">
        <f t="shared" si="274"/>
        <v>-6733.4890000000014</v>
      </c>
      <c r="X578" s="13">
        <f t="shared" si="275"/>
        <v>400.00000000000034</v>
      </c>
      <c r="Y578" s="43">
        <f t="shared" si="276"/>
        <v>-0.24530014571949002</v>
      </c>
      <c r="Z578" s="49"/>
      <c r="AA578" s="24"/>
    </row>
    <row r="579" spans="1:27" hidden="1"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650.07000000000005</v>
      </c>
      <c r="V579" s="13">
        <f>IF(ISNA(VLOOKUP(LOWER(F579)&amp;H579,Prices!A:C,2,0)),0,VLOOKUP(LOWER(F579)&amp;H579,Prices!A:C,2,0))</f>
        <v>677.95</v>
      </c>
      <c r="W579" s="13">
        <f t="shared" si="274"/>
        <v>32787.300000000003</v>
      </c>
      <c r="X579" s="13">
        <f t="shared" si="275"/>
        <v>2787.9999999999995</v>
      </c>
      <c r="Y579" s="43">
        <f t="shared" si="276"/>
        <v>0.93678000000000006</v>
      </c>
      <c r="Z579" s="49"/>
      <c r="AA579" s="24"/>
    </row>
    <row r="580" spans="1:27" hidden="1"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67.11</v>
      </c>
      <c r="V580" s="13">
        <f>IF(ISNA(VLOOKUP(LOWER(F580)&amp;H580,Prices!A:C,2,0)),0,VLOOKUP(LOWER(F580)&amp;H580,Prices!A:C,2,0))</f>
        <v>68.489999999999995</v>
      </c>
      <c r="W580" s="13">
        <f t="shared" si="274"/>
        <v>-68362.439999999988</v>
      </c>
      <c r="X580" s="13">
        <f t="shared" si="275"/>
        <v>-2759.9999999999909</v>
      </c>
      <c r="Y580" s="43">
        <f t="shared" si="276"/>
        <v>-0.9950864628820959</v>
      </c>
      <c r="Z580" s="49"/>
      <c r="AA580" s="24"/>
    </row>
    <row r="581" spans="1:27" hidden="1"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hidden="1"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hidden="1"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101.5</v>
      </c>
      <c r="V583" s="13">
        <f>IF(ISNA(VLOOKUP(LOWER(F583)&amp;H583,Prices!A:C,2,0)),0,VLOOKUP(LOWER(F583)&amp;H583,Prices!A:C,2,0))</f>
        <v>101.32</v>
      </c>
      <c r="W583" s="13">
        <f t="shared" si="274"/>
        <v>11302.155999999997</v>
      </c>
      <c r="X583" s="13">
        <f t="shared" si="275"/>
        <v>-72.000000000002728</v>
      </c>
      <c r="Y583" s="43">
        <f t="shared" si="276"/>
        <v>0.38679520876112244</v>
      </c>
      <c r="Z583" s="49"/>
      <c r="AA583" s="24"/>
    </row>
    <row r="584" spans="1:27" hidden="1"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18.309999999999999</v>
      </c>
      <c r="V584" s="13">
        <f>IF(ISNA(VLOOKUP(LOWER(F584)&amp;H584,Prices!A:C,2,0)),0,VLOOKUP(LOWER(F584)&amp;H584,Prices!A:C,2,0))</f>
        <v>17.93</v>
      </c>
      <c r="W584" s="13">
        <f t="shared" si="274"/>
        <v>23149.104000000003</v>
      </c>
      <c r="X584" s="13">
        <f t="shared" si="275"/>
        <v>759.99999999999795</v>
      </c>
      <c r="Y584" s="43">
        <f t="shared" si="276"/>
        <v>0.39182640487474618</v>
      </c>
      <c r="Z584" s="49"/>
      <c r="AA584" s="24"/>
    </row>
    <row r="585" spans="1:27" hidden="1"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41.3</v>
      </c>
      <c r="V585" s="13">
        <f>IF(ISNA(VLOOKUP(LOWER(F585)&amp;H585,Prices!A:C,2,0)),0,VLOOKUP(LOWER(F585)&amp;H585,Prices!A:C,2,0))</f>
        <v>42.53</v>
      </c>
      <c r="W585" s="13">
        <f t="shared" si="274"/>
        <v>8430</v>
      </c>
      <c r="X585" s="13">
        <f t="shared" si="275"/>
        <v>615.00000000000205</v>
      </c>
      <c r="Y585" s="43">
        <f t="shared" si="276"/>
        <v>0.65705378020265004</v>
      </c>
      <c r="Z585" s="49"/>
      <c r="AA585" s="24"/>
    </row>
    <row r="586" spans="1:27" hidden="1"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20.93</v>
      </c>
      <c r="V586" s="13">
        <f>IF(ISNA(VLOOKUP(LOWER(F586)&amp;H586,Prices!A:C,2,0)),0,VLOOKUP(LOWER(F586)&amp;H586,Prices!A:C,2,0))</f>
        <v>21.03</v>
      </c>
      <c r="W586" s="13">
        <f t="shared" si="274"/>
        <v>44.790700000000072</v>
      </c>
      <c r="X586" s="13">
        <f t="shared" si="275"/>
        <v>50.000000000000711</v>
      </c>
      <c r="Y586" s="43">
        <f t="shared" si="276"/>
        <v>4.2800477783086549E-3</v>
      </c>
      <c r="Z586" s="49"/>
      <c r="AA586" s="24"/>
    </row>
    <row r="587" spans="1:27" hidden="1"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52.6</v>
      </c>
      <c r="V587" s="13">
        <f>IF(ISNA(VLOOKUP(LOWER(F587)&amp;H587,Prices!A:C,2,0)),0,VLOOKUP(LOWER(F587)&amp;H587,Prices!A:C,2,0))</f>
        <v>53.4</v>
      </c>
      <c r="W587" s="13">
        <f t="shared" si="274"/>
        <v>7246</v>
      </c>
      <c r="X587" s="13">
        <f t="shared" si="275"/>
        <v>239.99999999999915</v>
      </c>
      <c r="Y587" s="43">
        <f t="shared" si="276"/>
        <v>0.82631999087695285</v>
      </c>
      <c r="Z587" s="49"/>
      <c r="AA587" s="24"/>
    </row>
    <row r="588" spans="1:27" hidden="1"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12.38</v>
      </c>
      <c r="V588" s="13">
        <f>IF(ISNA(VLOOKUP(LOWER(F588)&amp;H588,Prices!A:C,2,0)),0,VLOOKUP(LOWER(F588)&amp;H588,Prices!A:C,2,0))</f>
        <v>12.25</v>
      </c>
      <c r="W588" s="13">
        <f t="shared" si="274"/>
        <v>-3375.1898999999989</v>
      </c>
      <c r="X588" s="13">
        <f t="shared" si="275"/>
        <v>-65.000000000000398</v>
      </c>
      <c r="Y588" s="43">
        <f t="shared" si="276"/>
        <v>-0.35547023696682456</v>
      </c>
      <c r="Z588" s="49"/>
      <c r="AA588" s="24"/>
    </row>
    <row r="589" spans="1:27" hidden="1"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5.26</v>
      </c>
      <c r="V589" s="13">
        <f>IF(ISNA(VLOOKUP(LOWER(F589)&amp;H589,Prices!A:C,2,0)),0,VLOOKUP(LOWER(F589)&amp;H589,Prices!A:C,2,0))</f>
        <v>5.22</v>
      </c>
      <c r="W589" s="13">
        <f t="shared" si="274"/>
        <v>-105.00000000000043</v>
      </c>
      <c r="X589" s="13">
        <f t="shared" si="275"/>
        <v>-80.000000000000071</v>
      </c>
      <c r="Y589" s="43">
        <f t="shared" si="276"/>
        <v>-9.9620493358634175E-3</v>
      </c>
      <c r="Z589" s="49"/>
      <c r="AA589" s="24"/>
    </row>
    <row r="590" spans="1:27" hidden="1"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2.29</v>
      </c>
      <c r="V590" s="13">
        <f>IF(ISNA(VLOOKUP(LOWER(F590)&amp;H590,Prices!A:C,2,0)),0,VLOOKUP(LOWER(F590)&amp;H590,Prices!A:C,2,0))</f>
        <v>2.2799999999999998</v>
      </c>
      <c r="W590" s="13">
        <f t="shared" si="274"/>
        <v>-1265.1620000000019</v>
      </c>
      <c r="X590" s="13">
        <f t="shared" si="275"/>
        <v>-30.000000000000693</v>
      </c>
      <c r="Y590" s="43">
        <f t="shared" si="276"/>
        <v>-0.15619283950617305</v>
      </c>
      <c r="Z590" s="49"/>
      <c r="AA590" s="24"/>
    </row>
    <row r="591" spans="1:27" hidden="1"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49.04</v>
      </c>
      <c r="V591" s="13">
        <f>IF(ISNA(VLOOKUP(LOWER(F591)&amp;H591,Prices!A:C,2,0)),0,VLOOKUP(LOWER(F591)&amp;H591,Prices!A:C,2,0))</f>
        <v>50</v>
      </c>
      <c r="W591" s="13">
        <f t="shared" si="274"/>
        <v>2201.0000000000005</v>
      </c>
      <c r="X591" s="13">
        <f t="shared" si="275"/>
        <v>192.00000000000017</v>
      </c>
      <c r="Y591" s="43">
        <f t="shared" si="276"/>
        <v>0.28239671542211964</v>
      </c>
      <c r="Z591" s="49"/>
      <c r="AA591" s="24"/>
    </row>
    <row r="592" spans="1:27" hidden="1"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10.44</v>
      </c>
      <c r="V592" s="13">
        <f>IF(ISNA(VLOOKUP(LOWER(F592)&amp;H592,Prices!A:C,2,0)),0,VLOOKUP(LOWER(F592)&amp;H592,Prices!A:C,2,0))</f>
        <v>10.57</v>
      </c>
      <c r="W592" s="13">
        <f t="shared" si="274"/>
        <v>407.54000000000161</v>
      </c>
      <c r="X592" s="13">
        <f t="shared" si="275"/>
        <v>-234.00000000000142</v>
      </c>
      <c r="Y592" s="43">
        <f t="shared" si="276"/>
        <v>2.094459862267456E-2</v>
      </c>
      <c r="Z592" s="49"/>
      <c r="AA592" s="24"/>
    </row>
    <row r="593" spans="1:27" hidden="1"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14.9</v>
      </c>
      <c r="V593" s="13">
        <f>IF(ISNA(VLOOKUP(LOWER(F593)&amp;H593,Prices!A:C,2,0)),0,VLOOKUP(LOWER(F593)&amp;H593,Prices!A:C,2,0))</f>
        <v>15.87</v>
      </c>
      <c r="W593" s="13">
        <f t="shared" si="274"/>
        <v>1819.6800000000017</v>
      </c>
      <c r="X593" s="13">
        <f t="shared" si="275"/>
        <v>-1939.9999999999977</v>
      </c>
      <c r="Y593" s="43">
        <f t="shared" si="276"/>
        <v>5.4157142857142904E-2</v>
      </c>
      <c r="Z593" s="49"/>
      <c r="AA593" s="24"/>
    </row>
    <row r="594" spans="1:27" hidden="1"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26.72</v>
      </c>
      <c r="V594" s="13">
        <f>IF(ISNA(VLOOKUP(LOWER(F594)&amp;H594,Prices!A:C,2,0)),0,VLOOKUP(LOWER(F594)&amp;H594,Prices!A:C,2,0))</f>
        <v>26.49</v>
      </c>
      <c r="W594" s="13">
        <f t="shared" si="274"/>
        <v>36.999999999999389</v>
      </c>
      <c r="X594" s="13">
        <f t="shared" si="275"/>
        <v>-69.000000000000128</v>
      </c>
      <c r="Y594" s="43">
        <f t="shared" si="276"/>
        <v>4.6805819101833511E-3</v>
      </c>
      <c r="Z594" s="49"/>
      <c r="AA594" s="24"/>
    </row>
    <row r="595" spans="1:27" hidden="1"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11.94</v>
      </c>
      <c r="V595" s="13">
        <f>IF(ISNA(VLOOKUP(LOWER(F595)&amp;H595,Prices!A:C,2,0)),0,VLOOKUP(LOWER(F595)&amp;H595,Prices!A:C,2,0))</f>
        <v>12.14</v>
      </c>
      <c r="W595" s="13">
        <f t="shared" si="274"/>
        <v>-2459.9999999999991</v>
      </c>
      <c r="X595" s="13">
        <f t="shared" si="275"/>
        <v>100.00000000000054</v>
      </c>
      <c r="Y595" s="43">
        <f t="shared" si="276"/>
        <v>-0.28856304985337233</v>
      </c>
      <c r="Z595" s="49"/>
      <c r="AA595" s="24"/>
    </row>
    <row r="596" spans="1:27" hidden="1"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37.200000000000003</v>
      </c>
      <c r="V596" s="13">
        <f>IF(ISNA(VLOOKUP(LOWER(F596)&amp;H596,Prices!A:C,2,0)),0,VLOOKUP(LOWER(F596)&amp;H596,Prices!A:C,2,0))</f>
        <v>36.520000000000003</v>
      </c>
      <c r="W596" s="13">
        <f t="shared" si="274"/>
        <v>-689</v>
      </c>
      <c r="X596" s="13">
        <f t="shared" si="275"/>
        <v>-135.99999999999994</v>
      </c>
      <c r="Y596" s="43">
        <f t="shared" si="276"/>
        <v>-8.6254381572358541E-2</v>
      </c>
      <c r="Z596" s="49"/>
      <c r="AA596" s="24"/>
    </row>
    <row r="597" spans="1:27" hidden="1"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11.94</v>
      </c>
      <c r="V597" s="13">
        <f>IF(ISNA(VLOOKUP(LOWER(F597)&amp;H597,Prices!A:C,2,0)),0,VLOOKUP(LOWER(F597)&amp;H597,Prices!A:C,2,0))</f>
        <v>12.14</v>
      </c>
      <c r="W597" s="13">
        <f t="shared" ref="W597:W624" si="285">IF(I597="B",(V597+T597)*K597,(V597+T597)*K597)</f>
        <v>2446.4699999999998</v>
      </c>
      <c r="X597" s="13">
        <f t="shared" ref="X597:X624" si="286">K597*(V597-U597)</f>
        <v>-100.00000000000054</v>
      </c>
      <c r="Y597" s="43">
        <f t="shared" ref="Y597:Y624" si="287">W597/O597</f>
        <v>0.28680773739742083</v>
      </c>
      <c r="Z597" s="49"/>
      <c r="AA597" s="24"/>
    </row>
    <row r="598" spans="1:27" hidden="1"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hidden="1"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47.03</v>
      </c>
      <c r="V599" s="13">
        <f>IF(ISNA(VLOOKUP(LOWER(F599)&amp;H599,Prices!A:C,2,0)),0,VLOOKUP(LOWER(F599)&amp;H599,Prices!A:C,2,0))</f>
        <v>45.1</v>
      </c>
      <c r="W599" s="13">
        <f t="shared" si="285"/>
        <v>-1715.3047999999985</v>
      </c>
      <c r="X599" s="13">
        <f t="shared" si="286"/>
        <v>-578.99999999999989</v>
      </c>
      <c r="Y599" s="43">
        <f t="shared" si="287"/>
        <v>-0.11255280839895003</v>
      </c>
      <c r="Z599" s="49"/>
      <c r="AA599" s="24"/>
    </row>
    <row r="600" spans="1:27" hidden="1"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12.15</v>
      </c>
      <c r="V600" s="13">
        <f>IF(ISNA(VLOOKUP(LOWER(F600)&amp;H600,Prices!A:C,2,0)),0,VLOOKUP(LOWER(F600)&amp;H600,Prices!A:C,2,0))</f>
        <v>12.19</v>
      </c>
      <c r="W600" s="13">
        <f t="shared" si="285"/>
        <v>-1515.0000000000005</v>
      </c>
      <c r="X600" s="13">
        <f t="shared" si="286"/>
        <v>39.999999999999147</v>
      </c>
      <c r="Y600" s="43">
        <f t="shared" si="287"/>
        <v>-0.11058394160583945</v>
      </c>
      <c r="Z600" s="49"/>
      <c r="AA600" s="24"/>
    </row>
    <row r="601" spans="1:27" hidden="1"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55.39</v>
      </c>
      <c r="V601" s="13">
        <f>IF(ISNA(VLOOKUP(LOWER(F601)&amp;H601,Prices!A:C,2,0)),0,VLOOKUP(LOWER(F601)&amp;H601,Prices!A:C,2,0))</f>
        <v>57.19</v>
      </c>
      <c r="W601" s="13">
        <f t="shared" si="285"/>
        <v>-34757.459999999992</v>
      </c>
      <c r="X601" s="13">
        <f t="shared" si="286"/>
        <v>-1799.9999999999973</v>
      </c>
      <c r="Y601" s="43">
        <f t="shared" si="287"/>
        <v>-1.5475271593944786</v>
      </c>
      <c r="Z601" s="49"/>
      <c r="AA601" s="24"/>
    </row>
    <row r="602" spans="1:27" hidden="1"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41.3</v>
      </c>
      <c r="V602" s="13">
        <f>IF(ISNA(VLOOKUP(LOWER(F602)&amp;H602,Prices!A:C,2,0)),0,VLOOKUP(LOWER(F602)&amp;H602,Prices!A:C,2,0))</f>
        <v>42.53</v>
      </c>
      <c r="W602" s="13">
        <f t="shared" si="285"/>
        <v>-8392.89</v>
      </c>
      <c r="X602" s="13">
        <f t="shared" si="286"/>
        <v>-615.00000000000205</v>
      </c>
      <c r="Y602" s="43">
        <f t="shared" si="287"/>
        <v>-0.65111636927851047</v>
      </c>
      <c r="Z602" s="49"/>
      <c r="AA602" s="24"/>
    </row>
    <row r="603" spans="1:27" hidden="1"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26.72</v>
      </c>
      <c r="V603" s="13">
        <f>IF(ISNA(VLOOKUP(LOWER(F603)&amp;H603,Prices!A:C,2,0)),0,VLOOKUP(LOWER(F603)&amp;H603,Prices!A:C,2,0))</f>
        <v>26.49</v>
      </c>
      <c r="W603" s="13">
        <f t="shared" si="285"/>
        <v>-33.929999999998728</v>
      </c>
      <c r="X603" s="13">
        <f t="shared" si="286"/>
        <v>69.000000000000128</v>
      </c>
      <c r="Y603" s="43">
        <f t="shared" si="287"/>
        <v>-4.2808478425433666E-3</v>
      </c>
      <c r="Z603" s="49"/>
      <c r="AA603" s="24"/>
    </row>
    <row r="604" spans="1:27" hidden="1"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29.75</v>
      </c>
      <c r="V604" s="13">
        <f>IF(ISNA(VLOOKUP(LOWER(F604)&amp;H604,Prices!A:C,2,0)),0,VLOOKUP(LOWER(F604)&amp;H604,Prices!A:C,2,0))</f>
        <v>29.5</v>
      </c>
      <c r="W604" s="13">
        <f t="shared" si="285"/>
        <v>-13263.16</v>
      </c>
      <c r="X604" s="13">
        <f t="shared" si="286"/>
        <v>300</v>
      </c>
      <c r="Y604" s="43">
        <f t="shared" si="287"/>
        <v>-0.59841003428983941</v>
      </c>
      <c r="Z604" s="49"/>
      <c r="AA604" s="24"/>
    </row>
    <row r="605" spans="1:27" hidden="1"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29.75</v>
      </c>
      <c r="V605" s="13">
        <f>IF(ISNA(VLOOKUP(LOWER(F605)&amp;H605,Prices!A:C,2,0)),0,VLOOKUP(LOWER(F605)&amp;H605,Prices!A:C,2,0))</f>
        <v>29.5</v>
      </c>
      <c r="W605" s="13">
        <f t="shared" si="285"/>
        <v>-6586.13</v>
      </c>
      <c r="X605" s="13">
        <f t="shared" si="286"/>
        <v>150</v>
      </c>
      <c r="Y605" s="43">
        <f t="shared" si="287"/>
        <v>-0.59174573225516625</v>
      </c>
      <c r="Z605" s="49"/>
      <c r="AA605" s="24"/>
    </row>
    <row r="606" spans="1:27" hidden="1"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101.5</v>
      </c>
      <c r="V606" s="13">
        <f>IF(ISNA(VLOOKUP(LOWER(F606)&amp;H606,Prices!A:C,2,0)),0,VLOOKUP(LOWER(F606)&amp;H606,Prices!A:C,2,0))</f>
        <v>101.32</v>
      </c>
      <c r="W606" s="13">
        <f t="shared" si="285"/>
        <v>-11015.459599999996</v>
      </c>
      <c r="X606" s="13">
        <f t="shared" si="286"/>
        <v>72.000000000002728</v>
      </c>
      <c r="Y606" s="43">
        <f t="shared" si="287"/>
        <v>-0.37279882225531324</v>
      </c>
      <c r="Z606" s="49"/>
      <c r="AA606" s="24"/>
    </row>
    <row r="607" spans="1:27" hidden="1"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2.29</v>
      </c>
      <c r="V607" s="13">
        <f>IF(ISNA(VLOOKUP(LOWER(F607)&amp;H607,Prices!A:C,2,0)),0,VLOOKUP(LOWER(F607)&amp;H607,Prices!A:C,2,0))</f>
        <v>2.2799999999999998</v>
      </c>
      <c r="W607" s="13">
        <f t="shared" si="285"/>
        <v>590.8996000000011</v>
      </c>
      <c r="X607" s="13">
        <f t="shared" si="286"/>
        <v>15.000000000000346</v>
      </c>
      <c r="Y607" s="43">
        <f t="shared" si="287"/>
        <v>0.14698995024875647</v>
      </c>
      <c r="Z607" s="49"/>
      <c r="AA607" s="24"/>
    </row>
    <row r="608" spans="1:27" hidden="1"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5.26</v>
      </c>
      <c r="V608" s="13">
        <f>IF(ISNA(VLOOKUP(LOWER(F608)&amp;H608,Prices!A:C,2,0)),0,VLOOKUP(LOWER(F608)&amp;H608,Prices!A:C,2,0))</f>
        <v>5.22</v>
      </c>
      <c r="W608" s="13">
        <f t="shared" si="285"/>
        <v>29.740000000000322</v>
      </c>
      <c r="X608" s="13">
        <f t="shared" si="286"/>
        <v>40.000000000000036</v>
      </c>
      <c r="Y608" s="43">
        <f t="shared" si="287"/>
        <v>5.6539923954373236E-3</v>
      </c>
      <c r="Z608" s="49"/>
      <c r="AA608" s="24"/>
    </row>
    <row r="609" spans="1:27" hidden="1"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49.04</v>
      </c>
      <c r="V609" s="13">
        <f>IF(ISNA(VLOOKUP(LOWER(F609)&amp;H609,Prices!A:C,2,0)),0,VLOOKUP(LOWER(F609)&amp;H609,Prices!A:C,2,0))</f>
        <v>50</v>
      </c>
      <c r="W609" s="13">
        <f t="shared" si="285"/>
        <v>-2232.7799999999997</v>
      </c>
      <c r="X609" s="13">
        <f t="shared" si="286"/>
        <v>-192.00000000000017</v>
      </c>
      <c r="Y609" s="43">
        <f t="shared" si="287"/>
        <v>-0.28698971722365035</v>
      </c>
      <c r="Z609" s="49"/>
      <c r="AA609" s="24"/>
    </row>
    <row r="610" spans="1:27" hidden="1"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hidden="1"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29.75</v>
      </c>
      <c r="V611" s="13">
        <f>IF(ISNA(VLOOKUP(LOWER(F611)&amp;H611,Prices!A:C,2,0)),0,VLOOKUP(LOWER(F611)&amp;H611,Prices!A:C,2,0))</f>
        <v>29.5</v>
      </c>
      <c r="W611" s="13">
        <f t="shared" si="285"/>
        <v>-7731.9400000000005</v>
      </c>
      <c r="X611" s="13">
        <f t="shared" si="286"/>
        <v>175</v>
      </c>
      <c r="Y611" s="43">
        <f t="shared" si="287"/>
        <v>-0.59770717377860239</v>
      </c>
      <c r="Z611" s="49"/>
      <c r="AA611" s="24"/>
    </row>
    <row r="612" spans="1:27" hidden="1"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101.5</v>
      </c>
      <c r="V612" s="13">
        <f>IF(ISNA(VLOOKUP(LOWER(F612)&amp;H612,Prices!A:C,2,0)),0,VLOOKUP(LOWER(F612)&amp;H612,Prices!A:C,2,0))</f>
        <v>101.32</v>
      </c>
      <c r="W612" s="13">
        <f t="shared" si="285"/>
        <v>-11131.316399999998</v>
      </c>
      <c r="X612" s="13">
        <f t="shared" si="286"/>
        <v>72.000000000002728</v>
      </c>
      <c r="Y612" s="43">
        <f t="shared" si="287"/>
        <v>-0.378204552867627</v>
      </c>
      <c r="Z612" s="49"/>
      <c r="AA612" s="24"/>
    </row>
    <row r="613" spans="1:27" hidden="1"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5.26</v>
      </c>
      <c r="V613" s="13">
        <f>IF(ISNA(VLOOKUP(LOWER(F613)&amp;H613,Prices!A:C,2,0)),0,VLOOKUP(LOWER(F613)&amp;H613,Prices!A:C,2,0))</f>
        <v>5.22</v>
      </c>
      <c r="W613" s="13">
        <f t="shared" si="285"/>
        <v>-60.169999999999391</v>
      </c>
      <c r="X613" s="13">
        <f t="shared" si="286"/>
        <v>40.000000000000036</v>
      </c>
      <c r="Y613" s="43">
        <f t="shared" si="287"/>
        <v>-1.1638297872340308E-2</v>
      </c>
      <c r="Z613" s="49"/>
      <c r="AA613" s="24"/>
    </row>
    <row r="614" spans="1:27" hidden="1"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hidden="1"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52.6</v>
      </c>
      <c r="V615" s="13">
        <f>IF(ISNA(VLOOKUP(LOWER(F615)&amp;H615,Prices!A:C,2,0)),0,VLOOKUP(LOWER(F615)&amp;H615,Prices!A:C,2,0))</f>
        <v>53.4</v>
      </c>
      <c r="W615" s="13">
        <f t="shared" si="285"/>
        <v>-4792.8999999999996</v>
      </c>
      <c r="X615" s="13">
        <f t="shared" si="286"/>
        <v>-159.99999999999943</v>
      </c>
      <c r="Y615" s="43">
        <f t="shared" si="287"/>
        <v>-0.81263140047473714</v>
      </c>
      <c r="Z615" s="49"/>
      <c r="AA615" s="24"/>
    </row>
    <row r="616" spans="1:27" hidden="1"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27.42</v>
      </c>
      <c r="V616" s="13">
        <f>IF(ISNA(VLOOKUP(LOWER(F616)&amp;H616,Prices!A:C,2,0)),0,VLOOKUP(LOWER(F616)&amp;H616,Prices!A:C,2,0))</f>
        <v>27.92</v>
      </c>
      <c r="W616" s="13">
        <f t="shared" si="285"/>
        <v>1937.9157199999995</v>
      </c>
      <c r="X616" s="13">
        <f t="shared" si="286"/>
        <v>-300</v>
      </c>
      <c r="Y616" s="43">
        <f t="shared" si="287"/>
        <v>0.10355432937907447</v>
      </c>
      <c r="Z616" s="49"/>
      <c r="AA616" s="24"/>
    </row>
    <row r="617" spans="1:27" hidden="1"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650.07000000000005</v>
      </c>
      <c r="V617" s="13">
        <f>IF(ISNA(VLOOKUP(LOWER(F617)&amp;H617,Prices!A:C,2,0)),0,VLOOKUP(LOWER(F617)&amp;H617,Prices!A:C,2,0))</f>
        <v>677.95</v>
      </c>
      <c r="W617" s="13">
        <f t="shared" si="285"/>
        <v>-99352.075200000007</v>
      </c>
      <c r="X617" s="13">
        <f t="shared" si="286"/>
        <v>-8363.9999999999982</v>
      </c>
      <c r="Y617" s="43">
        <f t="shared" si="287"/>
        <v>-0.9538409677419355</v>
      </c>
      <c r="Z617" s="49"/>
      <c r="AA617" s="24"/>
    </row>
    <row r="618" spans="1:27" hidden="1"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52.6</v>
      </c>
      <c r="V618" s="13">
        <f>IF(ISNA(VLOOKUP(LOWER(F618)&amp;H618,Prices!A:C,2,0)),0,VLOOKUP(LOWER(F618)&amp;H618,Prices!A:C,2,0))</f>
        <v>53.4</v>
      </c>
      <c r="W618" s="13">
        <f t="shared" si="285"/>
        <v>-2399.9499999999998</v>
      </c>
      <c r="X618" s="13">
        <f t="shared" si="286"/>
        <v>-79.999999999999716</v>
      </c>
      <c r="Y618" s="43">
        <f t="shared" si="287"/>
        <v>-0.81409430122116688</v>
      </c>
      <c r="Z618" s="49"/>
      <c r="AA618" s="24"/>
    </row>
    <row r="619" spans="1:27" hidden="1"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14.6</v>
      </c>
      <c r="V619" s="13">
        <f>IF(ISNA(VLOOKUP(LOWER(F619)&amp;H619,Prices!A:C,2,0)),0,VLOOKUP(LOWER(F619)&amp;H619,Prices!A:C,2,0))</f>
        <v>14.54</v>
      </c>
      <c r="W619" s="13">
        <f t="shared" si="285"/>
        <v>-1715.325</v>
      </c>
      <c r="X619" s="13">
        <f t="shared" si="286"/>
        <v>-60.000000000000497</v>
      </c>
      <c r="Y619" s="43">
        <f t="shared" si="287"/>
        <v>-0.10555846153846155</v>
      </c>
      <c r="Z619" s="49"/>
      <c r="AA619" s="24"/>
    </row>
    <row r="620" spans="1:27" hidden="1"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18.82</v>
      </c>
      <c r="V620" s="13">
        <f>IF(ISNA(VLOOKUP(LOWER(F620)&amp;H620,Prices!A:C,2,0)),0,VLOOKUP(LOWER(F620)&amp;H620,Prices!A:C,2,0))</f>
        <v>18.57</v>
      </c>
      <c r="W620" s="13">
        <f t="shared" si="285"/>
        <v>-2334.9999999999991</v>
      </c>
      <c r="X620" s="13">
        <f t="shared" si="286"/>
        <v>-125</v>
      </c>
      <c r="Y620" s="43">
        <f t="shared" si="287"/>
        <v>-0.2010331467929401</v>
      </c>
      <c r="Z620" s="49"/>
      <c r="AA620" s="24"/>
    </row>
    <row r="621" spans="1:27" hidden="1"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13.35</v>
      </c>
      <c r="V621" s="13">
        <f>IF(ISNA(VLOOKUP(LOWER(F621)&amp;H621,Prices!A:C,2,0)),0,VLOOKUP(LOWER(F621)&amp;H621,Prices!A:C,2,0))</f>
        <v>13.6</v>
      </c>
      <c r="W621" s="13">
        <f t="shared" si="285"/>
        <v>-1433.0000000000002</v>
      </c>
      <c r="X621" s="13">
        <f t="shared" si="286"/>
        <v>150</v>
      </c>
      <c r="Y621" s="43">
        <f t="shared" si="287"/>
        <v>-0.1494576554025866</v>
      </c>
      <c r="Z621" s="49"/>
      <c r="AA621" s="24"/>
    </row>
    <row r="622" spans="1:27" hidden="1"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20.82</v>
      </c>
      <c r="V622" s="13">
        <f>IF(ISNA(VLOOKUP(LOWER(F622)&amp;H622,Prices!A:C,2,0)),0,VLOOKUP(LOWER(F622)&amp;H622,Prices!A:C,2,0))</f>
        <v>20.88</v>
      </c>
      <c r="W622" s="13">
        <f t="shared" si="285"/>
        <v>-438.05042000000009</v>
      </c>
      <c r="X622" s="13">
        <f t="shared" si="286"/>
        <v>5.9999999999998721</v>
      </c>
      <c r="Y622" s="43">
        <f t="shared" si="287"/>
        <v>-0.17376057913526383</v>
      </c>
      <c r="Z622" s="49"/>
      <c r="AA622" s="24"/>
    </row>
    <row r="623" spans="1:27" hidden="1"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2.29</v>
      </c>
      <c r="V623" s="13">
        <f>IF(ISNA(VLOOKUP(LOWER(F623)&amp;H623,Prices!A:C,2,0)),0,VLOOKUP(LOWER(F623)&amp;H623,Prices!A:C,2,0))</f>
        <v>2.2799999999999998</v>
      </c>
      <c r="W623" s="13">
        <f t="shared" si="285"/>
        <v>590.8996000000011</v>
      </c>
      <c r="X623" s="13">
        <f t="shared" si="286"/>
        <v>15.000000000000346</v>
      </c>
      <c r="Y623" s="43">
        <f t="shared" si="287"/>
        <v>0.14698995024875647</v>
      </c>
      <c r="Z623" s="49"/>
      <c r="AA623" s="24"/>
    </row>
    <row r="624" spans="1:27" hidden="1"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20.93</v>
      </c>
      <c r="V624" s="13">
        <f>IF(ISNA(VLOOKUP(LOWER(F624)&amp;H624,Prices!A:C,2,0)),0,VLOOKUP(LOWER(F624)&amp;H624,Prices!A:C,2,0))</f>
        <v>21.03</v>
      </c>
      <c r="W624" s="13">
        <f t="shared" si="285"/>
        <v>-130.60800000000052</v>
      </c>
      <c r="X624" s="13">
        <f t="shared" si="286"/>
        <v>-50.000000000000711</v>
      </c>
      <c r="Y624" s="43">
        <f t="shared" si="287"/>
        <v>-1.2558461538461588E-2</v>
      </c>
      <c r="Z624" s="49"/>
      <c r="AA624" s="24"/>
    </row>
    <row r="625" spans="1:27" hidden="1"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20.82</v>
      </c>
      <c r="V625" s="13">
        <f>IF(ISNA(VLOOKUP(LOWER(F625)&amp;H625,Prices!A:C,2,0)),0,VLOOKUP(LOWER(F625)&amp;H625,Prices!A:C,2,0))</f>
        <v>20.88</v>
      </c>
      <c r="W625" s="13">
        <f t="shared" ref="W625:W632" si="292">IF(I625="B",(V625+T625)*K625,(V625+T625)*K625)</f>
        <v>522.32763999999997</v>
      </c>
      <c r="X625" s="13">
        <f t="shared" ref="X625:X632" si="293">K625*(V625-U625)</f>
        <v>-5.9999999999998721</v>
      </c>
      <c r="Y625" s="43">
        <f t="shared" ref="Y625:Y632" si="294">W625/O625</f>
        <v>0.19951399541634834</v>
      </c>
      <c r="Z625" s="49"/>
      <c r="AA625" s="24"/>
    </row>
    <row r="626" spans="1:27" hidden="1"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47.03</v>
      </c>
      <c r="V626" s="13">
        <f>IF(ISNA(VLOOKUP(LOWER(F626)&amp;H626,Prices!A:C,2,0)),0,VLOOKUP(LOWER(F626)&amp;H626,Prices!A:C,2,0))</f>
        <v>45.1</v>
      </c>
      <c r="W626" s="13">
        <f t="shared" si="292"/>
        <v>2019.1186000000002</v>
      </c>
      <c r="X626" s="13">
        <f t="shared" si="293"/>
        <v>578.99999999999989</v>
      </c>
      <c r="Y626" s="43">
        <f t="shared" si="294"/>
        <v>0.12968006422607581</v>
      </c>
      <c r="Z626" s="49"/>
      <c r="AA626" s="24"/>
    </row>
    <row r="627" spans="1:27" hidden="1"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18.82</v>
      </c>
      <c r="V627" s="13">
        <f>IF(ISNA(VLOOKUP(LOWER(F627)&amp;H627,Prices!A:C,2,0)),0,VLOOKUP(LOWER(F627)&amp;H627,Prices!A:C,2,0))</f>
        <v>18.57</v>
      </c>
      <c r="W627" s="13">
        <f t="shared" si="292"/>
        <v>2488.2099999999987</v>
      </c>
      <c r="X627" s="13">
        <f t="shared" si="293"/>
        <v>125</v>
      </c>
      <c r="Y627" s="43">
        <f t="shared" si="294"/>
        <v>0.21104410517387606</v>
      </c>
      <c r="Z627" s="49"/>
      <c r="AA627" s="24"/>
    </row>
    <row r="628" spans="1:27" hidden="1"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37.200000000000003</v>
      </c>
      <c r="V628" s="13">
        <f>IF(ISNA(VLOOKUP(LOWER(F628)&amp;H628,Prices!A:C,2,0)),0,VLOOKUP(LOWER(F628)&amp;H628,Prices!A:C,2,0))</f>
        <v>36.520000000000003</v>
      </c>
      <c r="W628" s="13">
        <f t="shared" si="292"/>
        <v>663.02000000000021</v>
      </c>
      <c r="X628" s="13">
        <f t="shared" si="293"/>
        <v>135.99999999999994</v>
      </c>
      <c r="Y628" s="43">
        <f t="shared" si="294"/>
        <v>8.3085213032581484E-2</v>
      </c>
      <c r="Z628" s="49"/>
      <c r="AA628" s="24"/>
    </row>
    <row r="629" spans="1:27" hidden="1"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12.38</v>
      </c>
      <c r="V629" s="13">
        <f>IF(ISNA(VLOOKUP(LOWER(F629)&amp;H629,Prices!A:C,2,0)),0,VLOOKUP(LOWER(F629)&amp;H629,Prices!A:C,2,0))</f>
        <v>12.25</v>
      </c>
      <c r="W629" s="13">
        <f t="shared" si="292"/>
        <v>3100.5751999999998</v>
      </c>
      <c r="X629" s="13">
        <f t="shared" si="293"/>
        <v>65.000000000000398</v>
      </c>
      <c r="Y629" s="43">
        <f t="shared" si="294"/>
        <v>0.33556008658008657</v>
      </c>
      <c r="Z629" s="49"/>
      <c r="AA629" s="24"/>
    </row>
    <row r="630" spans="1:27" hidden="1"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hidden="1"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14.6</v>
      </c>
      <c r="V631" s="13">
        <f>IF(ISNA(VLOOKUP(LOWER(F631)&amp;H631,Prices!A:C,2,0)),0,VLOOKUP(LOWER(F631)&amp;H631,Prices!A:C,2,0))</f>
        <v>14.54</v>
      </c>
      <c r="W631" s="13">
        <f t="shared" si="292"/>
        <v>1698.4148000000018</v>
      </c>
      <c r="X631" s="13">
        <f t="shared" si="293"/>
        <v>60.000000000000497</v>
      </c>
      <c r="Y631" s="43">
        <f t="shared" si="294"/>
        <v>0.10445355473554746</v>
      </c>
      <c r="Z631" s="49"/>
      <c r="AA631" s="24"/>
    </row>
    <row r="632" spans="1:27" hidden="1"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13.35</v>
      </c>
      <c r="V632" s="13">
        <f>IF(ISNA(VLOOKUP(LOWER(F632)&amp;H632,Prices!A:C,2,0)),0,VLOOKUP(LOWER(F632)&amp;H632,Prices!A:C,2,0))</f>
        <v>13.6</v>
      </c>
      <c r="W632" s="13">
        <f t="shared" si="292"/>
        <v>1383.4400000000005</v>
      </c>
      <c r="X632" s="13">
        <f t="shared" si="293"/>
        <v>-150</v>
      </c>
      <c r="Y632" s="43">
        <f t="shared" si="294"/>
        <v>0.14474157773592808</v>
      </c>
      <c r="Z632" s="49"/>
      <c r="AA632" s="24"/>
    </row>
    <row r="633" spans="1:27" hidden="1"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16.34</v>
      </c>
      <c r="V633" s="13">
        <f>IF(ISNA(VLOOKUP(LOWER(F633)&amp;H633,Prices!A:C,2,0)),0,VLOOKUP(LOWER(F633)&amp;H633,Prices!A:C,2,0))</f>
        <v>16.3</v>
      </c>
      <c r="W633" s="13">
        <f>IF(I633="B",(V633+T633)*K633,(V633+T633)*K633)</f>
        <v>-2705.3800000000015</v>
      </c>
      <c r="X633" s="13">
        <f t="shared" ref="X633:X639" si="299">K633*(V633-U633)</f>
        <v>-39.999999999999147</v>
      </c>
      <c r="Y633" s="43">
        <f t="shared" ref="Y633:Y639" si="300">W633/O633</f>
        <v>-0.14238842105263166</v>
      </c>
      <c r="Z633" s="49"/>
      <c r="AA633" s="24"/>
    </row>
    <row r="634" spans="1:27" hidden="1"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61.83</v>
      </c>
      <c r="V634" s="13">
        <f>IF(ISNA(VLOOKUP(LOWER(F634)&amp;H634,Prices!A:C,2,0)),0,VLOOKUP(LOWER(F634)&amp;H634,Prices!A:C,2,0))</f>
        <v>67.349999999999994</v>
      </c>
      <c r="W634" s="13">
        <f t="shared" ref="W634:W639" si="301">IF(I634="B",(V634+T634)*K634,(V634+T634)*K634)</f>
        <v>22250.0802</v>
      </c>
      <c r="X634" s="13">
        <f t="shared" si="299"/>
        <v>5519.9999999999964</v>
      </c>
      <c r="Y634" s="43">
        <f t="shared" si="300"/>
        <v>0.49345930805056554</v>
      </c>
      <c r="Z634" s="49"/>
      <c r="AA634" s="24"/>
    </row>
    <row r="635" spans="1:27" hidden="1"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42.51</v>
      </c>
      <c r="V635" s="13">
        <f>IF(ISNA(VLOOKUP(LOWER(F635)&amp;H635,Prices!A:C,2,0)),0,VLOOKUP(LOWER(F635)&amp;H635,Prices!A:C,2,0))</f>
        <v>44.41</v>
      </c>
      <c r="W635" s="13">
        <f t="shared" si="301"/>
        <v>15823.712399999999</v>
      </c>
      <c r="X635" s="46">
        <f>K635*(V635-U635)</f>
        <v>1899.9999999999986</v>
      </c>
      <c r="Y635" s="43">
        <f t="shared" si="300"/>
        <v>0.55366383484954507</v>
      </c>
      <c r="Z635" s="49"/>
      <c r="AA635" s="24"/>
    </row>
    <row r="636" spans="1:27" hidden="1"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42.51</v>
      </c>
      <c r="V636" s="13">
        <f>IF(ISNA(VLOOKUP(LOWER(F636)&amp;H636,Prices!A:C,2,0)),0,VLOOKUP(LOWER(F636)&amp;H636,Prices!A:C,2,0))</f>
        <v>44.41</v>
      </c>
      <c r="W636" s="13">
        <f t="shared" si="301"/>
        <v>7999.7159999999994</v>
      </c>
      <c r="X636" s="46">
        <f>K636*(V636-U636)</f>
        <v>949.99999999999932</v>
      </c>
      <c r="Y636" s="43">
        <f t="shared" si="300"/>
        <v>0.56336028169014085</v>
      </c>
      <c r="Z636" s="49"/>
      <c r="AA636" s="24"/>
    </row>
    <row r="637" spans="1:27" hidden="1"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18.36</v>
      </c>
      <c r="V637" s="13">
        <f>IF(ISNA(VLOOKUP(LOWER(F637)&amp;H637,Prices!A:C,2,0)),0,VLOOKUP(LOWER(F637)&amp;H637,Prices!A:C,2,0))</f>
        <v>18.21</v>
      </c>
      <c r="W637" s="13">
        <f t="shared" si="301"/>
        <v>-7805.2020000000011</v>
      </c>
      <c r="X637" s="13">
        <f t="shared" si="299"/>
        <v>-149.99999999999858</v>
      </c>
      <c r="Y637" s="43">
        <f t="shared" si="300"/>
        <v>-0.30008465974625148</v>
      </c>
      <c r="Z637" s="49"/>
      <c r="AA637" s="24"/>
    </row>
    <row r="638" spans="1:27" hidden="1"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70.98</v>
      </c>
      <c r="V638" s="13">
        <f>IF(ISNA(VLOOKUP(LOWER(F638)&amp;H638,Prices!A:C,2,0)),0,VLOOKUP(LOWER(F638)&amp;H638,Prices!A:C,2,0))</f>
        <v>71.52</v>
      </c>
      <c r="W638" s="13">
        <f>IF(I638="B",(V638+T638)*K638,(V638+T638)*K638)</f>
        <v>11289.510699999997</v>
      </c>
      <c r="X638" s="46">
        <f t="shared" si="299"/>
        <v>269.99999999999602</v>
      </c>
      <c r="Y638" s="43">
        <f t="shared" si="300"/>
        <v>0.46145557735540554</v>
      </c>
      <c r="Z638" s="49"/>
      <c r="AA638" s="24"/>
    </row>
    <row r="639" spans="1:27" hidden="1"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12.15</v>
      </c>
      <c r="V639" s="13">
        <f>IF(ISNA(VLOOKUP(LOWER(F639)&amp;H639,Prices!A:C,2,0)),0,VLOOKUP(LOWER(F639)&amp;H639,Prices!A:C,2,0))</f>
        <v>12.19</v>
      </c>
      <c r="W639" s="13">
        <f t="shared" si="301"/>
        <v>1221.5699999999997</v>
      </c>
      <c r="X639" s="13">
        <f t="shared" si="299"/>
        <v>-39.999999999999147</v>
      </c>
      <c r="Y639" s="43">
        <f t="shared" si="300"/>
        <v>9.0958302308265057E-2</v>
      </c>
      <c r="Z639" s="49"/>
      <c r="AA639" s="24"/>
    </row>
    <row r="640" spans="1:27" s="13" customFormat="1" hidden="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hidden="1"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6.16</v>
      </c>
      <c r="V641" s="13">
        <f>IF(ISNA(VLOOKUP(LOWER(F641)&amp;H641,Prices!A:C,2,0)),0,VLOOKUP(LOWER(F641)&amp;H641,Prices!A:C,2,0))</f>
        <v>6.07</v>
      </c>
      <c r="W641" s="13">
        <f t="shared" si="306"/>
        <v>-7645</v>
      </c>
      <c r="X641" s="46">
        <f t="shared" si="307"/>
        <v>-179.99999999999972</v>
      </c>
      <c r="Y641" s="43">
        <f t="shared" si="308"/>
        <v>-0.38650151668351873</v>
      </c>
      <c r="Z641" s="49"/>
      <c r="AA641" s="24"/>
    </row>
    <row r="642" spans="1:27" hidden="1"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16.34</v>
      </c>
      <c r="V642" s="13">
        <f>IF(ISNA(VLOOKUP(LOWER(F642)&amp;H642,Prices!A:C,2,0)),0,VLOOKUP(LOWER(F642)&amp;H642,Prices!A:C,2,0))</f>
        <v>16.3</v>
      </c>
      <c r="W642" s="13">
        <f t="shared" si="306"/>
        <v>3005.2833999999962</v>
      </c>
      <c r="X642" s="13">
        <f t="shared" si="307"/>
        <v>39.999999999999147</v>
      </c>
      <c r="Y642" s="43">
        <f t="shared" si="308"/>
        <v>0.15547249870667337</v>
      </c>
      <c r="Z642" s="49"/>
      <c r="AA642" s="24"/>
    </row>
    <row r="643" spans="1:27" hidden="1"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61.83</v>
      </c>
      <c r="V643" s="13">
        <f>IF(ISNA(VLOOKUP(LOWER(F643)&amp;H643,Prices!A:C,2,0)),0,VLOOKUP(LOWER(F643)&amp;H643,Prices!A:C,2,0))</f>
        <v>67.349999999999994</v>
      </c>
      <c r="W643" s="13">
        <f t="shared" si="306"/>
        <v>-22135.229399999993</v>
      </c>
      <c r="X643" s="13">
        <f t="shared" si="307"/>
        <v>-5519.9999999999964</v>
      </c>
      <c r="Y643" s="43">
        <f t="shared" si="308"/>
        <v>-0.48896022531477784</v>
      </c>
      <c r="Z643" s="49"/>
      <c r="AA643" s="24"/>
    </row>
    <row r="644" spans="1:27" hidden="1"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18.36</v>
      </c>
      <c r="V644" s="13">
        <f>IF(ISNA(VLOOKUP(LOWER(F644)&amp;H644,Prices!A:C,2,0)),0,VLOOKUP(LOWER(F644)&amp;H644,Prices!A:C,2,0))</f>
        <v>18.21</v>
      </c>
      <c r="W644" s="13">
        <f t="shared" si="306"/>
        <v>7718.8480000000009</v>
      </c>
      <c r="X644" s="13">
        <f t="shared" si="307"/>
        <v>149.99999999999858</v>
      </c>
      <c r="Y644" s="43">
        <f t="shared" si="308"/>
        <v>0.29733620955315876</v>
      </c>
      <c r="Z644" s="49"/>
      <c r="AA644" s="24"/>
    </row>
    <row r="645" spans="1:27" s="13" customFormat="1" hidden="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650.07000000000005</v>
      </c>
      <c r="V645" s="13">
        <f>IF(ISNA(VLOOKUP(LOWER(F645)&amp;H645,Prices!A:C,2,0)),0,VLOOKUP(LOWER(F645)&amp;H645,Prices!A:C,2,0))</f>
        <v>677.95</v>
      </c>
      <c r="W645" s="13">
        <f t="shared" ref="W645" si="316">IF(I645="B",(V645+T645)*K645,(V645+T645)*K645)</f>
        <v>33357.425400000007</v>
      </c>
      <c r="X645" s="46">
        <f t="shared" ref="X645" si="317">K645*(V645-U645)</f>
        <v>2787.9999999999995</v>
      </c>
      <c r="Y645" s="43">
        <f t="shared" ref="Y645" si="318">W645/O645</f>
        <v>0.96884767354051715</v>
      </c>
      <c r="Z645" s="49"/>
      <c r="AA645" s="24"/>
    </row>
    <row r="646" spans="1:27" s="13" customFormat="1" hidden="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hidden="1"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70.98</v>
      </c>
      <c r="V647" s="13">
        <f>IF(ISNA(VLOOKUP(LOWER(F647)&amp;H647,Prices!A:C,2,0)),0,VLOOKUP(LOWER(F647)&amp;H647,Prices!A:C,2,0))</f>
        <v>71.52</v>
      </c>
      <c r="W647" s="13">
        <f t="shared" si="319"/>
        <v>-11649.622799999999</v>
      </c>
      <c r="X647" s="46">
        <f t="shared" si="320"/>
        <v>-269.99999999999602</v>
      </c>
      <c r="Y647" s="43">
        <f t="shared" si="321"/>
        <v>-0.48258586578293283</v>
      </c>
      <c r="Z647" s="49"/>
      <c r="AA647" s="24"/>
    </row>
    <row r="648" spans="1:27" hidden="1"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6.16</v>
      </c>
      <c r="V648" s="13">
        <f>IF(ISNA(VLOOKUP(LOWER(F648)&amp;H648,Prices!A:C,2,0)),0,VLOOKUP(LOWER(F648)&amp;H648,Prices!A:C,2,0))</f>
        <v>6.07</v>
      </c>
      <c r="W648" s="13">
        <f t="shared" si="319"/>
        <v>7555.28</v>
      </c>
      <c r="X648" s="46">
        <f t="shared" si="320"/>
        <v>179.99999999999972</v>
      </c>
      <c r="Y648" s="43">
        <f t="shared" si="321"/>
        <v>0.38312778904665312</v>
      </c>
      <c r="Z648" s="49"/>
      <c r="AA648" s="24"/>
    </row>
    <row r="649" spans="1:27" hidden="1"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42.51</v>
      </c>
      <c r="V649" s="13">
        <f>IF(ISNA(VLOOKUP(LOWER(F649)&amp;H649,Prices!A:C,2,0)),0,VLOOKUP(LOWER(F649)&amp;H649,Prices!A:C,2,0))</f>
        <v>44.41</v>
      </c>
      <c r="W649" s="13">
        <f t="shared" si="319"/>
        <v>-24501.446299999992</v>
      </c>
      <c r="X649" s="46">
        <f t="shared" si="320"/>
        <v>-2849.9999999999977</v>
      </c>
      <c r="Y649" s="43">
        <f t="shared" si="321"/>
        <v>-0.58108493537293948</v>
      </c>
      <c r="Z649" s="49"/>
      <c r="AA649" s="24"/>
    </row>
    <row r="650" spans="1:27" s="13" customFormat="1" hidden="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hidden="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hidden="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650.07000000000005</v>
      </c>
      <c r="V652" s="13">
        <f>IF(ISNA(VLOOKUP(LOWER(F652)&amp;H652,Prices!A:C,2,0)),0,VLOOKUP(LOWER(F652)&amp;H652,Prices!A:C,2,0))</f>
        <v>677.95</v>
      </c>
      <c r="W652" s="13">
        <f t="shared" ref="W652" si="334">IF(I652="B",(V652+T652)*K652,(V652+T652)*K652)</f>
        <v>-33107.370600000009</v>
      </c>
      <c r="X652" s="46">
        <f t="shared" ref="X652" si="335">K652*(V652-U652)</f>
        <v>-2787.9999999999995</v>
      </c>
      <c r="Y652" s="43">
        <f t="shared" ref="Y652" si="336">W652/O652</f>
        <v>-0.95327873884249958</v>
      </c>
      <c r="Z652" s="49"/>
      <c r="AA652" s="24"/>
    </row>
    <row r="653" spans="1:27" s="13" customFormat="1" hidden="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29.05</v>
      </c>
      <c r="V653" s="13">
        <f>IF(ISNA(VLOOKUP(LOWER(F653)&amp;H653,Prices!A:C,2,0)),0,VLOOKUP(LOWER(F653)&amp;H653,Prices!A:C,2,0))</f>
        <v>29.3</v>
      </c>
      <c r="W653" s="13">
        <f t="shared" ref="W653:W665" si="341">IF(I653="B",(V653+T653)*K653,(V653+T653)*K653)</f>
        <v>-6027.0639999999994</v>
      </c>
      <c r="X653" s="46">
        <f t="shared" ref="X653:X665" si="342">K653*(V653-U653)</f>
        <v>250</v>
      </c>
      <c r="Y653" s="43">
        <f t="shared" ref="Y653:Y665" si="343">W653/O653</f>
        <v>-0.17064167610419023</v>
      </c>
      <c r="Z653" s="49" t="s">
        <v>1777</v>
      </c>
      <c r="AA653" s="24"/>
    </row>
    <row r="654" spans="1:27" s="13" customFormat="1" hidden="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54.77</v>
      </c>
      <c r="V654" s="13">
        <f>IF(ISNA(VLOOKUP(LOWER(F654)&amp;H654,Prices!A:C,2,0)),0,VLOOKUP(LOWER(F654)&amp;H654,Prices!A:C,2,0))</f>
        <v>54.57</v>
      </c>
      <c r="W654" s="13">
        <f t="shared" si="341"/>
        <v>4034.5350999999991</v>
      </c>
      <c r="X654" s="46">
        <f t="shared" si="342"/>
        <v>-100.00000000000142</v>
      </c>
      <c r="Y654" s="43">
        <f t="shared" si="343"/>
        <v>0.17356571735857171</v>
      </c>
      <c r="Z654" s="49" t="s">
        <v>1779</v>
      </c>
      <c r="AA654" s="24"/>
    </row>
    <row r="655" spans="1:27" s="13" customFormat="1" hidden="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54.77</v>
      </c>
      <c r="V655" s="13">
        <f>IF(ISNA(VLOOKUP(LOWER(F655)&amp;H655,Prices!A:C,2,0)),0,VLOOKUP(LOWER(F655)&amp;H655,Prices!A:C,2,0))</f>
        <v>54.57</v>
      </c>
      <c r="W655" s="13">
        <f t="shared" si="341"/>
        <v>4029.5349999999994</v>
      </c>
      <c r="X655" s="46">
        <f t="shared" si="342"/>
        <v>-100.00000000000142</v>
      </c>
      <c r="Y655" s="43">
        <f t="shared" si="343"/>
        <v>0.17331333333333332</v>
      </c>
      <c r="Z655" s="49"/>
      <c r="AA655" s="24"/>
    </row>
    <row r="656" spans="1:27" s="13" customFormat="1" hidden="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24.88</v>
      </c>
      <c r="V656" s="13">
        <f>IF(ISNA(VLOOKUP(LOWER(F656)&amp;H656,Prices!A:C,2,0)),0,VLOOKUP(LOWER(F656)&amp;H656,Prices!A:C,2,0))</f>
        <v>24.49</v>
      </c>
      <c r="W656" s="13">
        <f t="shared" si="341"/>
        <v>5101.6123399999988</v>
      </c>
      <c r="X656" s="46">
        <f t="shared" si="342"/>
        <v>-390.00000000000057</v>
      </c>
      <c r="Y656" s="43">
        <f t="shared" si="343"/>
        <v>0.26320034772738993</v>
      </c>
      <c r="Z656" s="49"/>
      <c r="AA656" s="24"/>
    </row>
    <row r="657" spans="1:27" s="13" customFormat="1" hidden="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8.15</v>
      </c>
      <c r="V657" s="13">
        <f>IF(ISNA(VLOOKUP(LOWER(F657)&amp;H657,Prices!A:C,2,0)),0,VLOOKUP(LOWER(F657)&amp;H657,Prices!A:C,2,0))</f>
        <v>8.1300000000000008</v>
      </c>
      <c r="W657" s="13">
        <f t="shared" si="341"/>
        <v>-2164.9999999999991</v>
      </c>
      <c r="X657" s="46">
        <f t="shared" si="342"/>
        <v>-39.999999999999147</v>
      </c>
      <c r="Y657" s="43">
        <f t="shared" si="343"/>
        <v>-0.11753528773072743</v>
      </c>
      <c r="Z657" s="49"/>
      <c r="AA657" s="24"/>
    </row>
    <row r="658" spans="1:27" s="13" customFormat="1" hidden="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8.15</v>
      </c>
      <c r="V658" s="13">
        <f>IF(ISNA(VLOOKUP(LOWER(F658)&amp;H658,Prices!A:C,2,0)),0,VLOOKUP(LOWER(F658)&amp;H658,Prices!A:C,2,0))</f>
        <v>8.1300000000000008</v>
      </c>
      <c r="W658" s="13">
        <f t="shared" si="341"/>
        <v>-2204.9999999999982</v>
      </c>
      <c r="X658" s="46">
        <f t="shared" si="342"/>
        <v>-39.999999999999147</v>
      </c>
      <c r="Y658" s="43">
        <f t="shared" si="343"/>
        <v>-0.11944745395449612</v>
      </c>
      <c r="Z658" s="49"/>
      <c r="AA658" s="24"/>
    </row>
    <row r="659" spans="1:27" s="13" customFormat="1" ht="27" hidden="1"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43.73</v>
      </c>
      <c r="V659" s="13">
        <f>IF(ISNA(VLOOKUP(LOWER(F659)&amp;H659,Prices!A:C,2,0)),0,VLOOKUP(LOWER(F659)&amp;H659,Prices!A:C,2,0))</f>
        <v>43.92</v>
      </c>
      <c r="W659" s="13">
        <f t="shared" si="341"/>
        <v>-2203</v>
      </c>
      <c r="X659" s="46">
        <f t="shared" si="342"/>
        <v>19.000000000000483</v>
      </c>
      <c r="Y659" s="43">
        <f t="shared" si="343"/>
        <v>-0.33429438543247342</v>
      </c>
      <c r="Z659" s="49" t="s">
        <v>1778</v>
      </c>
      <c r="AA659" s="24"/>
    </row>
    <row r="660" spans="1:27" s="13" customFormat="1" hidden="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32.14</v>
      </c>
      <c r="V660" s="13">
        <f>IF(ISNA(VLOOKUP(LOWER(F660)&amp;H660,Prices!A:C,2,0)),0,VLOOKUP(LOWER(F660)&amp;H660,Prices!A:C,2,0))</f>
        <v>32.14</v>
      </c>
      <c r="W660" s="13">
        <f t="shared" si="341"/>
        <v>3574.7502000000004</v>
      </c>
      <c r="X660" s="46">
        <f t="shared" si="342"/>
        <v>0</v>
      </c>
      <c r="Y660" s="43">
        <f t="shared" si="343"/>
        <v>0.28620898318654925</v>
      </c>
      <c r="Z660" s="49"/>
      <c r="AA660" s="24"/>
    </row>
    <row r="661" spans="1:27" s="13" customFormat="1" hidden="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8.19</v>
      </c>
      <c r="V661" s="13">
        <f>IF(ISNA(VLOOKUP(LOWER(F661)&amp;H661,Prices!A:C,2,0)),0,VLOOKUP(LOWER(F661)&amp;H661,Prices!A:C,2,0))</f>
        <v>8.25</v>
      </c>
      <c r="W661" s="13">
        <f t="shared" si="341"/>
        <v>1384.8627999999997</v>
      </c>
      <c r="X661" s="46">
        <f t="shared" si="342"/>
        <v>60.000000000000497</v>
      </c>
      <c r="Y661" s="43">
        <f t="shared" si="343"/>
        <v>0.20187504373177836</v>
      </c>
      <c r="Z661" s="49" t="s">
        <v>1776</v>
      </c>
      <c r="AA661" s="24"/>
    </row>
    <row r="662" spans="1:27" s="13" customFormat="1" hidden="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6.16</v>
      </c>
      <c r="V662" s="13">
        <f>IF(ISNA(VLOOKUP(LOWER(F662)&amp;H662,Prices!A:C,2,0)),0,VLOOKUP(LOWER(F662)&amp;H662,Prices!A:C,2,0))</f>
        <v>6.07</v>
      </c>
      <c r="W662" s="13">
        <f t="shared" si="341"/>
        <v>-3855.0000000000005</v>
      </c>
      <c r="X662" s="46">
        <f t="shared" si="342"/>
        <v>-89.999999999999858</v>
      </c>
      <c r="Y662" s="43">
        <f t="shared" si="343"/>
        <v>-0.38860887096774199</v>
      </c>
      <c r="Z662" s="49" t="s">
        <v>1776</v>
      </c>
      <c r="AA662" s="24"/>
    </row>
    <row r="663" spans="1:27" s="13" customFormat="1" hidden="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32.99</v>
      </c>
      <c r="V663" s="13">
        <f>IF(ISNA(VLOOKUP(LOWER(F663)&amp;H663,Prices!A:C,2,0)),0,VLOOKUP(LOWER(F663)&amp;H663,Prices!A:C,2,0))</f>
        <v>33.380000000000003</v>
      </c>
      <c r="W663" s="13">
        <f t="shared" si="341"/>
        <v>1294.6922</v>
      </c>
      <c r="X663" s="46">
        <f t="shared" si="342"/>
        <v>195.00000000000028</v>
      </c>
      <c r="Y663" s="43">
        <f t="shared" si="343"/>
        <v>8.4125549057829763E-2</v>
      </c>
      <c r="Z663" s="49" t="s">
        <v>1776</v>
      </c>
      <c r="AA663" s="24"/>
    </row>
    <row r="664" spans="1:27" s="13" customFormat="1" hidden="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hidden="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29.79</v>
      </c>
      <c r="V665" s="13">
        <f>IF(ISNA(VLOOKUP(LOWER(F665)&amp;H665,Prices!A:C,2,0)),0,VLOOKUP(LOWER(F665)&amp;H665,Prices!A:C,2,0))</f>
        <v>30.85</v>
      </c>
      <c r="W665" s="13">
        <f t="shared" si="341"/>
        <v>6134.8143</v>
      </c>
      <c r="X665" s="46">
        <f t="shared" si="342"/>
        <v>530.00000000000114</v>
      </c>
      <c r="Y665" s="43">
        <f t="shared" si="343"/>
        <v>0.66072313408723748</v>
      </c>
      <c r="Z665" s="49" t="s">
        <v>1776</v>
      </c>
      <c r="AA665" s="24"/>
    </row>
    <row r="666" spans="1:27" s="13" customFormat="1" hidden="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32.14</v>
      </c>
      <c r="V666" s="13">
        <f>IF(ISNA(VLOOKUP(LOWER(F666)&amp;H666,Prices!A:C,2,0)),0,VLOOKUP(LOWER(F666)&amp;H666,Prices!A:C,2,0))</f>
        <v>32.14</v>
      </c>
      <c r="W666" s="13">
        <f>IF(I666="B",(V666+T666)*K666,(V666+T666)*K666)</f>
        <v>-3547.7908000000016</v>
      </c>
      <c r="X666" s="46">
        <f t="shared" ref="X666:X667" si="348">K666*(V666-U666)</f>
        <v>0</v>
      </c>
      <c r="Y666" s="43">
        <f>W666/O666</f>
        <v>-0.28291792663476889</v>
      </c>
      <c r="Z666" s="49" t="s">
        <v>1787</v>
      </c>
      <c r="AA666" s="24"/>
    </row>
    <row r="667" spans="1:27" s="13" customFormat="1" hidden="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32.99</v>
      </c>
      <c r="V667" s="13">
        <f>IF(ISNA(VLOOKUP(LOWER(F667)&amp;H667,Prices!A:C,2,0)),0,VLOOKUP(LOWER(F667)&amp;H667,Prices!A:C,2,0))</f>
        <v>33.380000000000003</v>
      </c>
      <c r="W667" s="13">
        <f>IF(I667="B",(V667+T667)*K667,(V667+T667)*K667)</f>
        <v>-1280.7386000000013</v>
      </c>
      <c r="X667" s="46">
        <f t="shared" si="348"/>
        <v>-195.00000000000028</v>
      </c>
      <c r="Y667" s="43">
        <f t="shared" ref="Y667" si="349">W667/O667</f>
        <v>-8.3003149708360424E-2</v>
      </c>
      <c r="Z667" s="49" t="s">
        <v>1787</v>
      </c>
      <c r="AA667" s="24"/>
    </row>
    <row r="668" spans="1:27" s="13" customFormat="1" hidden="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hidden="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hidden="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hidden="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hidden="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29.05</v>
      </c>
      <c r="V672" s="13">
        <f>IF(ISNA(VLOOKUP(LOWER(F672)&amp;H672,Prices!A:C,2,0)),0,VLOOKUP(LOWER(F672)&amp;H672,Prices!A:C,2,0))</f>
        <v>29.3</v>
      </c>
      <c r="W672" s="13">
        <f t="shared" ref="W672:W674" si="360">IF(I672="B",(V672+T672)*K672,(V672+T672)*K672)</f>
        <v>3122.2000000000012</v>
      </c>
      <c r="X672" s="46">
        <f t="shared" ref="X672:X674" si="361">K672*(V672-U672)</f>
        <v>-125</v>
      </c>
      <c r="Y672" s="43">
        <f t="shared" ref="Y672:Y674" si="362">W672/O672</f>
        <v>0.17545377915144711</v>
      </c>
      <c r="Z672" s="49"/>
      <c r="AA672" s="24"/>
    </row>
    <row r="673" spans="1:27" s="13" customFormat="1" hidden="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hidden="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29.05</v>
      </c>
      <c r="V674" s="13">
        <f>IF(ISNA(VLOOKUP(LOWER(F674)&amp;H674,Prices!A:C,2,0)),0,VLOOKUP(LOWER(F674)&amp;H674,Prices!A:C,2,0))</f>
        <v>29.3</v>
      </c>
      <c r="W674" s="13">
        <f t="shared" si="360"/>
        <v>3242.0799999999995</v>
      </c>
      <c r="X674" s="46">
        <f t="shared" si="361"/>
        <v>-125</v>
      </c>
      <c r="Y674" s="43">
        <f t="shared" si="362"/>
        <v>0.1809701367569076</v>
      </c>
      <c r="Z674" s="49"/>
      <c r="AA674" s="24"/>
    </row>
    <row r="675" spans="1:27" s="13" customFormat="1" hidden="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8.0299999999999994</v>
      </c>
      <c r="V675" s="13">
        <f>IF(ISNA(VLOOKUP(LOWER(F675)&amp;H675,Prices!A:C,2,0)),0,VLOOKUP(LOWER(F675)&amp;H675,Prices!A:C,2,0))</f>
        <v>7.95</v>
      </c>
      <c r="W675" s="13">
        <f t="shared" ref="W675:W687" si="367">IF(I675="B",(V675+T675)*K675,(V675+T675)*K675)</f>
        <v>-2618.0620000000145</v>
      </c>
      <c r="X675" s="46">
        <f t="shared" ref="X675:X687" si="368">K675*(V675-U675)</f>
        <v>-799.99999999999181</v>
      </c>
      <c r="Y675" s="43">
        <f t="shared" ref="Y675:Y687" si="369">W675/O675</f>
        <v>-3.1888696711327817E-2</v>
      </c>
      <c r="Z675" s="49"/>
      <c r="AA675" s="24"/>
    </row>
    <row r="676" spans="1:27" s="13" customFormat="1" hidden="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54.77</v>
      </c>
      <c r="V676" s="13">
        <f>IF(ISNA(VLOOKUP(LOWER(F676)&amp;H676,Prices!A:C,2,0)),0,VLOOKUP(LOWER(F676)&amp;H676,Prices!A:C,2,0))</f>
        <v>54.57</v>
      </c>
      <c r="W676" s="13">
        <f t="shared" si="367"/>
        <v>-4033.7455999999997</v>
      </c>
      <c r="X676" s="46">
        <f t="shared" si="368"/>
        <v>100.00000000000142</v>
      </c>
      <c r="Y676" s="43">
        <f t="shared" si="369"/>
        <v>-0.1732708591065292</v>
      </c>
      <c r="Z676" s="49"/>
      <c r="AA676" s="24"/>
    </row>
    <row r="677" spans="1:27" s="13" customFormat="1" hidden="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8.0299999999999994</v>
      </c>
      <c r="V677" s="13">
        <f>IF(ISNA(VLOOKUP(LOWER(F677)&amp;H677,Prices!A:C,2,0)),0,VLOOKUP(LOWER(F677)&amp;H677,Prices!A:C,2,0))</f>
        <v>7.95</v>
      </c>
      <c r="W677" s="13">
        <f t="shared" si="367"/>
        <v>-958.95399999999404</v>
      </c>
      <c r="X677" s="46">
        <f t="shared" si="368"/>
        <v>-399.99999999999591</v>
      </c>
      <c r="Y677" s="43">
        <f t="shared" si="369"/>
        <v>-2.3561523341523196E-2</v>
      </c>
      <c r="Z677" s="49"/>
      <c r="AA677" s="24"/>
    </row>
    <row r="678" spans="1:27" s="13" customFormat="1" hidden="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43.73</v>
      </c>
      <c r="V678" s="13">
        <f>IF(ISNA(VLOOKUP(LOWER(F678)&amp;H678,Prices!A:C,2,0)),0,VLOOKUP(LOWER(F678)&amp;H678,Prices!A:C,2,0))</f>
        <v>43.92</v>
      </c>
      <c r="W678" s="13">
        <f t="shared" si="367"/>
        <v>2575.0200000000004</v>
      </c>
      <c r="X678" s="46">
        <f t="shared" si="368"/>
        <v>-19.000000000000483</v>
      </c>
      <c r="Y678" s="43">
        <f t="shared" si="369"/>
        <v>0.36896690070210636</v>
      </c>
      <c r="Z678" s="49"/>
      <c r="AA678" s="24"/>
    </row>
    <row r="679" spans="1:27" s="13" customFormat="1" hidden="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hidden="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29.79</v>
      </c>
      <c r="V680" s="13">
        <f>IF(ISNA(VLOOKUP(LOWER(F680)&amp;H680,Prices!A:C,2,0)),0,VLOOKUP(LOWER(F680)&amp;H680,Prices!A:C,2,0))</f>
        <v>30.85</v>
      </c>
      <c r="W680" s="13">
        <f t="shared" si="367"/>
        <v>-6474.1493000000009</v>
      </c>
      <c r="X680" s="46">
        <f t="shared" si="368"/>
        <v>-530.00000000000114</v>
      </c>
      <c r="Y680" s="43">
        <f t="shared" si="369"/>
        <v>-0.72215831567205813</v>
      </c>
      <c r="Z680" s="49"/>
      <c r="AA680" s="24"/>
    </row>
    <row r="681" spans="1:27" s="13" customFormat="1" hidden="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6.16</v>
      </c>
      <c r="V681" s="13">
        <f>IF(ISNA(VLOOKUP(LOWER(F681)&amp;H681,Prices!A:C,2,0)),0,VLOOKUP(LOWER(F681)&amp;H681,Prices!A:C,2,0))</f>
        <v>6.07</v>
      </c>
      <c r="W681" s="13">
        <f t="shared" si="367"/>
        <v>3615.2999999999997</v>
      </c>
      <c r="X681" s="46">
        <f t="shared" si="368"/>
        <v>89.999999999999858</v>
      </c>
      <c r="Y681" s="43">
        <f t="shared" si="369"/>
        <v>0.37271134020618552</v>
      </c>
      <c r="Z681" s="49"/>
      <c r="AA681" s="24"/>
    </row>
    <row r="682" spans="1:27" s="13" customFormat="1" hidden="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8.15</v>
      </c>
      <c r="V682" s="13">
        <f>IF(ISNA(VLOOKUP(LOWER(F682)&amp;H682,Prices!A:C,2,0)),0,VLOOKUP(LOWER(F682)&amp;H682,Prices!A:C,2,0))</f>
        <v>8.1300000000000008</v>
      </c>
      <c r="W682" s="13">
        <f t="shared" si="367"/>
        <v>1916.7999999999986</v>
      </c>
      <c r="X682" s="46">
        <f t="shared" si="368"/>
        <v>39.999999999999147</v>
      </c>
      <c r="Y682" s="43">
        <f t="shared" si="369"/>
        <v>0.10531868131868125</v>
      </c>
      <c r="Z682" s="49"/>
      <c r="AA682" s="24"/>
    </row>
    <row r="683" spans="1:27" s="13" customFormat="1" hidden="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hidden="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54.77</v>
      </c>
      <c r="V684" s="13">
        <f>IF(ISNA(VLOOKUP(LOWER(F684)&amp;H684,Prices!A:C,2,0)),0,VLOOKUP(LOWER(F684)&amp;H684,Prices!A:C,2,0))</f>
        <v>54.57</v>
      </c>
      <c r="W684" s="13">
        <f t="shared" si="367"/>
        <v>-4393.3783999999996</v>
      </c>
      <c r="X684" s="46">
        <f t="shared" si="368"/>
        <v>100.00000000000142</v>
      </c>
      <c r="Y684" s="43">
        <f t="shared" si="369"/>
        <v>-0.19168317626527048</v>
      </c>
      <c r="Z684" s="49"/>
      <c r="AA684" s="24"/>
    </row>
    <row r="685" spans="1:27" s="13" customFormat="1" hidden="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24.88</v>
      </c>
      <c r="V685" s="13">
        <f>IF(ISNA(VLOOKUP(LOWER(F685)&amp;H685,Prices!A:C,2,0)),0,VLOOKUP(LOWER(F685)&amp;H685,Prices!A:C,2,0))</f>
        <v>24.49</v>
      </c>
      <c r="W685" s="13">
        <f t="shared" si="367"/>
        <v>-5634.2575999999981</v>
      </c>
      <c r="X685" s="46">
        <f t="shared" si="368"/>
        <v>390.00000000000057</v>
      </c>
      <c r="Y685" s="43">
        <f t="shared" si="369"/>
        <v>-0.29842466101694903</v>
      </c>
      <c r="Z685" s="49"/>
      <c r="AA685" s="24"/>
    </row>
    <row r="686" spans="1:27" s="13" customFormat="1" hidden="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8.15</v>
      </c>
      <c r="V686" s="13">
        <f>IF(ISNA(VLOOKUP(LOWER(F686)&amp;H686,Prices!A:C,2,0)),0,VLOOKUP(LOWER(F686)&amp;H686,Prices!A:C,2,0))</f>
        <v>8.1300000000000008</v>
      </c>
      <c r="W686" s="13">
        <f t="shared" si="367"/>
        <v>1876.8399999999979</v>
      </c>
      <c r="X686" s="46">
        <f t="shared" si="368"/>
        <v>39.999999999999147</v>
      </c>
      <c r="Y686" s="43">
        <f t="shared" si="369"/>
        <v>0.10335022026431706</v>
      </c>
      <c r="Z686" s="49"/>
      <c r="AA686" s="24"/>
    </row>
    <row r="687" spans="1:27" s="13" customFormat="1" hidden="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8.19</v>
      </c>
      <c r="V687" s="13">
        <f>IF(ISNA(VLOOKUP(LOWER(F687)&amp;H687,Prices!A:C,2,0)),0,VLOOKUP(LOWER(F687)&amp;H687,Prices!A:C,2,0))</f>
        <v>8.25</v>
      </c>
      <c r="W687" s="13">
        <f t="shared" si="367"/>
        <v>-1741.6504000000002</v>
      </c>
      <c r="X687" s="46">
        <f t="shared" si="368"/>
        <v>-60.000000000000497</v>
      </c>
      <c r="Y687" s="43">
        <f t="shared" si="369"/>
        <v>-0.26712429447852765</v>
      </c>
      <c r="Z687" s="49"/>
      <c r="AA687" s="24"/>
    </row>
    <row r="688" spans="1:27" s="13" customFormat="1" hidden="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13.94</v>
      </c>
      <c r="V688" s="13">
        <f>IF(ISNA(VLOOKUP(LOWER(F688)&amp;H688,Prices!A:C,2,0)),0,VLOOKUP(LOWER(F688)&amp;H688,Prices!A:C,2,0))</f>
        <v>13.77</v>
      </c>
      <c r="W688" s="13">
        <f t="shared" ref="W688:W695" si="374">IF(I688="B",(V688+T688)*K688,(V688+T688)*K688)</f>
        <v>344.99999999999886</v>
      </c>
      <c r="X688" s="13">
        <f t="shared" ref="X688:X695" si="375">K688*(V688-U688)</f>
        <v>-169.99999999999994</v>
      </c>
      <c r="Y688" s="43">
        <f t="shared" ref="Y688:Y695" si="376">W688/O688</f>
        <v>2.5707898658718246E-2</v>
      </c>
      <c r="Z688" s="49"/>
      <c r="AA688" s="24"/>
    </row>
    <row r="689" spans="1:27" s="13" customFormat="1" hidden="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32.99</v>
      </c>
      <c r="V689" s="13">
        <f>IF(ISNA(VLOOKUP(LOWER(F689)&amp;H689,Prices!A:C,2,0)),0,VLOOKUP(LOWER(F689)&amp;H689,Prices!A:C,2,0))</f>
        <v>33.380000000000003</v>
      </c>
      <c r="W689" s="13">
        <f t="shared" si="374"/>
        <v>3042.3271800000043</v>
      </c>
      <c r="X689" s="13">
        <f t="shared" si="375"/>
        <v>390.00000000000057</v>
      </c>
      <c r="Y689" s="43">
        <f t="shared" si="376"/>
        <v>0.10030421614849508</v>
      </c>
      <c r="Z689" s="49"/>
      <c r="AA689" s="24"/>
    </row>
    <row r="690" spans="1:27" s="13" customFormat="1" hidden="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13.94</v>
      </c>
      <c r="V690" s="13">
        <f>IF(ISNA(VLOOKUP(LOWER(F690)&amp;H690,Prices!A:C,2,0)),0,VLOOKUP(LOWER(F690)&amp;H690,Prices!A:C,2,0))</f>
        <v>13.77</v>
      </c>
      <c r="W690" s="13">
        <f t="shared" si="374"/>
        <v>355.00000000000045</v>
      </c>
      <c r="X690" s="13">
        <f t="shared" si="375"/>
        <v>-169.99999999999994</v>
      </c>
      <c r="Y690" s="43">
        <f t="shared" si="376"/>
        <v>2.6472781506338586E-2</v>
      </c>
      <c r="Z690" s="49"/>
      <c r="AA690" s="24"/>
    </row>
    <row r="691" spans="1:27" s="13" customFormat="1" hidden="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32.99</v>
      </c>
      <c r="V691" s="13">
        <f>IF(ISNA(VLOOKUP(LOWER(F691)&amp;H691,Prices!A:C,2,0)),0,VLOOKUP(LOWER(F691)&amp;H691,Prices!A:C,2,0))</f>
        <v>33.380000000000003</v>
      </c>
      <c r="W691" s="13">
        <f t="shared" si="374"/>
        <v>1579.697900000001</v>
      </c>
      <c r="X691" s="13">
        <f t="shared" si="375"/>
        <v>195.00000000000028</v>
      </c>
      <c r="Y691" s="43">
        <f t="shared" si="376"/>
        <v>0.10458112545514738</v>
      </c>
      <c r="Z691" s="49"/>
      <c r="AA691" s="24"/>
    </row>
    <row r="692" spans="1:27" s="13" customFormat="1" hidden="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8.0299999999999994</v>
      </c>
      <c r="V692" s="13">
        <f>IF(ISNA(VLOOKUP(LOWER(F692)&amp;H692,Prices!A:C,2,0)),0,VLOOKUP(LOWER(F692)&amp;H692,Prices!A:C,2,0))</f>
        <v>7.95</v>
      </c>
      <c r="W692" s="13">
        <f t="shared" si="374"/>
        <v>-50.239399999999712</v>
      </c>
      <c r="X692" s="13">
        <f t="shared" si="375"/>
        <v>-119.99999999999878</v>
      </c>
      <c r="Y692" s="43">
        <f t="shared" si="376"/>
        <v>-4.1971094402673105E-3</v>
      </c>
      <c r="Z692" s="49"/>
      <c r="AA692" s="24"/>
    </row>
    <row r="693" spans="1:27" s="13" customFormat="1" hidden="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73.09</v>
      </c>
      <c r="V693" s="13">
        <f>IF(ISNA(VLOOKUP(LOWER(F693)&amp;H693,Prices!A:C,2,0)),0,VLOOKUP(LOWER(F693)&amp;H693,Prices!A:C,2,0))</f>
        <v>73.459999999999994</v>
      </c>
      <c r="W693" s="13">
        <f t="shared" si="374"/>
        <v>11044.863999999998</v>
      </c>
      <c r="X693" s="13">
        <f t="shared" si="375"/>
        <v>184.99999999999517</v>
      </c>
      <c r="Y693" s="43">
        <f t="shared" si="376"/>
        <v>0.43009595015576313</v>
      </c>
      <c r="Z693" s="49"/>
      <c r="AA693" s="24"/>
    </row>
    <row r="694" spans="1:27" s="13" customFormat="1" hidden="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10.63</v>
      </c>
      <c r="V694" s="13">
        <f>IF(ISNA(VLOOKUP(LOWER(F694)&amp;H694,Prices!A:C,2,0)),0,VLOOKUP(LOWER(F694)&amp;H694,Prices!A:C,2,0))</f>
        <v>10.44</v>
      </c>
      <c r="W694" s="13">
        <f t="shared" si="374"/>
        <v>944.81019999999921</v>
      </c>
      <c r="X694" s="13">
        <f t="shared" si="375"/>
        <v>-190.00000000000128</v>
      </c>
      <c r="Y694" s="43">
        <f t="shared" si="376"/>
        <v>9.9558503688092645E-2</v>
      </c>
      <c r="Z694" s="49"/>
      <c r="AA694" s="24"/>
    </row>
    <row r="695" spans="1:27" s="13" customFormat="1" hidden="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8.0299999999999994</v>
      </c>
      <c r="V695" s="13">
        <f>IF(ISNA(VLOOKUP(LOWER(F695)&amp;H695,Prices!A:C,2,0)),0,VLOOKUP(LOWER(F695)&amp;H695,Prices!A:C,2,0))</f>
        <v>7.95</v>
      </c>
      <c r="W695" s="13">
        <f t="shared" si="374"/>
        <v>1502.5020000000166</v>
      </c>
      <c r="X695" s="13">
        <f t="shared" si="375"/>
        <v>1199.9999999999877</v>
      </c>
      <c r="Y695" s="43">
        <f t="shared" si="376"/>
        <v>1.242764267990088E-2</v>
      </c>
      <c r="Z695" s="49"/>
      <c r="AA695" s="24"/>
    </row>
    <row r="696" spans="1:27" s="13" customFormat="1" hidden="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10.63</v>
      </c>
      <c r="V696" s="13">
        <f>IF(ISNA(VLOOKUP(LOWER(F696)&amp;H696,Prices!A:C,2,0)),0,VLOOKUP(LOWER(F696)&amp;H696,Prices!A:C,2,0))</f>
        <v>10.44</v>
      </c>
      <c r="W696" s="13">
        <f t="shared" ref="W696:W698" si="381">IF(I696="B",(V696+T696)*K696,(V696+T696)*K696)</f>
        <v>-814.83279999999957</v>
      </c>
      <c r="X696" s="13">
        <f t="shared" ref="X696:X698" si="382">K696*(V696-U696)</f>
        <v>190.00000000000128</v>
      </c>
      <c r="Y696" s="43">
        <f t="shared" ref="Y696:Y698" si="383">W696/O696</f>
        <v>-8.4526224066390002E-2</v>
      </c>
      <c r="Z696" s="49"/>
      <c r="AA696" s="24"/>
    </row>
    <row r="697" spans="1:27" s="13" customFormat="1" hidden="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73.09</v>
      </c>
      <c r="V697" s="13">
        <f>IF(ISNA(VLOOKUP(LOWER(F697)&amp;H697,Prices!A:C,2,0)),0,VLOOKUP(LOWER(F697)&amp;H697,Prices!A:C,2,0))</f>
        <v>73.459999999999994</v>
      </c>
      <c r="W697" s="13">
        <f t="shared" si="381"/>
        <v>-10711.259999999997</v>
      </c>
      <c r="X697" s="13">
        <f t="shared" si="382"/>
        <v>-184.99999999999517</v>
      </c>
      <c r="Y697" s="43">
        <f t="shared" si="383"/>
        <v>-0.41118080614203439</v>
      </c>
      <c r="Z697" s="49"/>
      <c r="AA697" s="24"/>
    </row>
    <row r="698" spans="1:27" s="13" customFormat="1" hidden="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13.94</v>
      </c>
      <c r="V698" s="13">
        <f>IF(ISNA(VLOOKUP(LOWER(F698)&amp;H698,Prices!A:C,2,0)),0,VLOOKUP(LOWER(F698)&amp;H698,Prices!A:C,2,0))</f>
        <v>13.77</v>
      </c>
      <c r="W698" s="13">
        <f t="shared" si="381"/>
        <v>-217.05999999999966</v>
      </c>
      <c r="X698" s="13">
        <f t="shared" si="382"/>
        <v>101.99999999999996</v>
      </c>
      <c r="Y698" s="43">
        <f t="shared" si="383"/>
        <v>-2.6937205261851532E-2</v>
      </c>
      <c r="Z698" s="49"/>
      <c r="AA698" s="24"/>
    </row>
    <row r="699" spans="1:27" s="13" customFormat="1" hidden="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32.99</v>
      </c>
      <c r="V699" s="13">
        <f>IF(ISNA(VLOOKUP(LOWER(F699)&amp;H699,Prices!A:C,2,0)),0,VLOOKUP(LOWER(F699)&amp;H699,Prices!A:C,2,0))</f>
        <v>33.380000000000003</v>
      </c>
      <c r="W699" s="13">
        <f t="shared" ref="W699:W708" si="384">IF(I699="B",(V699+T699)*K699,(V699+T699)*K699)</f>
        <v>-4555.5953999999992</v>
      </c>
      <c r="X699" s="13">
        <f t="shared" ref="X699:X708" si="385">K699*(V699-U699)</f>
        <v>-585.00000000000091</v>
      </c>
      <c r="Y699" s="43">
        <f t="shared" ref="Y699:Y708" si="386">W699/O699</f>
        <v>-9.9969177090190903E-2</v>
      </c>
      <c r="Z699" s="49"/>
      <c r="AA699" s="24"/>
    </row>
    <row r="700" spans="1:27" s="13" customFormat="1" hidden="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8.0299999999999994</v>
      </c>
      <c r="V700" s="13">
        <f>IF(ISNA(VLOOKUP(LOWER(F700)&amp;H700,Prices!A:C,2,0)),0,VLOOKUP(LOWER(F700)&amp;H700,Prices!A:C,2,0))</f>
        <v>7.95</v>
      </c>
      <c r="W700" s="13">
        <f t="shared" si="384"/>
        <v>282.52549999999974</v>
      </c>
      <c r="X700" s="13">
        <f t="shared" si="385"/>
        <v>119.99999999999878</v>
      </c>
      <c r="Y700" s="43">
        <f t="shared" si="386"/>
        <v>2.3110470347648241E-2</v>
      </c>
      <c r="Z700" s="49"/>
      <c r="AA700" s="24"/>
    </row>
    <row r="701" spans="1:27" s="13" customFormat="1" hidden="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8.43</v>
      </c>
      <c r="V701" s="13">
        <f>IF(ISNA(VLOOKUP(LOWER(F701)&amp;H701,Prices!A:C,2,0)),0,VLOOKUP(LOWER(F701)&amp;H701,Prices!A:C,2,0))</f>
        <v>8.31</v>
      </c>
      <c r="W701" s="13">
        <f t="shared" si="384"/>
        <v>-2764.9999999999986</v>
      </c>
      <c r="X701" s="13">
        <f t="shared" si="385"/>
        <v>-119.99999999999922</v>
      </c>
      <c r="Y701" s="43">
        <f t="shared" si="386"/>
        <v>-0.24977416440831063</v>
      </c>
      <c r="Z701" s="49"/>
      <c r="AA701" s="24"/>
    </row>
    <row r="702" spans="1:27" s="13" customFormat="1" hidden="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8.43</v>
      </c>
      <c r="V702" s="13">
        <f>IF(ISNA(VLOOKUP(LOWER(F702)&amp;H702,Prices!A:C,2,0)),0,VLOOKUP(LOWER(F702)&amp;H702,Prices!A:C,2,0))</f>
        <v>8.31</v>
      </c>
      <c r="W702" s="13">
        <f t="shared" si="384"/>
        <v>-2734.9999999999995</v>
      </c>
      <c r="X702" s="13">
        <f t="shared" si="385"/>
        <v>-119.99999999999922</v>
      </c>
      <c r="Y702" s="43">
        <f t="shared" si="386"/>
        <v>-0.24773550724637677</v>
      </c>
      <c r="Z702" s="49"/>
      <c r="AA702" s="24"/>
    </row>
    <row r="703" spans="1:27" s="13" customFormat="1" hidden="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14.3</v>
      </c>
      <c r="V703" s="13">
        <f>IF(ISNA(VLOOKUP(LOWER(F703)&amp;H703,Prices!A:C,2,0)),0,VLOOKUP(LOWER(F703)&amp;H703,Prices!A:C,2,0))</f>
        <v>14.13</v>
      </c>
      <c r="W703" s="13">
        <f t="shared" si="384"/>
        <v>5115.0000000000018</v>
      </c>
      <c r="X703" s="13">
        <f t="shared" si="385"/>
        <v>-339.99999999999989</v>
      </c>
      <c r="Y703" s="43">
        <f t="shared" si="386"/>
        <v>0.2210458081244599</v>
      </c>
      <c r="Z703" s="49"/>
      <c r="AA703" s="24"/>
    </row>
    <row r="704" spans="1:27" s="13" customFormat="1" hidden="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13.94</v>
      </c>
      <c r="V704" s="13">
        <f>IF(ISNA(VLOOKUP(LOWER(F704)&amp;H704,Prices!A:C,2,0)),0,VLOOKUP(LOWER(F704)&amp;H704,Prices!A:C,2,0))</f>
        <v>13.77</v>
      </c>
      <c r="W704" s="13">
        <f t="shared" si="384"/>
        <v>-709.59</v>
      </c>
      <c r="X704" s="13">
        <f t="shared" si="385"/>
        <v>237.99999999999989</v>
      </c>
      <c r="Y704" s="43">
        <f t="shared" si="386"/>
        <v>-3.8166415662650603E-2</v>
      </c>
      <c r="Z704" s="49"/>
      <c r="AA704" s="24"/>
    </row>
    <row r="705" spans="1:27" s="13" customFormat="1" hidden="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8.43</v>
      </c>
      <c r="V705" s="13">
        <f>IF(ISNA(VLOOKUP(LOWER(F705)&amp;H705,Prices!A:C,2,0)),0,VLOOKUP(LOWER(F705)&amp;H705,Prices!A:C,2,0))</f>
        <v>8.31</v>
      </c>
      <c r="W705" s="13">
        <f t="shared" si="384"/>
        <v>5293.06</v>
      </c>
      <c r="X705" s="13">
        <f t="shared" si="385"/>
        <v>239.99999999999844</v>
      </c>
      <c r="Y705" s="43">
        <f t="shared" si="386"/>
        <v>0.24125159525979947</v>
      </c>
      <c r="Z705" s="49"/>
      <c r="AA705" s="24"/>
    </row>
    <row r="706" spans="1:27" s="13" customFormat="1" hidden="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11.25</v>
      </c>
      <c r="V706" s="13">
        <f>IF(ISNA(VLOOKUP(LOWER(F706)&amp;H706,Prices!A:C,2,0)),0,VLOOKUP(LOWER(F706)&amp;H706,Prices!A:C,2,0))</f>
        <v>10.91</v>
      </c>
      <c r="W706" s="13">
        <f t="shared" si="384"/>
        <v>344.78879999999992</v>
      </c>
      <c r="X706" s="13">
        <f t="shared" si="385"/>
        <v>-339.99999999999989</v>
      </c>
      <c r="Y706" s="43">
        <f t="shared" si="386"/>
        <v>3.2650454545454538E-2</v>
      </c>
      <c r="Z706" s="49"/>
      <c r="AA706" s="24"/>
    </row>
    <row r="707" spans="1:27" s="13" customFormat="1" hidden="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37.5</v>
      </c>
      <c r="V707" s="13">
        <f>IF(ISNA(VLOOKUP(LOWER(F707)&amp;H707,Prices!A:C,2,0)),0,VLOOKUP(LOWER(F707)&amp;H707,Prices!A:C,2,0))</f>
        <v>38.25</v>
      </c>
      <c r="W707" s="13">
        <f t="shared" si="384"/>
        <v>-2268</v>
      </c>
      <c r="X707" s="13">
        <f t="shared" si="385"/>
        <v>75</v>
      </c>
      <c r="Y707" s="43">
        <f t="shared" si="386"/>
        <v>-0.37253613666228647</v>
      </c>
      <c r="Z707" s="49"/>
      <c r="AA707" s="24"/>
    </row>
    <row r="708" spans="1:27" s="13" customFormat="1" hidden="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14.3</v>
      </c>
      <c r="V708" s="13">
        <f>IF(ISNA(VLOOKUP(LOWER(F708)&amp;H708,Prices!A:C,2,0)),0,VLOOKUP(LOWER(F708)&amp;H708,Prices!A:C,2,0))</f>
        <v>14.13</v>
      </c>
      <c r="W708" s="13">
        <f t="shared" si="384"/>
        <v>-5807.4800000000014</v>
      </c>
      <c r="X708" s="13">
        <f t="shared" si="385"/>
        <v>339.99999999999989</v>
      </c>
      <c r="Y708" s="43">
        <f t="shared" si="386"/>
        <v>-0.25833985765124562</v>
      </c>
      <c r="Z708" s="49"/>
      <c r="AA708" s="24"/>
    </row>
    <row r="709" spans="1:27" s="13" customFormat="1" hidden="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29.6</v>
      </c>
      <c r="V709" s="13">
        <f>IF(ISNA(VLOOKUP(LOWER(F709)&amp;H709,Prices!A:C,2,0)),0,VLOOKUP(LOWER(F709)&amp;H709,Prices!A:C,2,0))</f>
        <v>30.47</v>
      </c>
      <c r="W709" s="13">
        <f t="shared" ref="W709:W713" si="400">IF(I709="B",(V709+T709)*K709,(V709+T709)*K709)</f>
        <v>17471.307999999994</v>
      </c>
      <c r="X709" s="13">
        <f t="shared" ref="X709:X713" si="401">K709*(V709-U709)</f>
        <v>1739.999999999995</v>
      </c>
      <c r="Y709" s="43">
        <f t="shared" ref="Y709:Y713" si="402">W709/O709</f>
        <v>0.40200892774965469</v>
      </c>
      <c r="Z709" s="49"/>
      <c r="AA709" s="24"/>
    </row>
    <row r="710" spans="1:27" s="13" customFormat="1" hidden="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hidden="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71.150000000000006</v>
      </c>
      <c r="V711" s="13">
        <f>IF(ISNA(VLOOKUP(LOWER(F711)&amp;H711,Prices!A:C,2,0)),0,VLOOKUP(LOWER(F711)&amp;H711,Prices!A:C,2,0))</f>
        <v>74.599999999999994</v>
      </c>
      <c r="W711" s="13">
        <f t="shared" si="400"/>
        <v>69145.992400000003</v>
      </c>
      <c r="X711" s="13">
        <f t="shared" si="401"/>
        <v>6899.9999999999773</v>
      </c>
      <c r="Y711" s="43">
        <f t="shared" si="402"/>
        <v>0.86391454559084435</v>
      </c>
      <c r="Z711" s="49"/>
      <c r="AA711" s="24"/>
    </row>
    <row r="712" spans="1:27" s="13" customFormat="1" hidden="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37.5</v>
      </c>
      <c r="V712" s="13">
        <f>IF(ISNA(VLOOKUP(LOWER(F712)&amp;H712,Prices!A:C,2,0)),0,VLOOKUP(LOWER(F712)&amp;H712,Prices!A:C,2,0))</f>
        <v>38.25</v>
      </c>
      <c r="W712" s="13">
        <f t="shared" si="400"/>
        <v>2129.0299999999993</v>
      </c>
      <c r="X712" s="13">
        <f t="shared" si="401"/>
        <v>-75</v>
      </c>
      <c r="Y712" s="43">
        <f t="shared" si="402"/>
        <v>0.35692036881810552</v>
      </c>
      <c r="Z712" s="49"/>
      <c r="AA712" s="24"/>
    </row>
    <row r="713" spans="1:27" s="13" customFormat="1" hidden="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11.25</v>
      </c>
      <c r="V713" s="13">
        <f>IF(ISNA(VLOOKUP(LOWER(F713)&amp;H713,Prices!A:C,2,0)),0,VLOOKUP(LOWER(F713)&amp;H713,Prices!A:C,2,0))</f>
        <v>10.91</v>
      </c>
      <c r="W713" s="13">
        <f t="shared" si="400"/>
        <v>-525.60800000000006</v>
      </c>
      <c r="X713" s="13">
        <f t="shared" si="401"/>
        <v>339.99999999999989</v>
      </c>
      <c r="Y713" s="43">
        <f t="shared" si="402"/>
        <v>-5.0539230769230774E-2</v>
      </c>
      <c r="Z713" s="49"/>
      <c r="AA713" s="24"/>
    </row>
    <row r="714" spans="1:27" s="13" customFormat="1" hidden="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29.6</v>
      </c>
      <c r="V714" s="13">
        <f>IF(ISNA(VLOOKUP(LOWER(F714)&amp;H714,Prices!A:C,2,0)),0,VLOOKUP(LOWER(F714)&amp;H714,Prices!A:C,2,0))</f>
        <v>30.47</v>
      </c>
      <c r="W714" s="13">
        <f t="shared" ref="W714" si="407">IF(I714="B",(V714+T714)*K714,(V714+T714)*K714)</f>
        <v>-17332.392000000007</v>
      </c>
      <c r="X714" s="13">
        <f t="shared" ref="X714" si="408">K714*(V714-U714)</f>
        <v>-1739.999999999995</v>
      </c>
      <c r="Y714" s="43">
        <f t="shared" ref="Y714" si="409">W714/O714</f>
        <v>-0.39698561612459932</v>
      </c>
      <c r="Z714" s="49"/>
      <c r="AA714" s="24"/>
    </row>
    <row r="715" spans="1:27" s="13" customFormat="1" hidden="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hidden="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71.150000000000006</v>
      </c>
      <c r="V716" s="13">
        <f>IF(ISNA(VLOOKUP(LOWER(F716)&amp;H716,Prices!A:C,2,0)),0,VLOOKUP(LOWER(F716)&amp;H716,Prices!A:C,2,0))</f>
        <v>74.599999999999994</v>
      </c>
      <c r="W716" s="13">
        <f t="shared" si="414"/>
        <v>35082.097999999998</v>
      </c>
      <c r="X716" s="13">
        <f t="shared" si="415"/>
        <v>3449.9999999999886</v>
      </c>
      <c r="Y716" s="43">
        <f t="shared" si="416"/>
        <v>0.88792958744621608</v>
      </c>
      <c r="Z716" s="49"/>
      <c r="AA716" s="24"/>
    </row>
    <row r="717" spans="1:27" s="13" customFormat="1" hidden="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29.6</v>
      </c>
      <c r="V717" s="13">
        <f>IF(ISNA(VLOOKUP(LOWER(F717)&amp;H717,Prices!A:C,2,0)),0,VLOOKUP(LOWER(F717)&amp;H717,Prices!A:C,2,0))</f>
        <v>30.47</v>
      </c>
      <c r="W717" s="13">
        <f t="shared" si="414"/>
        <v>17671.347999999994</v>
      </c>
      <c r="X717" s="13">
        <f t="shared" si="415"/>
        <v>1739.999999999995</v>
      </c>
      <c r="Y717" s="43">
        <f>W717/O717</f>
        <v>0.40849163199260274</v>
      </c>
      <c r="Z717" s="49"/>
      <c r="AA717" s="24"/>
    </row>
    <row r="718" spans="1:27" s="13" customFormat="1" hidden="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71.150000000000006</v>
      </c>
      <c r="V718" s="13">
        <f>IF(ISNA(VLOOKUP(LOWER(F718)&amp;H718,Prices!A:C,2,0)),0,VLOOKUP(LOWER(F718)&amp;H718,Prices!A:C,2,0))</f>
        <v>74.599999999999994</v>
      </c>
      <c r="W718" s="13">
        <f t="shared" si="414"/>
        <v>35242.12999999999</v>
      </c>
      <c r="X718" s="13">
        <f t="shared" si="415"/>
        <v>3449.9999999999886</v>
      </c>
      <c r="Y718" s="43">
        <f t="shared" si="416"/>
        <v>0.89560686149936442</v>
      </c>
      <c r="Z718" s="49"/>
      <c r="AA718" s="24"/>
    </row>
    <row r="719" spans="1:27" s="13" customFormat="1" hidden="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73.09</v>
      </c>
      <c r="V719" s="13">
        <f>IF(ISNA(VLOOKUP(LOWER(F719)&amp;H719,Prices!A:C,2,0)),0,VLOOKUP(LOWER(F719)&amp;H719,Prices!A:C,2,0))</f>
        <v>73.459999999999994</v>
      </c>
      <c r="W719" s="13">
        <f t="shared" ref="W719:W740" si="422">IF(I719="B",(V719+T719)*K719,(V719+T719)*K719)</f>
        <v>13337.853599999997</v>
      </c>
      <c r="X719" s="13">
        <f t="shared" ref="X719:X740" si="423">K719*(V719-U719)</f>
        <v>221.9999999999942</v>
      </c>
      <c r="Y719" s="43">
        <f t="shared" ref="Y719:Y740" si="424">W719/O719</f>
        <v>0.43400538852010923</v>
      </c>
      <c r="Z719" s="49"/>
      <c r="AA719" s="24"/>
    </row>
    <row r="720" spans="1:27" s="13" customFormat="1" hidden="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6.88</v>
      </c>
      <c r="V720" s="13">
        <f>IF(ISNA(VLOOKUP(LOWER(F720)&amp;H720,Prices!A:C,2,0)),0,VLOOKUP(LOWER(F720)&amp;H720,Prices!A:C,2,0))</f>
        <v>6.76</v>
      </c>
      <c r="W720" s="13">
        <f t="shared" si="422"/>
        <v>8873.0303999999996</v>
      </c>
      <c r="X720" s="13">
        <f t="shared" si="423"/>
        <v>-720.00000000000068</v>
      </c>
      <c r="Y720" s="43">
        <f t="shared" si="424"/>
        <v>0.28008303030303028</v>
      </c>
      <c r="Z720" s="49"/>
      <c r="AA720" s="24"/>
    </row>
    <row r="721" spans="1:27" s="13" customFormat="1" hidden="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hidden="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6.88</v>
      </c>
      <c r="V722" s="13">
        <f>IF(ISNA(VLOOKUP(LOWER(F722)&amp;H722,Prices!A:C,2,0)),0,VLOOKUP(LOWER(F722)&amp;H722,Prices!A:C,2,0))</f>
        <v>6.76</v>
      </c>
      <c r="W722" s="13">
        <f t="shared" si="422"/>
        <v>9053.07</v>
      </c>
      <c r="X722" s="13">
        <f t="shared" si="423"/>
        <v>-720.00000000000068</v>
      </c>
      <c r="Y722" s="43">
        <f t="shared" si="424"/>
        <v>0.28739904761904761</v>
      </c>
      <c r="Z722" s="49"/>
      <c r="AA722" s="24"/>
    </row>
    <row r="723" spans="1:27" s="13" customFormat="1" hidden="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67.11</v>
      </c>
      <c r="V723" s="13">
        <f>IF(ISNA(VLOOKUP(LOWER(F723)&amp;H723,Prices!A:C,2,0)),0,VLOOKUP(LOWER(F723)&amp;H723,Prices!A:C,2,0))</f>
        <v>68.489999999999995</v>
      </c>
      <c r="W723" s="13">
        <f t="shared" si="422"/>
        <v>31222.547999999995</v>
      </c>
      <c r="X723" s="13">
        <f t="shared" si="423"/>
        <v>1379.9999999999955</v>
      </c>
      <c r="Y723" s="43">
        <f t="shared" si="424"/>
        <v>0.83796425120772933</v>
      </c>
      <c r="Z723" s="49"/>
      <c r="AA723" s="24"/>
    </row>
    <row r="724" spans="1:27" s="13" customFormat="1" hidden="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6.88</v>
      </c>
      <c r="V724" s="13">
        <f>IF(ISNA(VLOOKUP(LOWER(F724)&amp;H724,Prices!A:C,2,0)),0,VLOOKUP(LOWER(F724)&amp;H724,Prices!A:C,2,0))</f>
        <v>6.76</v>
      </c>
      <c r="W724" s="13">
        <f t="shared" si="422"/>
        <v>9233.1095999999998</v>
      </c>
      <c r="X724" s="13">
        <f t="shared" si="423"/>
        <v>-720.00000000000068</v>
      </c>
      <c r="Y724" s="43">
        <f t="shared" si="424"/>
        <v>0.2947991570881226</v>
      </c>
      <c r="Z724" s="49"/>
      <c r="AA724" s="24"/>
    </row>
    <row r="725" spans="1:27" s="13" customFormat="1" hidden="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71.150000000000006</v>
      </c>
      <c r="V725" s="13">
        <f>IF(ISNA(VLOOKUP(LOWER(F725)&amp;H725,Prices!A:C,2,0)),0,VLOOKUP(LOWER(F725)&amp;H725,Prices!A:C,2,0))</f>
        <v>74.599999999999994</v>
      </c>
      <c r="W725" s="13">
        <f t="shared" si="422"/>
        <v>35102.101999999992</v>
      </c>
      <c r="X725" s="13">
        <f t="shared" si="423"/>
        <v>3449.9999999999886</v>
      </c>
      <c r="Y725" s="43">
        <f t="shared" si="424"/>
        <v>0.88888584451759922</v>
      </c>
      <c r="Z725" s="49"/>
      <c r="AA725" s="24"/>
    </row>
    <row r="726" spans="1:27" s="13" customFormat="1" hidden="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112.98</v>
      </c>
      <c r="V726" s="13">
        <f>IF(ISNA(VLOOKUP(LOWER(F726)&amp;H726,Prices!A:C,2,0)),0,VLOOKUP(LOWER(F726)&amp;H726,Prices!A:C,2,0))</f>
        <v>115.9</v>
      </c>
      <c r="W726" s="13">
        <f t="shared" si="422"/>
        <v>35123.848000000013</v>
      </c>
      <c r="X726" s="13">
        <f t="shared" si="423"/>
        <v>2920.0000000000018</v>
      </c>
      <c r="Y726" s="43">
        <f t="shared" si="424"/>
        <v>0.43491639425458162</v>
      </c>
      <c r="Z726" s="49"/>
      <c r="AA726" s="24"/>
    </row>
    <row r="727" spans="1:27" s="13" customFormat="1" hidden="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27.2</v>
      </c>
      <c r="V727" s="13">
        <f>IF(ISNA(VLOOKUP(LOWER(F727)&amp;H727,Prices!A:C,2,0)),0,VLOOKUP(LOWER(F727)&amp;H727,Prices!A:C,2,0))</f>
        <v>27.5</v>
      </c>
      <c r="W727" s="13">
        <f t="shared" si="422"/>
        <v>6509.3343999999997</v>
      </c>
      <c r="X727" s="13">
        <f t="shared" si="423"/>
        <v>600.00000000000136</v>
      </c>
      <c r="Y727" s="43">
        <f t="shared" si="424"/>
        <v>0.13426844884488448</v>
      </c>
      <c r="Z727" s="49"/>
      <c r="AA727" s="24"/>
    </row>
    <row r="728" spans="1:27" s="13" customFormat="1" hidden="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73.09</v>
      </c>
      <c r="V728" s="13">
        <f>IF(ISNA(VLOOKUP(LOWER(F728)&amp;H728,Prices!A:C,2,0)),0,VLOOKUP(LOWER(F728)&amp;H728,Prices!A:C,2,0))</f>
        <v>73.459999999999994</v>
      </c>
      <c r="W728" s="13">
        <f t="shared" si="422"/>
        <v>136379.13599999994</v>
      </c>
      <c r="X728" s="13">
        <f t="shared" si="423"/>
        <v>2219.9999999999418</v>
      </c>
      <c r="Y728" s="43">
        <f t="shared" si="424"/>
        <v>0.44814384858044143</v>
      </c>
      <c r="Z728" s="49"/>
      <c r="AA728" s="24"/>
    </row>
    <row r="729" spans="1:27" s="13" customFormat="1" hidden="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hidden="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6.88</v>
      </c>
      <c r="V730" s="13">
        <f>IF(ISNA(VLOOKUP(LOWER(F730)&amp;H730,Prices!A:C,2,0)),0,VLOOKUP(LOWER(F730)&amp;H730,Prices!A:C,2,0))</f>
        <v>6.76</v>
      </c>
      <c r="W730" s="13">
        <f t="shared" si="422"/>
        <v>9233.1095999999998</v>
      </c>
      <c r="X730" s="13">
        <f t="shared" si="423"/>
        <v>-720.00000000000068</v>
      </c>
      <c r="Y730" s="43">
        <f t="shared" si="424"/>
        <v>0.2947991570881226</v>
      </c>
      <c r="Z730" s="49"/>
      <c r="AA730" s="24"/>
    </row>
    <row r="731" spans="1:27" s="13" customFormat="1" hidden="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hidden="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15.25</v>
      </c>
      <c r="V732" s="13">
        <f>IF(ISNA(VLOOKUP(LOWER(F732)&amp;H732,Prices!A:C,2,0)),0,VLOOKUP(LOWER(F732)&amp;H732,Prices!A:C,2,0))</f>
        <v>15.12</v>
      </c>
      <c r="W732" s="13">
        <f t="shared" si="422"/>
        <v>-1506.982800000003</v>
      </c>
      <c r="X732" s="13">
        <f t="shared" si="423"/>
        <v>-260.00000000000159</v>
      </c>
      <c r="Y732" s="43">
        <f t="shared" si="424"/>
        <v>-4.7478979206049245E-2</v>
      </c>
      <c r="Z732" s="49"/>
      <c r="AA732" s="24"/>
    </row>
    <row r="733" spans="1:27" s="13" customFormat="1" hidden="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hidden="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hidden="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12.92</v>
      </c>
      <c r="V735" s="13">
        <f>IF(ISNA(VLOOKUP(LOWER(F735)&amp;H735,Prices!A:C,2,0)),0,VLOOKUP(LOWER(F735)&amp;H735,Prices!A:C,2,0))</f>
        <v>12.93</v>
      </c>
      <c r="W735" s="13">
        <f t="shared" si="422"/>
        <v>-14168.004000000003</v>
      </c>
      <c r="X735" s="13">
        <f t="shared" si="423"/>
        <v>19.999999999999574</v>
      </c>
      <c r="Y735" s="43">
        <f t="shared" si="424"/>
        <v>-0.35402308845577218</v>
      </c>
      <c r="Z735" s="49"/>
      <c r="AA735" s="24"/>
    </row>
    <row r="736" spans="1:27" s="13" customFormat="1" hidden="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hidden="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11.15</v>
      </c>
      <c r="V737" s="13">
        <f>IF(ISNA(VLOOKUP(LOWER(F737)&amp;H737,Prices!A:C,2,0)),0,VLOOKUP(LOWER(F737)&amp;H737,Prices!A:C,2,0))</f>
        <v>10.99</v>
      </c>
      <c r="W737" s="13">
        <f t="shared" si="422"/>
        <v>-18040.199999999997</v>
      </c>
      <c r="X737" s="13">
        <f t="shared" si="423"/>
        <v>-480.00000000000045</v>
      </c>
      <c r="Y737" s="43">
        <f t="shared" si="424"/>
        <v>-0.35372941176470585</v>
      </c>
      <c r="Z737" s="49"/>
      <c r="AA737" s="24"/>
    </row>
    <row r="738" spans="1:27" s="13" customFormat="1" hidden="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18.36</v>
      </c>
      <c r="V738" s="13">
        <f>IF(ISNA(VLOOKUP(LOWER(F738)&amp;H738,Prices!A:C,2,0)),0,VLOOKUP(LOWER(F738)&amp;H738,Prices!A:C,2,0))</f>
        <v>18.21</v>
      </c>
      <c r="W738" s="13">
        <f t="shared" si="422"/>
        <v>-13690.019999999997</v>
      </c>
      <c r="X738" s="13">
        <f t="shared" si="423"/>
        <v>-299.99999999999716</v>
      </c>
      <c r="Y738" s="43">
        <f t="shared" si="424"/>
        <v>-0.27325389221556878</v>
      </c>
      <c r="Z738" s="49"/>
      <c r="AA738" s="24"/>
    </row>
    <row r="739" spans="1:27" s="13" customFormat="1" hidden="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29.6</v>
      </c>
      <c r="V739" s="13">
        <f>IF(ISNA(VLOOKUP(LOWER(F739)&amp;H739,Prices!A:C,2,0)),0,VLOOKUP(LOWER(F739)&amp;H739,Prices!A:C,2,0))</f>
        <v>30.47</v>
      </c>
      <c r="W739" s="13">
        <f t="shared" si="422"/>
        <v>-17612.055999999997</v>
      </c>
      <c r="X739" s="13">
        <f t="shared" si="423"/>
        <v>-1739.999999999995</v>
      </c>
      <c r="Y739" s="43">
        <f t="shared" si="424"/>
        <v>-0.40599483633010597</v>
      </c>
      <c r="Z739" s="49"/>
      <c r="AA739" s="24"/>
    </row>
    <row r="740" spans="1:27" s="13" customFormat="1" hidden="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hidden="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112.98</v>
      </c>
      <c r="V741" s="13">
        <f>IF(ISNA(VLOOKUP(LOWER(F741)&amp;H741,Prices!A:C,2,0)),0,VLOOKUP(LOWER(F741)&amp;H741,Prices!A:C,2,0))</f>
        <v>115.9</v>
      </c>
      <c r="W741" s="13">
        <f t="shared" ref="W741:W760" si="429">IF(I741="B",(V741+T741)*K741,(V741+T741)*K741)</f>
        <v>-34228.124000000025</v>
      </c>
      <c r="X741" s="13">
        <f t="shared" ref="X741:X760" si="430">K741*(V741-U741)</f>
        <v>-2920.0000000000018</v>
      </c>
      <c r="Y741" s="43">
        <f t="shared" ref="Y741:Y760" si="431">W741/O741</f>
        <v>-0.41859024091965297</v>
      </c>
      <c r="Z741" s="49"/>
      <c r="AA741" s="24"/>
    </row>
    <row r="742" spans="1:27" s="13" customFormat="1" hidden="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73.09</v>
      </c>
      <c r="V742" s="13">
        <f>IF(ISNA(VLOOKUP(LOWER(F742)&amp;H742,Prices!A:C,2,0)),0,VLOOKUP(LOWER(F742)&amp;H742,Prices!A:C,2,0))</f>
        <v>73.459999999999994</v>
      </c>
      <c r="W742" s="13">
        <f t="shared" si="429"/>
        <v>-72638.976600000009</v>
      </c>
      <c r="X742" s="13">
        <f t="shared" si="430"/>
        <v>-1220.9999999999682</v>
      </c>
      <c r="Y742" s="43">
        <f t="shared" si="431"/>
        <v>-0.42733083073013189</v>
      </c>
      <c r="Z742" s="49"/>
      <c r="AA742" s="24"/>
    </row>
    <row r="743" spans="1:27" s="13" customFormat="1" hidden="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67.11</v>
      </c>
      <c r="V743" s="13">
        <f>IF(ISNA(VLOOKUP(LOWER(F743)&amp;H743,Prices!A:C,2,0)),0,VLOOKUP(LOWER(F743)&amp;H743,Prices!A:C,2,0))</f>
        <v>68.489999999999995</v>
      </c>
      <c r="W743" s="13">
        <f t="shared" si="429"/>
        <v>-15229.039999999997</v>
      </c>
      <c r="X743" s="13">
        <f t="shared" si="430"/>
        <v>-689.99999999999773</v>
      </c>
      <c r="Y743" s="43">
        <f t="shared" si="431"/>
        <v>-0.79984453781512588</v>
      </c>
      <c r="Z743" s="49"/>
      <c r="AA743" s="24"/>
    </row>
    <row r="744" spans="1:27" s="13" customFormat="1" hidden="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18.36</v>
      </c>
      <c r="V744" s="13">
        <f>IF(ISNA(VLOOKUP(LOWER(F744)&amp;H744,Prices!A:C,2,0)),0,VLOOKUP(LOWER(F744)&amp;H744,Prices!A:C,2,0))</f>
        <v>18.21</v>
      </c>
      <c r="W744" s="13">
        <f t="shared" si="429"/>
        <v>7079.6160000000018</v>
      </c>
      <c r="X744" s="13">
        <f t="shared" si="430"/>
        <v>149.99999999999858</v>
      </c>
      <c r="Y744" s="43">
        <f t="shared" si="431"/>
        <v>0.27960568720379153</v>
      </c>
      <c r="Z744" s="49"/>
      <c r="AA744" s="24"/>
    </row>
    <row r="745" spans="1:27" s="13" customFormat="1" hidden="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12.92</v>
      </c>
      <c r="V745" s="13">
        <f>IF(ISNA(VLOOKUP(LOWER(F745)&amp;H745,Prices!A:C,2,0)),0,VLOOKUP(LOWER(F745)&amp;H745,Prices!A:C,2,0))</f>
        <v>12.93</v>
      </c>
      <c r="W745" s="13">
        <f t="shared" si="429"/>
        <v>7234.8100000000031</v>
      </c>
      <c r="X745" s="13">
        <f t="shared" si="430"/>
        <v>-9.9999999999997868</v>
      </c>
      <c r="Y745" s="43">
        <f t="shared" si="431"/>
        <v>0.35833630510153558</v>
      </c>
      <c r="Z745" s="49"/>
      <c r="AA745" s="24"/>
    </row>
    <row r="746" spans="1:27" s="13" customFormat="1" hidden="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hidden="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73.09</v>
      </c>
      <c r="V747" s="13">
        <f>IF(ISNA(VLOOKUP(LOWER(F747)&amp;H747,Prices!A:C,2,0)),0,VLOOKUP(LOWER(F747)&amp;H747,Prices!A:C,2,0))</f>
        <v>73.459999999999994</v>
      </c>
      <c r="W747" s="13">
        <f t="shared" si="429"/>
        <v>-32508.334999999981</v>
      </c>
      <c r="X747" s="13">
        <f t="shared" si="430"/>
        <v>-554.99999999998545</v>
      </c>
      <c r="Y747" s="43">
        <f t="shared" si="431"/>
        <v>-0.41797923497267736</v>
      </c>
      <c r="Z747" s="49"/>
      <c r="AA747" s="24"/>
    </row>
    <row r="748" spans="1:27" s="13" customFormat="1" hidden="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71.150000000000006</v>
      </c>
      <c r="V748" s="13">
        <f>IF(ISNA(VLOOKUP(LOWER(F748)&amp;H748,Prices!A:C,2,0)),0,VLOOKUP(LOWER(F748)&amp;H748,Prices!A:C,2,0))</f>
        <v>74.599999999999994</v>
      </c>
      <c r="W748" s="13">
        <f t="shared" si="429"/>
        <v>-87044.494999999966</v>
      </c>
      <c r="X748" s="13">
        <f t="shared" si="430"/>
        <v>-8624.9999999999709</v>
      </c>
      <c r="Y748" s="43">
        <f t="shared" si="431"/>
        <v>-0.87416013055485786</v>
      </c>
      <c r="Z748" s="49"/>
      <c r="AA748" s="24"/>
    </row>
    <row r="749" spans="1:27" s="13" customFormat="1" hidden="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hidden="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6.88</v>
      </c>
      <c r="V750" s="13">
        <f>IF(ISNA(VLOOKUP(LOWER(F750)&amp;H750,Prices!A:C,2,0)),0,VLOOKUP(LOWER(F750)&amp;H750,Prices!A:C,2,0))</f>
        <v>6.76</v>
      </c>
      <c r="W750" s="13">
        <f t="shared" si="429"/>
        <v>-9098.4299999999985</v>
      </c>
      <c r="X750" s="13">
        <f t="shared" si="430"/>
        <v>720.00000000000068</v>
      </c>
      <c r="Y750" s="43">
        <f t="shared" si="431"/>
        <v>-0.28883904761904755</v>
      </c>
      <c r="Z750" s="49"/>
      <c r="AA750" s="24"/>
    </row>
    <row r="751" spans="1:27" s="13" customFormat="1" hidden="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6.88</v>
      </c>
      <c r="V751" s="13">
        <f>IF(ISNA(VLOOKUP(LOWER(F751)&amp;H751,Prices!A:C,2,0)),0,VLOOKUP(LOWER(F751)&amp;H751,Prices!A:C,2,0))</f>
        <v>6.76</v>
      </c>
      <c r="W751" s="13">
        <f t="shared" si="429"/>
        <v>-8978.5764000000017</v>
      </c>
      <c r="X751" s="13">
        <f t="shared" si="430"/>
        <v>720.00000000000068</v>
      </c>
      <c r="Y751" s="43">
        <f t="shared" si="431"/>
        <v>-0.28395244781783691</v>
      </c>
      <c r="Z751" s="49"/>
      <c r="AA751" s="24"/>
    </row>
    <row r="752" spans="1:27" s="13" customFormat="1" hidden="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6.88</v>
      </c>
      <c r="V752" s="13">
        <f>IF(ISNA(VLOOKUP(LOWER(F752)&amp;H752,Prices!A:C,2,0)),0,VLOOKUP(LOWER(F752)&amp;H752,Prices!A:C,2,0))</f>
        <v>6.76</v>
      </c>
      <c r="W752" s="13">
        <f t="shared" si="429"/>
        <v>-9038.5032000000028</v>
      </c>
      <c r="X752" s="13">
        <f t="shared" si="430"/>
        <v>720.00000000000068</v>
      </c>
      <c r="Y752" s="43">
        <f t="shared" si="431"/>
        <v>-0.28639110266159706</v>
      </c>
      <c r="Z752" s="49"/>
      <c r="AA752" s="24"/>
    </row>
    <row r="753" spans="1:27" s="13" customFormat="1" hidden="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hidden="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18.36</v>
      </c>
      <c r="V754" s="13">
        <f>IF(ISNA(VLOOKUP(LOWER(F754)&amp;H754,Prices!A:C,2,0)),0,VLOOKUP(LOWER(F754)&amp;H754,Prices!A:C,2,0))</f>
        <v>18.21</v>
      </c>
      <c r="W754" s="13">
        <f t="shared" si="429"/>
        <v>3597.2799999999997</v>
      </c>
      <c r="X754" s="13">
        <f t="shared" si="430"/>
        <v>74.999999999999289</v>
      </c>
      <c r="Y754" s="43">
        <f t="shared" si="431"/>
        <v>0.28280503144654084</v>
      </c>
      <c r="Z754" s="49"/>
      <c r="AA754" s="24"/>
    </row>
    <row r="755" spans="1:27" s="13" customFormat="1" hidden="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hidden="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hidden="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12.92</v>
      </c>
      <c r="V757" s="13">
        <f>IF(ISNA(VLOOKUP(LOWER(F757)&amp;H757,Prices!A:C,2,0)),0,VLOOKUP(LOWER(F757)&amp;H757,Prices!A:C,2,0))</f>
        <v>12.93</v>
      </c>
      <c r="W757" s="13">
        <f t="shared" si="429"/>
        <v>3554.9599999999996</v>
      </c>
      <c r="X757" s="13">
        <f t="shared" si="430"/>
        <v>-4.9999999999998934</v>
      </c>
      <c r="Y757" s="43">
        <f t="shared" si="431"/>
        <v>0.3542561036372695</v>
      </c>
      <c r="Z757" s="49"/>
      <c r="AA757" s="24"/>
    </row>
    <row r="758" spans="1:27" s="13" customFormat="1" hidden="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hidden="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hidden="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hidden="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hidden="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12.92</v>
      </c>
      <c r="V762" s="13">
        <f>IF(ISNA(VLOOKUP(LOWER(F762)&amp;H762,Prices!A:C,2,0)),0,VLOOKUP(LOWER(F762)&amp;H762,Prices!A:C,2,0))</f>
        <v>12.93</v>
      </c>
      <c r="W762" s="13">
        <f t="shared" si="436"/>
        <v>3819.7000000000012</v>
      </c>
      <c r="X762" s="13">
        <f t="shared" si="437"/>
        <v>-4.9999999999998934</v>
      </c>
      <c r="Y762" s="43">
        <f t="shared" si="438"/>
        <v>0.37084466019417489</v>
      </c>
      <c r="Z762" s="49"/>
      <c r="AA762" s="24"/>
    </row>
    <row r="763" spans="1:27" s="13" customFormat="1" hidden="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15.25</v>
      </c>
      <c r="V763" s="13">
        <f>IF(ISNA(VLOOKUP(LOWER(F763)&amp;H763,Prices!A:C,2,0)),0,VLOOKUP(LOWER(F763)&amp;H763,Prices!A:C,2,0))</f>
        <v>15.12</v>
      </c>
      <c r="W763" s="13">
        <f t="shared" si="436"/>
        <v>1008.526999999999</v>
      </c>
      <c r="X763" s="13">
        <f t="shared" si="437"/>
        <v>130.0000000000008</v>
      </c>
      <c r="Y763" s="43">
        <f t="shared" si="438"/>
        <v>6.2447492260061868E-2</v>
      </c>
      <c r="Z763" s="49"/>
      <c r="AA763" s="24"/>
    </row>
    <row r="764" spans="1:27" s="13" customFormat="1" hidden="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27.2</v>
      </c>
      <c r="V764" s="13">
        <f>IF(ISNA(VLOOKUP(LOWER(F764)&amp;H764,Prices!A:C,2,0)),0,VLOOKUP(LOWER(F764)&amp;H764,Prices!A:C,2,0))</f>
        <v>27.5</v>
      </c>
      <c r="W764" s="13">
        <f t="shared" si="436"/>
        <v>-2410.646400000001</v>
      </c>
      <c r="X764" s="13">
        <f t="shared" si="437"/>
        <v>-300.00000000000068</v>
      </c>
      <c r="Y764" s="43">
        <f t="shared" si="438"/>
        <v>-9.5965222929936339E-2</v>
      </c>
      <c r="Z764" s="49"/>
      <c r="AA764" s="24"/>
    </row>
    <row r="765" spans="1:27" s="13" customFormat="1" hidden="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67.11</v>
      </c>
      <c r="V765" s="13">
        <f>IF(ISNA(VLOOKUP(LOWER(F765)&amp;H765,Prices!A:C,2,0)),0,VLOOKUP(LOWER(F765)&amp;H765,Prices!A:C,2,0))</f>
        <v>68.489999999999995</v>
      </c>
      <c r="W765" s="13">
        <f t="shared" si="436"/>
        <v>-8977.5899999999983</v>
      </c>
      <c r="X765" s="13">
        <f t="shared" si="437"/>
        <v>-413.99999999999864</v>
      </c>
      <c r="Y765" s="43">
        <f t="shared" si="438"/>
        <v>-0.77486535473847729</v>
      </c>
      <c r="Z765" s="49"/>
      <c r="AA765" s="24"/>
    </row>
    <row r="766" spans="1:27" s="13" customFormat="1" hidden="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9.9499999999999993</v>
      </c>
      <c r="V766" s="13">
        <f>IF(ISNA(VLOOKUP(LOWER(F766)&amp;H766,Prices!A:C,2,0)),0,VLOOKUP(LOWER(F766)&amp;H766,Prices!A:C,2,0))</f>
        <v>9.8699999999999992</v>
      </c>
      <c r="W766" s="13">
        <f t="shared" si="436"/>
        <v>-6085.0000000000009</v>
      </c>
      <c r="X766" s="13">
        <f t="shared" si="437"/>
        <v>-80.000000000000071</v>
      </c>
      <c r="Y766" s="43">
        <f t="shared" si="438"/>
        <v>-0.38150470219435745</v>
      </c>
      <c r="Z766" s="49"/>
      <c r="AA766" s="24"/>
    </row>
    <row r="767" spans="1:27" s="13" customFormat="1" hidden="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73.09</v>
      </c>
      <c r="V767" s="13">
        <f>IF(ISNA(VLOOKUP(LOWER(F767)&amp;H767,Prices!A:C,2,0)),0,VLOOKUP(LOWER(F767)&amp;H767,Prices!A:C,2,0))</f>
        <v>73.459999999999994</v>
      </c>
      <c r="W767" s="13">
        <f t="shared" si="436"/>
        <v>-19918.500199999999</v>
      </c>
      <c r="X767" s="13">
        <f t="shared" si="437"/>
        <v>-332.9999999999913</v>
      </c>
      <c r="Y767" s="43">
        <f t="shared" si="438"/>
        <v>-0.43066096300620527</v>
      </c>
      <c r="Z767" s="49"/>
      <c r="AA767" s="24"/>
    </row>
    <row r="768" spans="1:27" s="13" customFormat="1" hidden="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6.88</v>
      </c>
      <c r="V768" s="13">
        <f>IF(ISNA(VLOOKUP(LOWER(F768)&amp;H768,Prices!A:C,2,0)),0,VLOOKUP(LOWER(F768)&amp;H768,Prices!A:C,2,0))</f>
        <v>6.76</v>
      </c>
      <c r="W768" s="13">
        <f t="shared" si="436"/>
        <v>6314.5855999999976</v>
      </c>
      <c r="X768" s="13">
        <f t="shared" si="437"/>
        <v>-480.00000000000045</v>
      </c>
      <c r="Y768" s="43">
        <f t="shared" si="438"/>
        <v>0.30475799227799216</v>
      </c>
      <c r="Z768" s="49"/>
      <c r="AA768" s="24"/>
    </row>
    <row r="769" spans="1:27" s="13" customFormat="1" hidden="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9.9499999999999993</v>
      </c>
      <c r="V769" s="13">
        <f>IF(ISNA(VLOOKUP(LOWER(F769)&amp;H769,Prices!A:C,2,0)),0,VLOOKUP(LOWER(F769)&amp;H769,Prices!A:C,2,0))</f>
        <v>9.8699999999999992</v>
      </c>
      <c r="W769" s="13">
        <f t="shared" si="436"/>
        <v>-9080.0000000000018</v>
      </c>
      <c r="X769" s="13">
        <f t="shared" si="437"/>
        <v>-120.00000000000011</v>
      </c>
      <c r="Y769" s="43">
        <f t="shared" si="438"/>
        <v>-0.38023450586264662</v>
      </c>
      <c r="Z769" s="49"/>
      <c r="AA769" s="24"/>
    </row>
    <row r="770" spans="1:27" s="13" customFormat="1" hidden="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11.15</v>
      </c>
      <c r="V770" s="13">
        <f>IF(ISNA(VLOOKUP(LOWER(F770)&amp;H770,Prices!A:C,2,0)),0,VLOOKUP(LOWER(F770)&amp;H770,Prices!A:C,2,0))</f>
        <v>10.99</v>
      </c>
      <c r="W770" s="13">
        <f t="shared" si="436"/>
        <v>-5975</v>
      </c>
      <c r="X770" s="13">
        <f t="shared" si="437"/>
        <v>-160.00000000000014</v>
      </c>
      <c r="Y770" s="43">
        <f t="shared" si="438"/>
        <v>-0.35229952830188677</v>
      </c>
      <c r="Z770" s="49"/>
      <c r="AA770" s="24"/>
    </row>
    <row r="771" spans="1:27" s="13" customFormat="1" hidden="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11.15</v>
      </c>
      <c r="V771" s="13">
        <f>IF(ISNA(VLOOKUP(LOWER(F771)&amp;H771,Prices!A:C,2,0)),0,VLOOKUP(LOWER(F771)&amp;H771,Prices!A:C,2,0))</f>
        <v>10.99</v>
      </c>
      <c r="W771" s="13">
        <f t="shared" ref="W771:W786" si="446">IF(I771="B",(V771+T771)*K771,(V771+T771)*K771)</f>
        <v>24278.015999999985</v>
      </c>
      <c r="X771" s="13">
        <f t="shared" ref="X771:X786" si="447">K771*(V771-U771)</f>
        <v>640.00000000000057</v>
      </c>
      <c r="Y771" s="43">
        <f t="shared" ref="Y771:Y786" si="448">W771/O771</f>
        <v>0.35535737704918013</v>
      </c>
      <c r="Z771" s="49"/>
      <c r="AA771" s="24"/>
    </row>
    <row r="772" spans="1:27" s="13" customFormat="1" hidden="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73.09</v>
      </c>
      <c r="V772" s="13">
        <f>IF(ISNA(VLOOKUP(LOWER(F772)&amp;H772,Prices!A:C,2,0)),0,VLOOKUP(LOWER(F772)&amp;H772,Prices!A:C,2,0))</f>
        <v>73.459999999999994</v>
      </c>
      <c r="W772" s="13">
        <f t="shared" si="446"/>
        <v>-19460.051999999989</v>
      </c>
      <c r="X772" s="13">
        <f t="shared" si="447"/>
        <v>-332.9999999999913</v>
      </c>
      <c r="Y772" s="43">
        <f t="shared" si="448"/>
        <v>-0.41661425818882442</v>
      </c>
      <c r="Z772" s="49"/>
      <c r="AA772" s="24"/>
    </row>
    <row r="773" spans="1:27" s="13" customFormat="1" hidden="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hidden="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15.25</v>
      </c>
      <c r="V774" s="13">
        <f>IF(ISNA(VLOOKUP(LOWER(F774)&amp;H774,Prices!A:C,2,0)),0,VLOOKUP(LOWER(F774)&amp;H774,Prices!A:C,2,0))</f>
        <v>15.12</v>
      </c>
      <c r="W774" s="13">
        <f t="shared" si="446"/>
        <v>728.81259999999952</v>
      </c>
      <c r="X774" s="13">
        <f t="shared" si="447"/>
        <v>130.0000000000008</v>
      </c>
      <c r="Y774" s="43">
        <f t="shared" si="448"/>
        <v>4.5923919344675455E-2</v>
      </c>
      <c r="Z774" s="49"/>
      <c r="AA774" s="24"/>
    </row>
    <row r="775" spans="1:27" s="13" customFormat="1" hidden="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18.36</v>
      </c>
      <c r="V775" s="13">
        <f>IF(ISNA(VLOOKUP(LOWER(F775)&amp;H775,Prices!A:C,2,0)),0,VLOOKUP(LOWER(F775)&amp;H775,Prices!A:C,2,0))</f>
        <v>18.21</v>
      </c>
      <c r="W775" s="13">
        <f t="shared" si="446"/>
        <v>3567.309999999999</v>
      </c>
      <c r="X775" s="13">
        <f t="shared" si="447"/>
        <v>74.999999999999289</v>
      </c>
      <c r="Y775" s="43">
        <f t="shared" si="448"/>
        <v>0.28111189913317564</v>
      </c>
      <c r="Z775" s="49"/>
      <c r="AA775" s="24"/>
    </row>
    <row r="776" spans="1:27" s="13" customFormat="1" hidden="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9.9499999999999993</v>
      </c>
      <c r="V776" s="13">
        <f>IF(ISNA(VLOOKUP(LOWER(F776)&amp;H776,Prices!A:C,2,0)),0,VLOOKUP(LOWER(F776)&amp;H776,Prices!A:C,2,0))</f>
        <v>9.8699999999999992</v>
      </c>
      <c r="W776" s="13">
        <f t="shared" si="446"/>
        <v>14877.480000000007</v>
      </c>
      <c r="X776" s="13">
        <f t="shared" si="447"/>
        <v>200.00000000000017</v>
      </c>
      <c r="Y776" s="43">
        <f t="shared" si="448"/>
        <v>0.37569393939393958</v>
      </c>
      <c r="Z776" s="49"/>
      <c r="AA776" s="24"/>
    </row>
    <row r="777" spans="1:27" s="13" customFormat="1" hidden="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67.11</v>
      </c>
      <c r="V777" s="13">
        <f>IF(ISNA(VLOOKUP(LOWER(F777)&amp;H777,Prices!A:C,2,0)),0,VLOOKUP(LOWER(F777)&amp;H777,Prices!A:C,2,0))</f>
        <v>68.489999999999995</v>
      </c>
      <c r="W777" s="13">
        <f t="shared" si="446"/>
        <v>-6008.6999999999989</v>
      </c>
      <c r="X777" s="13">
        <f t="shared" si="447"/>
        <v>-275.99999999999909</v>
      </c>
      <c r="Y777" s="43">
        <f t="shared" si="448"/>
        <v>-0.78014801350298613</v>
      </c>
      <c r="Z777" s="49"/>
      <c r="AA777" s="24"/>
    </row>
    <row r="778" spans="1:27" s="13" customFormat="1" hidden="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6.88</v>
      </c>
      <c r="V778" s="13">
        <f>IF(ISNA(VLOOKUP(LOWER(F778)&amp;H778,Prices!A:C,2,0)),0,VLOOKUP(LOWER(F778)&amp;H778,Prices!A:C,2,0))</f>
        <v>6.76</v>
      </c>
      <c r="W778" s="13">
        <f t="shared" si="446"/>
        <v>-18260.267999999985</v>
      </c>
      <c r="X778" s="13">
        <f t="shared" si="447"/>
        <v>1200.0000000000011</v>
      </c>
      <c r="Y778" s="43">
        <f t="shared" si="448"/>
        <v>-0.36964105263157859</v>
      </c>
      <c r="Z778" s="49"/>
      <c r="AA778" s="24"/>
    </row>
    <row r="779" spans="1:27" s="13" customFormat="1" hidden="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27.2</v>
      </c>
      <c r="V779" s="13">
        <f>IF(ISNA(VLOOKUP(LOWER(F779)&amp;H779,Prices!A:C,2,0)),0,VLOOKUP(LOWER(F779)&amp;H779,Prices!A:C,2,0))</f>
        <v>27.5</v>
      </c>
      <c r="W779" s="13">
        <f t="shared" si="446"/>
        <v>-3249.7655999999997</v>
      </c>
      <c r="X779" s="13">
        <f t="shared" si="447"/>
        <v>-300.00000000000068</v>
      </c>
      <c r="Y779" s="43">
        <f t="shared" si="448"/>
        <v>-0.13384537067545305</v>
      </c>
      <c r="Z779" s="49"/>
      <c r="AA779" s="24"/>
    </row>
    <row r="780" spans="1:27" s="13" customFormat="1" hidden="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71.150000000000006</v>
      </c>
      <c r="V780" s="13">
        <f>IF(ISNA(VLOOKUP(LOWER(F780)&amp;H780,Prices!A:C,2,0)),0,VLOOKUP(LOWER(F780)&amp;H780,Prices!A:C,2,0))</f>
        <v>74.599999999999994</v>
      </c>
      <c r="W780" s="13">
        <f t="shared" si="446"/>
        <v>-86719.879999999976</v>
      </c>
      <c r="X780" s="13">
        <f t="shared" si="447"/>
        <v>-8624.9999999999709</v>
      </c>
      <c r="Y780" s="43">
        <f t="shared" si="448"/>
        <v>-0.86806686686686663</v>
      </c>
      <c r="Z780" s="49"/>
      <c r="AA780" s="24"/>
    </row>
    <row r="781" spans="1:27" s="13" customFormat="1" hidden="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hidden="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32.79</v>
      </c>
      <c r="V782" s="13">
        <f>IF(ISNA(VLOOKUP(LOWER(F782)&amp;H782,Prices!A:C,2,0)),0,VLOOKUP(LOWER(F782)&amp;H782,Prices!A:C,2,0))</f>
        <v>34.03</v>
      </c>
      <c r="W782" s="13">
        <f t="shared" si="446"/>
        <v>8884.469200000005</v>
      </c>
      <c r="X782" s="13">
        <f t="shared" si="447"/>
        <v>1240.000000000002</v>
      </c>
      <c r="Y782" s="43">
        <f t="shared" si="448"/>
        <v>0.35339972951471776</v>
      </c>
      <c r="Z782" s="49"/>
      <c r="AA782" s="24"/>
    </row>
    <row r="783" spans="1:27" s="13" customFormat="1" hidden="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32.79</v>
      </c>
      <c r="V783" s="13">
        <f>IF(ISNA(VLOOKUP(LOWER(F783)&amp;H783,Prices!A:C,2,0)),0,VLOOKUP(LOWER(F783)&amp;H783,Prices!A:C,2,0))</f>
        <v>34.03</v>
      </c>
      <c r="W783" s="13">
        <f t="shared" si="446"/>
        <v>21786.0795</v>
      </c>
      <c r="X783" s="13">
        <f t="shared" si="447"/>
        <v>3100.000000000005</v>
      </c>
      <c r="Y783" s="43">
        <f t="shared" si="448"/>
        <v>0.34430785460292374</v>
      </c>
      <c r="Z783" s="49"/>
      <c r="AA783" s="24"/>
    </row>
    <row r="784" spans="1:27" s="13" customFormat="1" hidden="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32.79</v>
      </c>
      <c r="V784" s="13">
        <f>IF(ISNA(VLOOKUP(LOWER(F784)&amp;H784,Prices!A:C,2,0)),0,VLOOKUP(LOWER(F784)&amp;H784,Prices!A:C,2,0))</f>
        <v>34.03</v>
      </c>
      <c r="W784" s="13">
        <f t="shared" si="446"/>
        <v>21786.0795</v>
      </c>
      <c r="X784" s="13">
        <f t="shared" si="447"/>
        <v>3100.000000000005</v>
      </c>
      <c r="Y784" s="43">
        <f t="shared" si="448"/>
        <v>0.34430785460292374</v>
      </c>
      <c r="Z784" s="49"/>
      <c r="AA784" s="24"/>
    </row>
    <row r="785" spans="1:27 16382:16382" s="13" customFormat="1" hidden="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61.83</v>
      </c>
      <c r="V785" s="13">
        <f>IF(ISNA(VLOOKUP(LOWER(F785)&amp;H785,Prices!A:C,2,0)),0,VLOOKUP(LOWER(F785)&amp;H785,Prices!A:C,2,0))</f>
        <v>67.349999999999994</v>
      </c>
      <c r="W785" s="13">
        <f t="shared" si="446"/>
        <v>46580.617999999988</v>
      </c>
      <c r="X785" s="13">
        <f t="shared" si="447"/>
        <v>11039.999999999993</v>
      </c>
      <c r="Y785" s="43">
        <f t="shared" si="448"/>
        <v>0.52872438138478983</v>
      </c>
      <c r="Z785" s="49"/>
      <c r="AA785" s="24"/>
    </row>
    <row r="786" spans="1:27 16382:16382" s="13" customFormat="1" hidden="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61.83</v>
      </c>
      <c r="V786" s="13">
        <f>IF(ISNA(VLOOKUP(LOWER(F786)&amp;H786,Prices!A:C,2,0)),0,VLOOKUP(LOWER(F786)&amp;H786,Prices!A:C,2,0))</f>
        <v>67.349999999999994</v>
      </c>
      <c r="W786" s="13">
        <f t="shared" si="446"/>
        <v>46560.613599999982</v>
      </c>
      <c r="X786" s="13">
        <f t="shared" si="447"/>
        <v>11039.999999999993</v>
      </c>
      <c r="Y786" s="43">
        <f t="shared" si="448"/>
        <v>0.52837736722650908</v>
      </c>
      <c r="Z786" s="49"/>
      <c r="AA786" s="24"/>
    </row>
    <row r="787" spans="1:27 16382:16382" s="13" customFormat="1" hidden="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32.79</v>
      </c>
      <c r="V787" s="13">
        <f>IF(ISNA(VLOOKUP(LOWER(F787)&amp;H787,Prices!A:C,2,0)),0,VLOOKUP(LOWER(F787)&amp;H787,Prices!A:C,2,0))</f>
        <v>34.03</v>
      </c>
      <c r="W787" s="13">
        <f t="shared" ref="W787" si="451">IF(I787="B",(V787+T787)*K787,(V787+T787)*K787)</f>
        <v>-26282.597999999991</v>
      </c>
      <c r="X787" s="13">
        <f t="shared" ref="X787" si="452">K787*(V787-U787)</f>
        <v>-3720.0000000000059</v>
      </c>
      <c r="Y787" s="43">
        <f t="shared" ref="Y787" si="453">W787/O787</f>
        <v>-0.3462792885375493</v>
      </c>
      <c r="Z787" s="49"/>
      <c r="AA787" s="24"/>
    </row>
    <row r="788" spans="1:27 16382:16382" s="13" customFormat="1" hidden="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32.79</v>
      </c>
      <c r="V788" s="13">
        <f>IF(ISNA(VLOOKUP(LOWER(F788)&amp;H788,Prices!A:C,2,0)),0,VLOOKUP(LOWER(F788)&amp;H788,Prices!A:C,2,0))</f>
        <v>34.03</v>
      </c>
      <c r="W788" s="13">
        <f t="shared" ref="W788:W793" si="458">IF(I788="B",(V788+T788)*K788,(V788+T788)*K788)</f>
        <v>-3343.4856800000007</v>
      </c>
      <c r="X788" s="13">
        <f t="shared" ref="X788:X793" si="459">K788*(V788-U788)</f>
        <v>-496.0000000000008</v>
      </c>
      <c r="Y788" s="43">
        <f t="shared" ref="Y788:Y793" si="460">W788/O788</f>
        <v>-0.32511529366005454</v>
      </c>
      <c r="Z788" s="49"/>
      <c r="AA788" s="24"/>
    </row>
    <row r="789" spans="1:27 16382:16382" s="13" customFormat="1" hidden="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32.79</v>
      </c>
      <c r="V789" s="16">
        <f>IF(ISNA(VLOOKUP(LOWER(F789)&amp;H789,Prices!A:C,2,0)),0,VLOOKUP(LOWER(F789)&amp;H789,Prices!A:C,2,0))</f>
        <v>34.03</v>
      </c>
      <c r="W789" s="49">
        <f t="shared" si="458"/>
        <v>-5826.380360000001</v>
      </c>
      <c r="X789" s="24">
        <f t="shared" si="459"/>
        <v>-868.00000000000136</v>
      </c>
      <c r="Y789" s="43">
        <f t="shared" si="460"/>
        <v>-0.32336443334443338</v>
      </c>
      <c r="XFB789" s="12"/>
    </row>
    <row r="790" spans="1:27 16382:16382" s="13" customFormat="1" hidden="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61.83</v>
      </c>
      <c r="V790" s="13">
        <f>IF(ISNA(VLOOKUP(LOWER(F790)&amp;H790,Prices!A:C,2,0)),0,VLOOKUP(LOWER(F790)&amp;H790,Prices!A:C,2,0))</f>
        <v>67.349999999999994</v>
      </c>
      <c r="W790" s="13">
        <f t="shared" si="458"/>
        <v>-11652.490999999995</v>
      </c>
      <c r="X790" s="13">
        <f t="shared" si="459"/>
        <v>-2759.9999999999982</v>
      </c>
      <c r="Y790" s="43">
        <f t="shared" si="460"/>
        <v>-0.52845764172335574</v>
      </c>
      <c r="Z790" s="49"/>
      <c r="AA790" s="24"/>
    </row>
    <row r="791" spans="1:27 16382:16382" s="13" customFormat="1" hidden="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61.83</v>
      </c>
      <c r="V791" s="13">
        <f>IF(ISNA(VLOOKUP(LOWER(F791)&amp;H791,Prices!A:C,2,0)),0,VLOOKUP(LOWER(F791)&amp;H791,Prices!A:C,2,0))</f>
        <v>67.349999999999994</v>
      </c>
      <c r="W791" s="13">
        <f t="shared" si="458"/>
        <v>-34985.666399999987</v>
      </c>
      <c r="X791" s="13">
        <f t="shared" si="459"/>
        <v>-8279.9999999999945</v>
      </c>
      <c r="Y791" s="43">
        <f t="shared" si="460"/>
        <v>-0.52912381125226837</v>
      </c>
      <c r="Z791" s="49"/>
      <c r="AA791" s="24"/>
    </row>
    <row r="792" spans="1:27 16382:16382" s="13" customFormat="1" hidden="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61.83</v>
      </c>
      <c r="V792" s="43">
        <f>IF(ISNA(VLOOKUP(LOWER(F792)&amp;H792,Prices!A:C,2,0)),0,VLOOKUP(LOWER(F792)&amp;H792,Prices!A:C,2,0))</f>
        <v>67.349999999999994</v>
      </c>
      <c r="W792" s="49">
        <f t="shared" si="458"/>
        <v>-35495.044199999989</v>
      </c>
      <c r="X792" s="24">
        <f t="shared" si="459"/>
        <v>-8279.9999999999945</v>
      </c>
      <c r="Y792" s="43">
        <f t="shared" si="460"/>
        <v>-0.5410005212620026</v>
      </c>
      <c r="XFB792" s="12"/>
    </row>
    <row r="793" spans="1:27 16382:16382" s="13" customFormat="1" hidden="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32.79</v>
      </c>
      <c r="V793" s="16">
        <f>IF(ISNA(VLOOKUP(LOWER(F793)&amp;H793,Prices!A:C,2,0)),0,VLOOKUP(LOWER(F793)&amp;H793,Prices!A:C,2,0))</f>
        <v>34.03</v>
      </c>
      <c r="W793" s="49">
        <f t="shared" si="458"/>
        <v>-12736.798100000002</v>
      </c>
      <c r="X793" s="24">
        <f t="shared" si="459"/>
        <v>-1860.000000000003</v>
      </c>
      <c r="Y793" s="43">
        <f t="shared" si="460"/>
        <v>-0.33207660278972762</v>
      </c>
      <c r="XFB793" s="12"/>
    </row>
    <row r="794" spans="1:27 16382:16382" s="13" customFormat="1" hidden="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32.79</v>
      </c>
      <c r="V794" s="16">
        <f>IF(ISNA(VLOOKUP(LOWER(F794)&amp;H794,Prices!A:C,2,0)),0,VLOOKUP(LOWER(F794)&amp;H794,Prices!A:C,2,0))</f>
        <v>34.03</v>
      </c>
      <c r="W794" s="49">
        <f t="shared" ref="W794:W796" si="465">IF(I794="B",(V794+T794)*K794,(V794+T794)*K794)</f>
        <v>-1658.26316</v>
      </c>
      <c r="X794" s="24">
        <f t="shared" ref="X794:X796" si="466">K794*(V794-U794)</f>
        <v>-248.0000000000004</v>
      </c>
      <c r="Y794" s="43">
        <f t="shared" ref="Y794:Y796" si="467">W794/O794</f>
        <v>-0.32149343931756497</v>
      </c>
      <c r="Z794" s="49"/>
      <c r="AA794" s="24"/>
    </row>
    <row r="795" spans="1:27 16382:16382" s="13" customFormat="1" hidden="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61.83</v>
      </c>
      <c r="V795" s="16">
        <f>IF(ISNA(VLOOKUP(LOWER(F795)&amp;H795,Prices!A:C,2,0)),0,VLOOKUP(LOWER(F795)&amp;H795,Prices!A:C,2,0))</f>
        <v>67.349999999999994</v>
      </c>
      <c r="W795" s="49">
        <f t="shared" si="465"/>
        <v>-4713.9454000000005</v>
      </c>
      <c r="X795" s="24">
        <f t="shared" si="466"/>
        <v>-1103.9999999999991</v>
      </c>
      <c r="Y795" s="43">
        <f t="shared" si="467"/>
        <v>-0.53750802736602055</v>
      </c>
      <c r="Z795" s="49"/>
      <c r="AA795" s="24"/>
    </row>
    <row r="796" spans="1:27 16382:16382" s="13" customFormat="1" hidden="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61.83</v>
      </c>
      <c r="V796" s="16">
        <f>IF(ISNA(VLOOKUP(LOWER(F796)&amp;H796,Prices!A:C,2,0)),0,VLOOKUP(LOWER(F796)&amp;H796,Prices!A:C,2,0))</f>
        <v>67.349999999999994</v>
      </c>
      <c r="W796" s="49">
        <f t="shared" si="465"/>
        <v>-7068.4230999999982</v>
      </c>
      <c r="X796" s="24">
        <f t="shared" si="466"/>
        <v>-1655.9999999999989</v>
      </c>
      <c r="Y796" s="43">
        <f t="shared" si="467"/>
        <v>-0.53731836564044078</v>
      </c>
      <c r="Z796" s="49"/>
      <c r="AA796" s="24"/>
    </row>
    <row r="797" spans="1:27 16382:16382" s="13" customFormat="1" hidden="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hidden="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hidden="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hidden="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hidden="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hidden="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hidden="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hidden="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59.95</v>
      </c>
      <c r="V804" s="16">
        <f>IF(ISNA(VLOOKUP(LOWER(F804)&amp;H804,Prices!A:C,2,0)),0,VLOOKUP(LOWER(F804)&amp;H804,Prices!A:C,2,0))</f>
        <v>59.2</v>
      </c>
      <c r="W804" s="49">
        <f t="shared" ref="W804:W814" si="479">IF(I804="B",(V804+T804)*K804,(V804+T804)*K804)</f>
        <v>40324.388000000014</v>
      </c>
      <c r="X804" s="24">
        <f t="shared" ref="X804:X814" si="480">K804*(V804-U804)</f>
        <v>-1500</v>
      </c>
      <c r="Y804" s="43">
        <f t="shared" ref="Y804:Y813" si="481">W804/O804</f>
        <v>0.51658196259287747</v>
      </c>
      <c r="Z804" s="49"/>
      <c r="AA804" s="24"/>
    </row>
    <row r="805" spans="1:27" s="13" customFormat="1" hidden="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59.95</v>
      </c>
      <c r="V805" s="16">
        <f>IF(ISNA(VLOOKUP(LOWER(F805)&amp;H805,Prices!A:C,2,0)),0,VLOOKUP(LOWER(F805)&amp;H805,Prices!A:C,2,0))</f>
        <v>59.2</v>
      </c>
      <c r="W805" s="49">
        <f t="shared" si="479"/>
        <v>40524.428</v>
      </c>
      <c r="X805" s="24">
        <f t="shared" si="480"/>
        <v>-1500</v>
      </c>
      <c r="Y805" s="43">
        <f t="shared" si="481"/>
        <v>0.52047814025173389</v>
      </c>
      <c r="Z805" s="49"/>
      <c r="AA805" s="24"/>
    </row>
    <row r="806" spans="1:27" s="13" customFormat="1" hidden="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59.95</v>
      </c>
      <c r="V806" s="16">
        <f>IF(ISNA(VLOOKUP(LOWER(F806)&amp;H806,Prices!A:C,2,0)),0,VLOOKUP(LOWER(F806)&amp;H806,Prices!A:C,2,0))</f>
        <v>59.2</v>
      </c>
      <c r="W806" s="49">
        <f t="shared" si="479"/>
        <v>40584.440000000017</v>
      </c>
      <c r="X806" s="24">
        <f t="shared" si="480"/>
        <v>-1500</v>
      </c>
      <c r="Y806" s="43">
        <f t="shared" si="481"/>
        <v>0.52165089974293077</v>
      </c>
      <c r="Z806" s="49"/>
      <c r="AA806" s="24"/>
    </row>
    <row r="807" spans="1:27" s="13" customFormat="1" hidden="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71.150000000000006</v>
      </c>
      <c r="V807" s="16">
        <f>IF(ISNA(VLOOKUP(LOWER(F807)&amp;H807,Prices!A:C,2,0)),0,VLOOKUP(LOWER(F807)&amp;H807,Prices!A:C,2,0))</f>
        <v>74.599999999999994</v>
      </c>
      <c r="W807" s="49">
        <f t="shared" si="479"/>
        <v>33731.827999999994</v>
      </c>
      <c r="X807" s="24">
        <f t="shared" si="480"/>
        <v>3449.9999999999886</v>
      </c>
      <c r="Y807" s="43">
        <f t="shared" si="481"/>
        <v>0.82554645129711191</v>
      </c>
      <c r="Z807" s="49"/>
      <c r="AA807" s="24"/>
    </row>
    <row r="808" spans="1:27" s="13" customFormat="1" hidden="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71.150000000000006</v>
      </c>
      <c r="V808" s="16">
        <f>IF(ISNA(VLOOKUP(LOWER(F808)&amp;H808,Prices!A:C,2,0)),0,VLOOKUP(LOWER(F808)&amp;H808,Prices!A:C,2,0))</f>
        <v>74.599999999999994</v>
      </c>
      <c r="W808" s="49">
        <f t="shared" si="479"/>
        <v>50657.753999999994</v>
      </c>
      <c r="X808" s="24">
        <f t="shared" si="480"/>
        <v>5174.9999999999827</v>
      </c>
      <c r="Y808" s="43">
        <f t="shared" si="481"/>
        <v>0.8273355218030376</v>
      </c>
      <c r="Z808" s="49"/>
      <c r="AA808" s="24"/>
    </row>
    <row r="809" spans="1:27" s="13" customFormat="1" hidden="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hidden="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52.65</v>
      </c>
      <c r="V810" s="16">
        <f>IF(ISNA(VLOOKUP(LOWER(F810)&amp;H810,Prices!A:C,2,0)),0,VLOOKUP(LOWER(F810)&amp;H810,Prices!A:C,2,0))</f>
        <v>52.82</v>
      </c>
      <c r="W810" s="49">
        <f t="shared" si="479"/>
        <v>26373.374100000005</v>
      </c>
      <c r="X810" s="24">
        <f t="shared" si="480"/>
        <v>255.00000000000256</v>
      </c>
      <c r="Y810" s="43">
        <f t="shared" si="481"/>
        <v>0.49907037751915995</v>
      </c>
      <c r="Z810" s="49"/>
      <c r="AA810" s="24"/>
    </row>
    <row r="811" spans="1:27" s="13" customFormat="1" hidden="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52.65</v>
      </c>
      <c r="V811" s="16">
        <f>IF(ISNA(VLOOKUP(LOWER(F811)&amp;H811,Prices!A:C,2,0)),0,VLOOKUP(LOWER(F811)&amp;H811,Prices!A:C,2,0))</f>
        <v>52.82</v>
      </c>
      <c r="W811" s="49">
        <f t="shared" si="479"/>
        <v>26448.39060000001</v>
      </c>
      <c r="X811" s="24">
        <f t="shared" si="480"/>
        <v>255.00000000000256</v>
      </c>
      <c r="Y811" s="43">
        <f t="shared" si="481"/>
        <v>0.50120126208072791</v>
      </c>
      <c r="Z811" s="49"/>
      <c r="AA811" s="24"/>
    </row>
    <row r="812" spans="1:27" s="13" customFormat="1" hidden="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52.65</v>
      </c>
      <c r="V812" s="16">
        <f>IF(ISNA(VLOOKUP(LOWER(F812)&amp;H812,Prices!A:C,2,0)),0,VLOOKUP(LOWER(F812)&amp;H812,Prices!A:C,2,0))</f>
        <v>52.82</v>
      </c>
      <c r="W812" s="49">
        <f t="shared" si="479"/>
        <v>17632.260399999999</v>
      </c>
      <c r="X812" s="24">
        <f t="shared" si="480"/>
        <v>170.00000000000171</v>
      </c>
      <c r="Y812" s="43">
        <f t="shared" si="481"/>
        <v>0.50120126208072768</v>
      </c>
      <c r="Z812" s="49"/>
      <c r="AA812" s="24"/>
    </row>
    <row r="813" spans="1:27" s="13" customFormat="1" hidden="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hidden="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21.65</v>
      </c>
      <c r="V814" s="16">
        <f>IF(ISNA(VLOOKUP(LOWER(F814)&amp;H814,Prices!A:C,2,0)),0,VLOOKUP(LOWER(F814)&amp;H814,Prices!A:C,2,0))</f>
        <v>21.69</v>
      </c>
      <c r="W814" s="49">
        <f t="shared" si="479"/>
        <v>9872.6300000000083</v>
      </c>
      <c r="X814" s="24">
        <f t="shared" si="480"/>
        <v>80.0000000000054</v>
      </c>
      <c r="Y814" s="43">
        <f>W814/O814</f>
        <v>0.2947053731343286</v>
      </c>
      <c r="Z814" s="49"/>
      <c r="AA814" s="24"/>
    </row>
    <row r="815" spans="1:27" s="13" customFormat="1" hidden="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21.65</v>
      </c>
      <c r="V815" s="16">
        <f>IF(ISNA(VLOOKUP(LOWER(F815)&amp;H815,Prices!A:C,2,0)),0,VLOOKUP(LOWER(F815)&amp;H815,Prices!A:C,2,0))</f>
        <v>21.69</v>
      </c>
      <c r="W815" s="49">
        <f t="shared" ref="W815" si="486">IF(I815="B",(V815+T815)*K815,(V815+T815)*K815)</f>
        <v>-9721.1139999999996</v>
      </c>
      <c r="X815" s="24">
        <f t="shared" ref="X815" si="487">K815*(V815-U815)</f>
        <v>-80.0000000000054</v>
      </c>
      <c r="Y815" s="43">
        <f>W815/O815</f>
        <v>-0.28846035608308607</v>
      </c>
      <c r="Z815" s="49"/>
      <c r="AA815" s="24"/>
    </row>
    <row r="816" spans="1:27" s="13" customFormat="1" hidden="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32.79</v>
      </c>
      <c r="V816" s="16">
        <f>IF(ISNA(VLOOKUP(LOWER(F816)&amp;H816,Prices!A:C,2,0)),0,VLOOKUP(LOWER(F816)&amp;H816,Prices!A:C,2,0))</f>
        <v>34.03</v>
      </c>
      <c r="W816" s="49">
        <f t="shared" ref="W816:W821" si="492">IF(I816="B",(V816+T816)*K816,(V816+T816)*K816)</f>
        <v>-1740.1815200000001</v>
      </c>
      <c r="X816" s="24">
        <f t="shared" ref="X816:X821" si="493">K816*(V816-U816)</f>
        <v>-248.0000000000004</v>
      </c>
      <c r="Y816" s="43">
        <f t="shared" ref="Y816:Y821" si="494">W816/O816</f>
        <v>-0.34282535855003943</v>
      </c>
      <c r="Z816" s="49"/>
      <c r="AA816" s="24"/>
    </row>
    <row r="817" spans="1:27" s="13" customFormat="1" hidden="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hidden="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59.95</v>
      </c>
      <c r="V818" s="16">
        <f>IF(ISNA(VLOOKUP(LOWER(F818)&amp;H818,Prices!A:C,2,0)),0,VLOOKUP(LOWER(F818)&amp;H818,Prices!A:C,2,0))</f>
        <v>59.2</v>
      </c>
      <c r="W818" s="49">
        <f t="shared" si="492"/>
        <v>-60740.4</v>
      </c>
      <c r="X818" s="24">
        <f t="shared" si="493"/>
        <v>2250</v>
      </c>
      <c r="Y818" s="43">
        <f t="shared" si="494"/>
        <v>-0.51914871794871797</v>
      </c>
      <c r="Z818" s="49"/>
      <c r="AA818" s="24"/>
    </row>
    <row r="819" spans="1:27" s="13" customFormat="1" hidden="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59.95</v>
      </c>
      <c r="V819" s="16">
        <f>IF(ISNA(VLOOKUP(LOWER(F819)&amp;H819,Prices!A:C,2,0)),0,VLOOKUP(LOWER(F819)&amp;H819,Prices!A:C,2,0))</f>
        <v>59.2</v>
      </c>
      <c r="W819" s="49">
        <f t="shared" si="492"/>
        <v>-30325.259000000009</v>
      </c>
      <c r="X819" s="24">
        <f t="shared" si="493"/>
        <v>1125</v>
      </c>
      <c r="Y819" s="43">
        <f t="shared" si="494"/>
        <v>-0.51798204799726721</v>
      </c>
      <c r="Z819" s="49"/>
      <c r="AA819" s="24"/>
    </row>
    <row r="820" spans="1:27" s="13" customFormat="1" hidden="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71.150000000000006</v>
      </c>
      <c r="V820" s="16">
        <f>IF(ISNA(VLOOKUP(LOWER(F820)&amp;H820,Prices!A:C,2,0)),0,VLOOKUP(LOWER(F820)&amp;H820,Prices!A:C,2,0))</f>
        <v>74.599999999999994</v>
      </c>
      <c r="W820" s="49">
        <f t="shared" si="492"/>
        <v>-43679.043000000012</v>
      </c>
      <c r="X820" s="24">
        <f t="shared" si="493"/>
        <v>-4484.9999999999854</v>
      </c>
      <c r="Y820" s="43">
        <f t="shared" si="494"/>
        <v>-0.81849607420594062</v>
      </c>
      <c r="Z820" s="49"/>
      <c r="AA820" s="24"/>
    </row>
    <row r="821" spans="1:27" s="13" customFormat="1" hidden="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71.150000000000006</v>
      </c>
      <c r="V821" s="16">
        <f>IF(ISNA(VLOOKUP(LOWER(F821)&amp;H821,Prices!A:C,2,0)),0,VLOOKUP(LOWER(F821)&amp;H821,Prices!A:C,2,0))</f>
        <v>74.599999999999994</v>
      </c>
      <c r="W821" s="49">
        <f t="shared" si="492"/>
        <v>-20123.669999999991</v>
      </c>
      <c r="X821" s="24">
        <f t="shared" si="493"/>
        <v>-2069.9999999999932</v>
      </c>
      <c r="Y821" s="43">
        <f t="shared" si="494"/>
        <v>-0.8158465093651176</v>
      </c>
      <c r="Z821" s="49"/>
      <c r="AA821" s="24"/>
    </row>
    <row r="822" spans="1:27" s="13" customFormat="1" hidden="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71.150000000000006</v>
      </c>
      <c r="V822" s="16">
        <f>IF(ISNA(VLOOKUP(LOWER(F822)&amp;H822,Prices!A:C,2,0)),0,VLOOKUP(LOWER(F822)&amp;H822,Prices!A:C,2,0))</f>
        <v>74.599999999999994</v>
      </c>
      <c r="W822" s="49">
        <f t="shared" ref="W822:W830" si="499">IF(I822="B",(V822+T822)*K822,(V822+T822)*K822)</f>
        <v>-9929.4699999999975</v>
      </c>
      <c r="X822" s="24">
        <f t="shared" ref="X822:X830" si="500">K822*(V822-U822)</f>
        <v>-1034.9999999999966</v>
      </c>
      <c r="Y822" s="43">
        <f t="shared" ref="Y822:Y830" si="501">W822/O822</f>
        <v>-0.79639637471928115</v>
      </c>
      <c r="Z822" s="49"/>
      <c r="AA822" s="24"/>
    </row>
    <row r="823" spans="1:27" s="13" customFormat="1" hidden="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52.65</v>
      </c>
      <c r="V823" s="16">
        <f>IF(ISNA(VLOOKUP(LOWER(F823)&amp;H823,Prices!A:C,2,0)),0,VLOOKUP(LOWER(F823)&amp;H823,Prices!A:C,2,0))</f>
        <v>52.82</v>
      </c>
      <c r="W823" s="49">
        <f t="shared" si="499"/>
        <v>-34946.351600000002</v>
      </c>
      <c r="X823" s="24">
        <f t="shared" si="500"/>
        <v>-340.00000000000341</v>
      </c>
      <c r="Y823" s="43">
        <f t="shared" si="501"/>
        <v>-0.49373200904210229</v>
      </c>
      <c r="Z823" s="49"/>
      <c r="AA823" s="24"/>
    </row>
    <row r="824" spans="1:27" s="13" customFormat="1" hidden="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52.65</v>
      </c>
      <c r="V824" s="16">
        <f>IF(ISNA(VLOOKUP(LOWER(F824)&amp;H824,Prices!A:C,2,0)),0,VLOOKUP(LOWER(F824)&amp;H824,Prices!A:C,2,0))</f>
        <v>52.82</v>
      </c>
      <c r="W824" s="49">
        <f t="shared" si="499"/>
        <v>-8583.2069999999985</v>
      </c>
      <c r="X824" s="24">
        <f t="shared" si="500"/>
        <v>-85.000000000000853</v>
      </c>
      <c r="Y824" s="43">
        <f t="shared" si="501"/>
        <v>-0.48085193277310917</v>
      </c>
      <c r="Z824" s="49"/>
      <c r="AA824" s="24"/>
    </row>
    <row r="825" spans="1:27" s="13" customFormat="1" hidden="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71.150000000000006</v>
      </c>
      <c r="V825" s="16">
        <f>IF(ISNA(VLOOKUP(LOWER(F825)&amp;H825,Prices!A:C,2,0)),0,VLOOKUP(LOWER(F825)&amp;H825,Prices!A:C,2,0))</f>
        <v>74.599999999999994</v>
      </c>
      <c r="W825" s="49">
        <f t="shared" si="499"/>
        <v>-6503.4299999999985</v>
      </c>
      <c r="X825" s="24">
        <f t="shared" si="500"/>
        <v>-689.99999999999773</v>
      </c>
      <c r="Y825" s="43">
        <f t="shared" si="501"/>
        <v>-0.77146263345195709</v>
      </c>
      <c r="Z825" s="49"/>
      <c r="AA825" s="24"/>
    </row>
    <row r="826" spans="1:27" s="13" customFormat="1" hidden="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52.65</v>
      </c>
      <c r="V826" s="16">
        <f>IF(ISNA(VLOOKUP(LOWER(F826)&amp;H826,Prices!A:C,2,0)),0,VLOOKUP(LOWER(F826)&amp;H826,Prices!A:C,2,0))</f>
        <v>52.82</v>
      </c>
      <c r="W826" s="49">
        <f t="shared" si="499"/>
        <v>-11873.658819999999</v>
      </c>
      <c r="X826" s="24">
        <f t="shared" si="500"/>
        <v>-119.00000000000119</v>
      </c>
      <c r="Y826" s="43">
        <f t="shared" si="501"/>
        <v>-0.47247060682026176</v>
      </c>
      <c r="Z826" s="49"/>
      <c r="AA826" s="24"/>
    </row>
    <row r="827" spans="1:27" s="13" customFormat="1" hidden="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59.95</v>
      </c>
      <c r="V827" s="16">
        <f>IF(ISNA(VLOOKUP(LOWER(F827)&amp;H827,Prices!A:C,2,0)),0,VLOOKUP(LOWER(F827)&amp;H827,Prices!A:C,2,0))</f>
        <v>59.2</v>
      </c>
      <c r="W827" s="49">
        <f t="shared" si="499"/>
        <v>-5887.89</v>
      </c>
      <c r="X827" s="24">
        <f t="shared" si="500"/>
        <v>225</v>
      </c>
      <c r="Y827" s="43">
        <f t="shared" si="501"/>
        <v>-0.49523845571536718</v>
      </c>
      <c r="Z827" s="49"/>
      <c r="AA827" s="24"/>
    </row>
    <row r="828" spans="1:27" s="13" customFormat="1" hidden="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hidden="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hidden="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59.95</v>
      </c>
      <c r="V830" s="16">
        <f>IF(ISNA(VLOOKUP(LOWER(F830)&amp;H830,Prices!A:C,2,0)),0,VLOOKUP(LOWER(F830)&amp;H830,Prices!A:C,2,0))</f>
        <v>59.2</v>
      </c>
      <c r="W830" s="49">
        <f t="shared" si="499"/>
        <v>-10991.560000000003</v>
      </c>
      <c r="X830" s="24">
        <f t="shared" si="500"/>
        <v>450</v>
      </c>
      <c r="Y830" s="43">
        <f t="shared" si="501"/>
        <v>-0.44757553546705769</v>
      </c>
      <c r="Z830" s="49"/>
      <c r="AA830" s="24"/>
    </row>
    <row r="831" spans="1:27" s="13" customFormat="1" hidden="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59.95</v>
      </c>
      <c r="V831" s="16">
        <f>IF(ISNA(VLOOKUP(LOWER(F831)&amp;H831,Prices!A:C,2,0)),0,VLOOKUP(LOWER(F831)&amp;H831,Prices!A:C,2,0))</f>
        <v>59.2</v>
      </c>
      <c r="W831" s="49">
        <f t="shared" ref="W831:W833" si="506">IF(I831="B",(V831+T831)*K831,(V831+T831)*K831)</f>
        <v>-5690.0900000000011</v>
      </c>
      <c r="X831" s="24">
        <f t="shared" ref="X831:X833" si="507">K831*(V831-U831)</f>
        <v>225</v>
      </c>
      <c r="Y831" s="43">
        <f t="shared" ref="Y831:Y833" si="508">W831/O831</f>
        <v>-0.47076114834119309</v>
      </c>
      <c r="Z831" s="49"/>
      <c r="AA831" s="24"/>
    </row>
    <row r="832" spans="1:27" s="13" customFormat="1" hidden="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52.65</v>
      </c>
      <c r="V832" s="16">
        <f>IF(ISNA(VLOOKUP(LOWER(F832)&amp;H832,Prices!A:C,2,0)),0,VLOOKUP(LOWER(F832)&amp;H832,Prices!A:C,2,0))</f>
        <v>52.82</v>
      </c>
      <c r="W832" s="49">
        <f t="shared" si="506"/>
        <v>-6731.7083199999988</v>
      </c>
      <c r="X832" s="24">
        <f t="shared" si="507"/>
        <v>-68.000000000000682</v>
      </c>
      <c r="Y832" s="43">
        <f t="shared" si="508"/>
        <v>-0.46696089900110982</v>
      </c>
      <c r="Z832" s="49"/>
      <c r="AA832" s="24"/>
    </row>
    <row r="833" spans="1:27" s="13" customFormat="1" hidden="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hidden="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20.79</v>
      </c>
      <c r="V834" s="16">
        <f>IF(ISNA(VLOOKUP(LOWER(F834)&amp;H834,Prices!A:C,2,0)),0,VLOOKUP(LOWER(F834)&amp;H834,Prices!A:C,2,0))</f>
        <v>20.27</v>
      </c>
      <c r="W834" s="49">
        <f t="shared" ref="W834:W852" si="513">IF(I834="B",(V834+T834)*K834,(V834+T834)*K834)</f>
        <v>10940.027999999998</v>
      </c>
      <c r="X834" s="24">
        <f t="shared" ref="X834:X852" si="514">K834*(V834-U834)</f>
        <v>-1559.9999999999986</v>
      </c>
      <c r="Y834" s="43">
        <f t="shared" ref="Y834:Y852" si="515">W834/O834</f>
        <v>0.21941492178098673</v>
      </c>
      <c r="Z834" s="49"/>
      <c r="AA834" s="24"/>
    </row>
    <row r="835" spans="1:27" s="13" customFormat="1" hidden="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hidden="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hidden="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hidden="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hidden="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20.79</v>
      </c>
      <c r="V839" s="16">
        <f>IF(ISNA(VLOOKUP(LOWER(F839)&amp;H839,Prices!A:C,2,0)),0,VLOOKUP(LOWER(F839)&amp;H839,Prices!A:C,2,0))</f>
        <v>20.27</v>
      </c>
      <c r="W839" s="49">
        <f t="shared" si="513"/>
        <v>7533.4000000000005</v>
      </c>
      <c r="X839" s="24">
        <f t="shared" si="514"/>
        <v>-1039.9999999999991</v>
      </c>
      <c r="Y839" s="43">
        <f t="shared" si="515"/>
        <v>0.22828484848484851</v>
      </c>
      <c r="Z839" s="49"/>
      <c r="AA839" s="24"/>
    </row>
    <row r="840" spans="1:27" s="13" customFormat="1" hidden="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85.9</v>
      </c>
      <c r="V840" s="16">
        <f>IF(ISNA(VLOOKUP(LOWER(F840)&amp;H840,Prices!A:C,2,0)),0,VLOOKUP(LOWER(F840)&amp;H840,Prices!A:C,2,0))</f>
        <v>85.18</v>
      </c>
      <c r="W840" s="49">
        <f t="shared" si="513"/>
        <v>68449.841600000014</v>
      </c>
      <c r="X840" s="24">
        <f>K840*(V840-U840)</f>
        <v>-1007.9999999999984</v>
      </c>
      <c r="Y840" s="43">
        <f t="shared" si="515"/>
        <v>1.3476500551267918</v>
      </c>
      <c r="Z840" s="49"/>
      <c r="AA840" s="24"/>
    </row>
    <row r="841" spans="1:27" s="13" customFormat="1" hidden="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85.9</v>
      </c>
      <c r="V841" s="16">
        <f>IF(ISNA(VLOOKUP(LOWER(F841)&amp;H841,Prices!A:C,2,0)),0,VLOOKUP(LOWER(F841)&amp;H841,Prices!A:C,2,0))</f>
        <v>85.18</v>
      </c>
      <c r="W841" s="49">
        <f t="shared" si="513"/>
        <v>34315.938999999998</v>
      </c>
      <c r="X841" s="24">
        <f>K841*(V841-U841)</f>
        <v>-503.9999999999992</v>
      </c>
      <c r="Y841" s="43">
        <f t="shared" si="515"/>
        <v>1.356093222683264</v>
      </c>
      <c r="Z841" s="49"/>
      <c r="AA841" s="24"/>
    </row>
    <row r="842" spans="1:27" s="13" customFormat="1" hidden="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5.1100000000000003</v>
      </c>
      <c r="V842" s="16">
        <f>IF(ISNA(VLOOKUP(LOWER(F842)&amp;H842,Prices!A:C,2,0)),0,VLOOKUP(LOWER(F842)&amp;H842,Prices!A:C,2,0))</f>
        <v>5.12</v>
      </c>
      <c r="W842" s="49">
        <f t="shared" si="513"/>
        <v>-6406.3999999999987</v>
      </c>
      <c r="X842" s="24">
        <f t="shared" si="514"/>
        <v>49.999999999998934</v>
      </c>
      <c r="Y842" s="43">
        <f t="shared" si="515"/>
        <v>-0.20019999999999996</v>
      </c>
      <c r="Z842" s="49"/>
      <c r="AA842" s="24"/>
    </row>
    <row r="843" spans="1:27" s="13" customFormat="1" hidden="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85.9</v>
      </c>
      <c r="V843" s="16">
        <f>IF(ISNA(VLOOKUP(LOWER(F843)&amp;H843,Prices!A:C,2,0)),0,VLOOKUP(LOWER(F843)&amp;H843,Prices!A:C,2,0))</f>
        <v>85.18</v>
      </c>
      <c r="W843" s="49">
        <f t="shared" si="513"/>
        <v>128317.37360000002</v>
      </c>
      <c r="X843" s="24">
        <f t="shared" si="514"/>
        <v>-1871.999999999997</v>
      </c>
      <c r="Y843" s="43">
        <f t="shared" si="515"/>
        <v>1.3778011166945843</v>
      </c>
      <c r="Z843" s="49"/>
      <c r="AA843" s="24"/>
    </row>
    <row r="844" spans="1:27" s="13" customFormat="1" hidden="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5.1100000000000003</v>
      </c>
      <c r="V844" s="16">
        <f>IF(ISNA(VLOOKUP(LOWER(F844)&amp;H844,Prices!A:C,2,0)),0,VLOOKUP(LOWER(F844)&amp;H844,Prices!A:C,2,0))</f>
        <v>5.12</v>
      </c>
      <c r="W844" s="49">
        <f t="shared" si="513"/>
        <v>-5956.3099999999959</v>
      </c>
      <c r="X844" s="24">
        <f t="shared" si="514"/>
        <v>49.999999999998934</v>
      </c>
      <c r="Y844" s="43">
        <f t="shared" si="515"/>
        <v>-0.18878954041204427</v>
      </c>
      <c r="Z844" s="49"/>
      <c r="AA844" s="24"/>
    </row>
    <row r="845" spans="1:27" s="13" customFormat="1" hidden="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59.95</v>
      </c>
      <c r="V845" s="16">
        <f>IF(ISNA(VLOOKUP(LOWER(F845)&amp;H845,Prices!A:C,2,0)),0,VLOOKUP(LOWER(F845)&amp;H845,Prices!A:C,2,0))</f>
        <v>59.2</v>
      </c>
      <c r="W845" s="49">
        <f t="shared" si="513"/>
        <v>-3473.38</v>
      </c>
      <c r="X845" s="24">
        <f t="shared" si="514"/>
        <v>150</v>
      </c>
      <c r="Y845" s="43">
        <f t="shared" si="515"/>
        <v>-0.41448448687350836</v>
      </c>
      <c r="Z845" s="49"/>
      <c r="AA845" s="24"/>
    </row>
    <row r="846" spans="1:27" s="13" customFormat="1" hidden="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18.11</v>
      </c>
      <c r="V846" s="16">
        <f>IF(ISNA(VLOOKUP(LOWER(F846)&amp;H846,Prices!A:C,2,0)),0,VLOOKUP(LOWER(F846)&amp;H846,Prices!A:C,2,0))</f>
        <v>18.18</v>
      </c>
      <c r="W846" s="49">
        <f t="shared" si="513"/>
        <v>4730.0399999999881</v>
      </c>
      <c r="X846" s="24">
        <f t="shared" si="514"/>
        <v>210.00000000000085</v>
      </c>
      <c r="Y846" s="43">
        <f t="shared" si="515"/>
        <v>9.4980722891566019E-2</v>
      </c>
      <c r="Z846" s="49"/>
      <c r="AA846" s="24"/>
    </row>
    <row r="847" spans="1:27" s="13" customFormat="1" hidden="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18.11</v>
      </c>
      <c r="V847" s="16">
        <f>IF(ISNA(VLOOKUP(LOWER(F847)&amp;H847,Prices!A:C,2,0)),0,VLOOKUP(LOWER(F847)&amp;H847,Prices!A:C,2,0))</f>
        <v>18.18</v>
      </c>
      <c r="W847" s="49">
        <f t="shared" si="513"/>
        <v>3373.4040000000009</v>
      </c>
      <c r="X847" s="24">
        <f t="shared" si="514"/>
        <v>140.00000000000057</v>
      </c>
      <c r="Y847" s="43">
        <f t="shared" si="515"/>
        <v>0.10228635536688906</v>
      </c>
      <c r="Z847" s="49"/>
      <c r="AA847" s="24"/>
    </row>
    <row r="848" spans="1:27" s="13" customFormat="1" hidden="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hidden="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52.65</v>
      </c>
      <c r="V849" s="16">
        <f>IF(ISNA(VLOOKUP(LOWER(F849)&amp;H849,Prices!A:C,2,0)),0,VLOOKUP(LOWER(F849)&amp;H849,Prices!A:C,2,0))</f>
        <v>52.82</v>
      </c>
      <c r="W849" s="49">
        <f t="shared" si="513"/>
        <v>-3368.3541599999999</v>
      </c>
      <c r="X849" s="24">
        <f t="shared" si="514"/>
        <v>-34.000000000000341</v>
      </c>
      <c r="Y849" s="43">
        <f t="shared" si="515"/>
        <v>-0.4673077358490566</v>
      </c>
      <c r="Z849" s="49"/>
      <c r="AA849" s="24"/>
    </row>
    <row r="850" spans="1:27" s="13" customFormat="1" hidden="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hidden="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hidden="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32.14</v>
      </c>
      <c r="V852" s="16">
        <f>IF(ISNA(VLOOKUP(LOWER(F852)&amp;H852,Prices!A:C,2,0)),0,VLOOKUP(LOWER(F852)&amp;H852,Prices!A:C,2,0))</f>
        <v>32.14</v>
      </c>
      <c r="W852" s="49">
        <f t="shared" si="513"/>
        <v>4885.7638399999987</v>
      </c>
      <c r="X852" s="24">
        <f t="shared" si="514"/>
        <v>0</v>
      </c>
      <c r="Y852" s="43">
        <f t="shared" si="515"/>
        <v>0.10500696011004124</v>
      </c>
      <c r="Z852" s="49"/>
      <c r="AA852" s="24"/>
    </row>
    <row r="853" spans="1:27" s="13" customFormat="1" hidden="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32.14</v>
      </c>
      <c r="V853" s="16">
        <f>IF(ISNA(VLOOKUP(LOWER(F853)&amp;H853,Prices!A:C,2,0)),0,VLOOKUP(LOWER(F853)&amp;H853,Prices!A:C,2,0))</f>
        <v>32.14</v>
      </c>
      <c r="W853" s="49">
        <f t="shared" ref="W853:W870" si="524">IF(I853="B",(V853+T853)*K853,(V853+T853)*K853)</f>
        <v>-2013.2045599999997</v>
      </c>
      <c r="X853" s="24">
        <f t="shared" ref="X853:X870" si="525">K853*(V853-U853)</f>
        <v>0</v>
      </c>
      <c r="Y853" s="43">
        <f t="shared" ref="Y853:Y870" si="526">W853/O853</f>
        <v>-8.4845101146325E-2</v>
      </c>
      <c r="Z853" s="49"/>
      <c r="AA853" s="24"/>
    </row>
    <row r="854" spans="1:27" s="13" customFormat="1" hidden="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hidden="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20.79</v>
      </c>
      <c r="V855" s="16">
        <f>IF(ISNA(VLOOKUP(LOWER(F855)&amp;H855,Prices!A:C,2,0)),0,VLOOKUP(LOWER(F855)&amp;H855,Prices!A:C,2,0))</f>
        <v>20.27</v>
      </c>
      <c r="W855" s="49">
        <f t="shared" si="524"/>
        <v>-8850.2549999999937</v>
      </c>
      <c r="X855" s="24">
        <f t="shared" si="525"/>
        <v>1299.9999999999989</v>
      </c>
      <c r="Y855" s="43">
        <f t="shared" si="526"/>
        <v>-0.21134937313432822</v>
      </c>
      <c r="Z855" s="49"/>
      <c r="AA855" s="24"/>
    </row>
    <row r="856" spans="1:27" s="13" customFormat="1" hidden="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85.9</v>
      </c>
      <c r="V856" s="16">
        <f>IF(ISNA(VLOOKUP(LOWER(F856)&amp;H856,Prices!A:C,2,0)),0,VLOOKUP(LOWER(F856)&amp;H856,Prices!A:C,2,0))</f>
        <v>85.18</v>
      </c>
      <c r="W856" s="49">
        <f t="shared" si="524"/>
        <v>-117224.77240000002</v>
      </c>
      <c r="X856" s="24">
        <f t="shared" si="525"/>
        <v>1727.9999999999973</v>
      </c>
      <c r="Y856" s="43">
        <f t="shared" si="526"/>
        <v>-1.3425963487264065</v>
      </c>
      <c r="Z856" s="49"/>
      <c r="AA856" s="24"/>
    </row>
    <row r="857" spans="1:27" s="13" customFormat="1" hidden="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5.1100000000000003</v>
      </c>
      <c r="V857" s="16">
        <f>IF(ISNA(VLOOKUP(LOWER(F857)&amp;H857,Prices!A:C,2,0)),0,VLOOKUP(LOWER(F857)&amp;H857,Prices!A:C,2,0))</f>
        <v>5.12</v>
      </c>
      <c r="W857" s="49">
        <f t="shared" si="524"/>
        <v>6261.7199999999948</v>
      </c>
      <c r="X857" s="24">
        <f t="shared" si="525"/>
        <v>-49.999999999998934</v>
      </c>
      <c r="Y857" s="43">
        <f t="shared" si="526"/>
        <v>0.19629216300940422</v>
      </c>
      <c r="Z857" s="49"/>
      <c r="AA857" s="24"/>
    </row>
    <row r="858" spans="1:27" s="13" customFormat="1" hidden="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18.11</v>
      </c>
      <c r="V858" s="16">
        <f>IF(ISNA(VLOOKUP(LOWER(F858)&amp;H858,Prices!A:C,2,0)),0,VLOOKUP(LOWER(F858)&amp;H858,Prices!A:C,2,0))</f>
        <v>18.18</v>
      </c>
      <c r="W858" s="49">
        <f t="shared" si="524"/>
        <v>-4099.6800000000012</v>
      </c>
      <c r="X858" s="24">
        <f t="shared" si="525"/>
        <v>-175.00000000000071</v>
      </c>
      <c r="Y858" s="43">
        <f t="shared" si="526"/>
        <v>-9.9026086956521764E-2</v>
      </c>
      <c r="Z858" s="49"/>
      <c r="AA858" s="24"/>
    </row>
    <row r="859" spans="1:27" s="13" customFormat="1" hidden="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hidden="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hidden="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20.79</v>
      </c>
      <c r="V861" s="16">
        <f>IF(ISNA(VLOOKUP(LOWER(F861)&amp;H861,Prices!A:C,2,0)),0,VLOOKUP(LOWER(F861)&amp;H861,Prices!A:C,2,0))</f>
        <v>20.27</v>
      </c>
      <c r="W861" s="49">
        <f t="shared" si="524"/>
        <v>-4265.1099999999951</v>
      </c>
      <c r="X861" s="24">
        <f t="shared" si="525"/>
        <v>675.99999999999943</v>
      </c>
      <c r="Y861" s="43">
        <f t="shared" si="526"/>
        <v>-0.19287794510016706</v>
      </c>
      <c r="Z861" s="49"/>
      <c r="AA861" s="24"/>
    </row>
    <row r="862" spans="1:27" s="13" customFormat="1" hidden="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32.14</v>
      </c>
      <c r="V862" s="16">
        <f>IF(ISNA(VLOOKUP(LOWER(F862)&amp;H862,Prices!A:C,2,0)),0,VLOOKUP(LOWER(F862)&amp;H862,Prices!A:C,2,0))</f>
        <v>32.14</v>
      </c>
      <c r="W862" s="49">
        <f t="shared" si="524"/>
        <v>-489.06899999999996</v>
      </c>
      <c r="X862" s="24">
        <f t="shared" si="525"/>
        <v>0</v>
      </c>
      <c r="Y862" s="43">
        <f t="shared" si="526"/>
        <v>-8.2196470588235288E-2</v>
      </c>
      <c r="Z862" s="49"/>
      <c r="AA862" s="24"/>
    </row>
    <row r="863" spans="1:27" s="13" customFormat="1" hidden="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5.1100000000000003</v>
      </c>
      <c r="V863" s="16">
        <f>IF(ISNA(VLOOKUP(LOWER(F863)&amp;H863,Prices!A:C,2,0)),0,VLOOKUP(LOWER(F863)&amp;H863,Prices!A:C,2,0))</f>
        <v>5.12</v>
      </c>
      <c r="W863" s="49">
        <f t="shared" si="524"/>
        <v>3079.099999999999</v>
      </c>
      <c r="X863" s="24">
        <f t="shared" si="525"/>
        <v>-24.999999999999467</v>
      </c>
      <c r="Y863" s="43">
        <f t="shared" si="526"/>
        <v>0.19365408805031439</v>
      </c>
      <c r="Z863" s="49"/>
      <c r="AA863" s="24"/>
    </row>
    <row r="864" spans="1:27" s="13" customFormat="1" hidden="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hidden="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5.1100000000000003</v>
      </c>
      <c r="V865" s="16">
        <f>IF(ISNA(VLOOKUP(LOWER(F865)&amp;H865,Prices!A:C,2,0)),0,VLOOKUP(LOWER(F865)&amp;H865,Prices!A:C,2,0))</f>
        <v>5.12</v>
      </c>
      <c r="W865" s="49">
        <f t="shared" si="524"/>
        <v>3203.9699999999984</v>
      </c>
      <c r="X865" s="24">
        <f t="shared" si="525"/>
        <v>-24.999999999999467</v>
      </c>
      <c r="Y865" s="43">
        <f t="shared" si="526"/>
        <v>0.19993572542901705</v>
      </c>
      <c r="Z865" s="49"/>
      <c r="AA865" s="24"/>
    </row>
    <row r="866" spans="1:27" s="13" customFormat="1" hidden="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hidden="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85.9</v>
      </c>
      <c r="V867" s="16">
        <f>IF(ISNA(VLOOKUP(LOWER(F867)&amp;H867,Prices!A:C,2,0)),0,VLOOKUP(LOWER(F867)&amp;H867,Prices!A:C,2,0))</f>
        <v>85.18</v>
      </c>
      <c r="W867" s="49">
        <f t="shared" si="524"/>
        <v>-24867.750000000004</v>
      </c>
      <c r="X867" s="24">
        <f t="shared" si="525"/>
        <v>359.99999999999943</v>
      </c>
      <c r="Y867" s="43">
        <f t="shared" si="526"/>
        <v>-1.401394759087067</v>
      </c>
      <c r="Z867" s="49"/>
      <c r="AA867" s="24"/>
    </row>
    <row r="868" spans="1:27" s="13" customFormat="1" hidden="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hidden="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85.9</v>
      </c>
      <c r="V869" s="16">
        <f>IF(ISNA(VLOOKUP(LOWER(F869)&amp;H869,Prices!A:C,2,0)),0,VLOOKUP(LOWER(F869)&amp;H869,Prices!A:C,2,0))</f>
        <v>85.18</v>
      </c>
      <c r="W869" s="49">
        <f t="shared" si="524"/>
        <v>-24907.710000000003</v>
      </c>
      <c r="X869" s="24">
        <f t="shared" si="525"/>
        <v>359.99999999999943</v>
      </c>
      <c r="Y869" s="43">
        <f t="shared" si="526"/>
        <v>-1.4068178480655185</v>
      </c>
      <c r="Z869" s="49"/>
      <c r="AA869" s="24"/>
    </row>
    <row r="870" spans="1:27" s="13" customFormat="1" hidden="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85.9</v>
      </c>
      <c r="V870" s="16">
        <f>IF(ISNA(VLOOKUP(LOWER(F870)&amp;H870,Prices!A:C,2,0)),0,VLOOKUP(LOWER(F870)&amp;H870,Prices!A:C,2,0))</f>
        <v>85.18</v>
      </c>
      <c r="W870" s="49">
        <f t="shared" si="524"/>
        <v>-24907.710000000003</v>
      </c>
      <c r="X870" s="24">
        <f t="shared" si="525"/>
        <v>359.99999999999943</v>
      </c>
      <c r="Y870" s="43">
        <f t="shared" si="526"/>
        <v>-1.4068178480655185</v>
      </c>
      <c r="Z870" s="49"/>
      <c r="AA870" s="24"/>
    </row>
    <row r="871" spans="1:27" s="13" customFormat="1" hidden="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85.9</v>
      </c>
      <c r="V871" s="16">
        <f>IF(ISNA(VLOOKUP(LOWER(F871)&amp;H871,Prices!A:C,2,0)),0,VLOOKUP(LOWER(F871)&amp;H871,Prices!A:C,2,0))</f>
        <v>85.18</v>
      </c>
      <c r="W871" s="49">
        <f>IF(I871="B",(V871+T871)*K871,(V871+T871)*K871)</f>
        <v>40058.383999999998</v>
      </c>
      <c r="X871" s="24">
        <f t="shared" ref="X871:X877" si="531">K871*(V871-U871)</f>
        <v>-575.99999999999909</v>
      </c>
      <c r="Y871" s="43">
        <f t="shared" ref="Y871:Y877" si="532">W871/O871</f>
        <v>1.4265806267806267</v>
      </c>
      <c r="Z871" s="49"/>
      <c r="AA871" s="24"/>
    </row>
    <row r="872" spans="1:27" s="13" customFormat="1" hidden="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hidden="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37.5</v>
      </c>
      <c r="V873" s="16">
        <f>IF(ISNA(VLOOKUP(LOWER(F873)&amp;H873,Prices!A:C,2,0)),0,VLOOKUP(LOWER(F873)&amp;H873,Prices!A:C,2,0))</f>
        <v>38.25</v>
      </c>
      <c r="W873" s="49">
        <f t="shared" ref="W873:W877" si="533">IF(I873="B",(V873+T873)*K873,(V873+T873)*K873)</f>
        <v>-20526.458400000007</v>
      </c>
      <c r="X873" s="24">
        <f t="shared" si="531"/>
        <v>525</v>
      </c>
      <c r="Y873" s="43">
        <f t="shared" si="532"/>
        <v>-0.43403658969804632</v>
      </c>
      <c r="Z873" s="49"/>
      <c r="AA873" s="24"/>
    </row>
    <row r="874" spans="1:27" s="13" customFormat="1" hidden="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71.150000000000006</v>
      </c>
      <c r="V874" s="16">
        <f>IF(ISNA(VLOOKUP(LOWER(F874)&amp;H874,Prices!A:C,2,0)),0,VLOOKUP(LOWER(F874)&amp;H874,Prices!A:C,2,0))</f>
        <v>74.599999999999994</v>
      </c>
      <c r="W874" s="49">
        <f t="shared" si="533"/>
        <v>31721.425999999992</v>
      </c>
      <c r="X874" s="24">
        <f t="shared" si="531"/>
        <v>3449.9999999999886</v>
      </c>
      <c r="Y874" s="43">
        <f t="shared" si="532"/>
        <v>0.73994462327968258</v>
      </c>
      <c r="Z874" s="49"/>
      <c r="AA874" s="24"/>
    </row>
    <row r="875" spans="1:27" s="13" customFormat="1" hidden="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71.150000000000006</v>
      </c>
      <c r="V875" s="16">
        <f>IF(ISNA(VLOOKUP(LOWER(F875)&amp;H875,Prices!A:C,2,0)),0,VLOOKUP(LOWER(F875)&amp;H875,Prices!A:C,2,0))</f>
        <v>74.599999999999994</v>
      </c>
      <c r="W875" s="49">
        <f t="shared" si="533"/>
        <v>9654.9999999999982</v>
      </c>
      <c r="X875" s="24">
        <f t="shared" si="531"/>
        <v>1034.9999999999966</v>
      </c>
      <c r="Y875" s="43">
        <f t="shared" si="532"/>
        <v>0.75904088050314455</v>
      </c>
      <c r="Z875" s="49"/>
      <c r="AA875" s="24"/>
    </row>
    <row r="876" spans="1:27" s="13" customFormat="1" hidden="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27.59</v>
      </c>
      <c r="V876" s="16">
        <f>IF(ISNA(VLOOKUP(LOWER(F876)&amp;H876,Prices!A:C,2,0)),0,VLOOKUP(LOWER(F876)&amp;H876,Prices!A:C,2,0))</f>
        <v>28.05</v>
      </c>
      <c r="W876" s="49">
        <f t="shared" si="533"/>
        <v>10389.946000000002</v>
      </c>
      <c r="X876" s="24">
        <f t="shared" si="531"/>
        <v>920.00000000000171</v>
      </c>
      <c r="Y876" s="43">
        <f t="shared" si="532"/>
        <v>0.22735111597374183</v>
      </c>
      <c r="Z876" s="49"/>
      <c r="AA876" s="24"/>
    </row>
    <row r="877" spans="1:27" s="13" customFormat="1" hidden="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9.69</v>
      </c>
      <c r="V877" s="16">
        <f>IF(ISNA(VLOOKUP(LOWER(F877)&amp;H877,Prices!A:C,2,0)),0,VLOOKUP(LOWER(F877)&amp;H877,Prices!A:C,2,0))</f>
        <v>9.4499999999999993</v>
      </c>
      <c r="W877" s="49">
        <f t="shared" si="533"/>
        <v>-168.35120000000359</v>
      </c>
      <c r="X877" s="24">
        <f t="shared" si="531"/>
        <v>-960.00000000000091</v>
      </c>
      <c r="Y877" s="43">
        <f t="shared" si="532"/>
        <v>-4.4349631190728029E-3</v>
      </c>
      <c r="Z877" s="49"/>
      <c r="AA877" s="24"/>
    </row>
    <row r="878" spans="1:27" s="13" customFormat="1" hidden="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9.69</v>
      </c>
      <c r="V878" s="16">
        <f>IF(ISNA(VLOOKUP(LOWER(F878)&amp;H878,Prices!A:C,2,0)),0,VLOOKUP(LOWER(F878)&amp;H878,Prices!A:C,2,0))</f>
        <v>9.4499999999999993</v>
      </c>
      <c r="W878" s="49">
        <f t="shared" ref="W878:W901" si="538">IF(I878="B",(V878+T878)*K878,(V878+T878)*K878)</f>
        <v>94.623999999999597</v>
      </c>
      <c r="X878" s="24">
        <f t="shared" ref="X878:X901" si="539">K878*(V878-U878)</f>
        <v>-480.00000000000045</v>
      </c>
      <c r="Y878" s="43">
        <f t="shared" ref="Y878:Y901" si="540">W878/O878</f>
        <v>5.0331914893616807E-3</v>
      </c>
      <c r="Z878" s="49"/>
      <c r="AA878" s="24"/>
    </row>
    <row r="879" spans="1:27" s="13" customFormat="1" hidden="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85.9</v>
      </c>
      <c r="V879" s="16">
        <f>IF(ISNA(VLOOKUP(LOWER(F879)&amp;H879,Prices!A:C,2,0)),0,VLOOKUP(LOWER(F879)&amp;H879,Prices!A:C,2,0))</f>
        <v>85.18</v>
      </c>
      <c r="W879" s="49">
        <f t="shared" si="538"/>
        <v>-29426.710000000003</v>
      </c>
      <c r="X879" s="24">
        <f t="shared" si="539"/>
        <v>431.99999999999932</v>
      </c>
      <c r="Y879" s="43">
        <f t="shared" si="540"/>
        <v>-1.3555698360051596</v>
      </c>
      <c r="Z879" s="49"/>
      <c r="AA879" s="24"/>
    </row>
    <row r="880" spans="1:27" s="13" customFormat="1" hidden="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29.6</v>
      </c>
      <c r="V880" s="16">
        <f>IF(ISNA(VLOOKUP(LOWER(F880)&amp;H880,Prices!A:C,2,0)),0,VLOOKUP(LOWER(F880)&amp;H880,Prices!A:C,2,0))</f>
        <v>30.47</v>
      </c>
      <c r="W880" s="49">
        <f t="shared" si="538"/>
        <v>16271.067999999999</v>
      </c>
      <c r="X880" s="24">
        <f t="shared" si="539"/>
        <v>1739.999999999995</v>
      </c>
      <c r="Y880" s="43">
        <f t="shared" si="540"/>
        <v>0.36433201970443346</v>
      </c>
      <c r="Z880" s="49"/>
      <c r="AA880" s="24"/>
    </row>
    <row r="881" spans="1:27" s="13" customFormat="1" hidden="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29.6</v>
      </c>
      <c r="V881" s="16">
        <f>IF(ISNA(VLOOKUP(LOWER(F881)&amp;H881,Prices!A:C,2,0)),0,VLOOKUP(LOWER(F881)&amp;H881,Prices!A:C,2,0))</f>
        <v>30.47</v>
      </c>
      <c r="W881" s="49">
        <f t="shared" si="538"/>
        <v>8164.9999999999991</v>
      </c>
      <c r="X881" s="24">
        <f t="shared" si="539"/>
        <v>869.9999999999975</v>
      </c>
      <c r="Y881" s="43">
        <f t="shared" si="540"/>
        <v>0.36614349775784749</v>
      </c>
      <c r="Z881" s="49"/>
      <c r="AA881" s="24"/>
    </row>
    <row r="882" spans="1:27" s="13" customFormat="1" hidden="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85.9</v>
      </c>
      <c r="V882" s="16">
        <f>IF(ISNA(VLOOKUP(LOWER(F882)&amp;H882,Prices!A:C,2,0)),0,VLOOKUP(LOWER(F882)&amp;H882,Prices!A:C,2,0))</f>
        <v>85.18</v>
      </c>
      <c r="W882" s="49">
        <f t="shared" si="538"/>
        <v>-9456.590000000002</v>
      </c>
      <c r="X882" s="24">
        <f t="shared" si="539"/>
        <v>143.99999999999977</v>
      </c>
      <c r="Y882" s="43">
        <f t="shared" si="540"/>
        <v>-1.2455993150684934</v>
      </c>
      <c r="Z882" s="49"/>
      <c r="AA882" s="24"/>
    </row>
    <row r="883" spans="1:27" s="13" customFormat="1" hidden="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27.59</v>
      </c>
      <c r="V883" s="16">
        <f>IF(ISNA(VLOOKUP(LOWER(F883)&amp;H883,Prices!A:C,2,0)),0,VLOOKUP(LOWER(F883)&amp;H883,Prices!A:C,2,0))</f>
        <v>28.05</v>
      </c>
      <c r="W883" s="49">
        <f t="shared" si="538"/>
        <v>5494.5489999999991</v>
      </c>
      <c r="X883" s="24">
        <f t="shared" si="539"/>
        <v>460.00000000000085</v>
      </c>
      <c r="Y883" s="43">
        <f t="shared" si="540"/>
        <v>0.24366070953436803</v>
      </c>
      <c r="Z883" s="49"/>
      <c r="AA883" s="24"/>
    </row>
    <row r="884" spans="1:27" s="13" customFormat="1" hidden="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29.6</v>
      </c>
      <c r="V884" s="16">
        <f>IF(ISNA(VLOOKUP(LOWER(F884)&amp;H884,Prices!A:C,2,0)),0,VLOOKUP(LOWER(F884)&amp;H884,Prices!A:C,2,0))</f>
        <v>30.47</v>
      </c>
      <c r="W884" s="49">
        <f t="shared" si="538"/>
        <v>8235</v>
      </c>
      <c r="X884" s="24">
        <f t="shared" si="539"/>
        <v>869.9999999999975</v>
      </c>
      <c r="Y884" s="43">
        <f t="shared" si="540"/>
        <v>0.37044534412955465</v>
      </c>
      <c r="Z884" s="49"/>
      <c r="AA884" s="24"/>
    </row>
    <row r="885" spans="1:27" s="13" customFormat="1" hidden="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hidden="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37.5</v>
      </c>
      <c r="V886" s="16">
        <f>IF(ISNA(VLOOKUP(LOWER(F886)&amp;H886,Prices!A:C,2,0)),0,VLOOKUP(LOWER(F886)&amp;H886,Prices!A:C,2,0))</f>
        <v>38.25</v>
      </c>
      <c r="W886" s="49">
        <f t="shared" si="538"/>
        <v>-8686.9999999999982</v>
      </c>
      <c r="X886" s="24">
        <f t="shared" si="539"/>
        <v>225</v>
      </c>
      <c r="Y886" s="43">
        <f t="shared" si="540"/>
        <v>-0.43096690975839652</v>
      </c>
      <c r="Z886" s="49"/>
      <c r="AA886" s="24"/>
    </row>
    <row r="887" spans="1:27" s="13" customFormat="1" hidden="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27.59</v>
      </c>
      <c r="V887" s="16">
        <f>IF(ISNA(VLOOKUP(LOWER(F887)&amp;H887,Prices!A:C,2,0)),0,VLOOKUP(LOWER(F887)&amp;H887,Prices!A:C,2,0))</f>
        <v>28.05</v>
      </c>
      <c r="W887" s="49">
        <f t="shared" si="538"/>
        <v>5484.5488000000023</v>
      </c>
      <c r="X887" s="24">
        <f t="shared" si="539"/>
        <v>460.00000000000085</v>
      </c>
      <c r="Y887" s="43">
        <f t="shared" si="540"/>
        <v>0.24310943262411358</v>
      </c>
      <c r="Z887" s="49"/>
      <c r="AA887" s="24"/>
    </row>
    <row r="888" spans="1:27" s="13" customFormat="1" hidden="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59.95</v>
      </c>
      <c r="V888" s="16">
        <f>IF(ISNA(VLOOKUP(LOWER(F888)&amp;H888,Prices!A:C,2,0)),0,VLOOKUP(LOWER(F888)&amp;H888,Prices!A:C,2,0))</f>
        <v>59.2</v>
      </c>
      <c r="W888" s="49">
        <f t="shared" si="538"/>
        <v>18161.794000000009</v>
      </c>
      <c r="X888" s="24">
        <f t="shared" si="539"/>
        <v>-750</v>
      </c>
      <c r="Y888" s="43">
        <f t="shared" si="540"/>
        <v>0.44264669753838676</v>
      </c>
      <c r="Z888" s="49"/>
      <c r="AA888" s="24"/>
    </row>
    <row r="889" spans="1:27" s="13" customFormat="1" hidden="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71.150000000000006</v>
      </c>
      <c r="V889" s="16">
        <f>IF(ISNA(VLOOKUP(LOWER(F889)&amp;H889,Prices!A:C,2,0)),0,VLOOKUP(LOWER(F889)&amp;H889,Prices!A:C,2,0))</f>
        <v>74.599999999999994</v>
      </c>
      <c r="W889" s="49">
        <f t="shared" si="538"/>
        <v>32301.541999999998</v>
      </c>
      <c r="X889" s="24">
        <f t="shared" si="539"/>
        <v>3449.9999999999886</v>
      </c>
      <c r="Y889" s="43">
        <f t="shared" si="540"/>
        <v>0.7638104043509103</v>
      </c>
      <c r="Z889" s="49"/>
      <c r="AA889" s="24"/>
    </row>
    <row r="890" spans="1:27" s="13" customFormat="1" hidden="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52.6</v>
      </c>
      <c r="V890" s="16">
        <f>IF(ISNA(VLOOKUP(LOWER(F890)&amp;H890,Prices!A:C,2,0)),0,VLOOKUP(LOWER(F890)&amp;H890,Prices!A:C,2,0))</f>
        <v>53.4</v>
      </c>
      <c r="W890" s="49">
        <f t="shared" si="538"/>
        <v>19573.235999999994</v>
      </c>
      <c r="X890" s="24">
        <f t="shared" si="539"/>
        <v>799.99999999999716</v>
      </c>
      <c r="Y890" s="43">
        <f t="shared" si="540"/>
        <v>0.57874736842105245</v>
      </c>
      <c r="Z890" s="49"/>
      <c r="AA890" s="24"/>
    </row>
    <row r="891" spans="1:27" s="13" customFormat="1" hidden="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52.6</v>
      </c>
      <c r="V891" s="16">
        <f>IF(ISNA(VLOOKUP(LOWER(F891)&amp;H891,Prices!A:C,2,0)),0,VLOOKUP(LOWER(F891)&amp;H891,Prices!A:C,2,0))</f>
        <v>53.4</v>
      </c>
      <c r="W891" s="49">
        <f t="shared" si="538"/>
        <v>9809.9999999999982</v>
      </c>
      <c r="X891" s="24">
        <f t="shared" si="539"/>
        <v>399.99999999999858</v>
      </c>
      <c r="Y891" s="43">
        <f t="shared" si="540"/>
        <v>0.58098904352976</v>
      </c>
      <c r="Z891" s="49"/>
      <c r="AA891" s="24"/>
    </row>
    <row r="892" spans="1:27" s="13" customFormat="1" hidden="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hidden="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59.95</v>
      </c>
      <c r="V893" s="16">
        <f>IF(ISNA(VLOOKUP(LOWER(F893)&amp;H893,Prices!A:C,2,0)),0,VLOOKUP(LOWER(F893)&amp;H893,Prices!A:C,2,0))</f>
        <v>59.2</v>
      </c>
      <c r="W893" s="49">
        <f t="shared" si="538"/>
        <v>9240.0000000000018</v>
      </c>
      <c r="X893" s="24">
        <f t="shared" si="539"/>
        <v>-375</v>
      </c>
      <c r="Y893" s="43">
        <f t="shared" si="540"/>
        <v>0.45394252026529119</v>
      </c>
      <c r="Z893" s="49"/>
      <c r="AA893" s="24"/>
    </row>
    <row r="894" spans="1:27" s="13" customFormat="1" hidden="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27.59</v>
      </c>
      <c r="V894" s="16">
        <f>IF(ISNA(VLOOKUP(LOWER(F894)&amp;H894,Prices!A:C,2,0)),0,VLOOKUP(LOWER(F894)&amp;H894,Prices!A:C,2,0))</f>
        <v>28.05</v>
      </c>
      <c r="W894" s="49">
        <f t="shared" si="538"/>
        <v>5454.5482000000011</v>
      </c>
      <c r="X894" s="24">
        <f t="shared" si="539"/>
        <v>460.00000000000085</v>
      </c>
      <c r="Y894" s="43">
        <f t="shared" si="540"/>
        <v>0.2414585303231519</v>
      </c>
      <c r="Z894" s="49"/>
      <c r="AA894" s="24"/>
    </row>
    <row r="895" spans="1:27" s="13" customFormat="1" hidden="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hidden="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41.3</v>
      </c>
      <c r="V896" s="16">
        <f>IF(ISNA(VLOOKUP(LOWER(F896)&amp;H896,Prices!A:C,2,0)),0,VLOOKUP(LOWER(F896)&amp;H896,Prices!A:C,2,0))</f>
        <v>42.53</v>
      </c>
      <c r="W896" s="49">
        <f t="shared" si="538"/>
        <v>15245.291999999999</v>
      </c>
      <c r="X896" s="24">
        <f t="shared" si="539"/>
        <v>1845.0000000000059</v>
      </c>
      <c r="Y896" s="43">
        <f t="shared" si="540"/>
        <v>0.31407688504326325</v>
      </c>
      <c r="Z896" s="49"/>
      <c r="AA896" s="24"/>
    </row>
    <row r="897" spans="1:27" s="13" customFormat="1" hidden="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32.14</v>
      </c>
      <c r="V897" s="16">
        <f>IF(ISNA(VLOOKUP(LOWER(F897)&amp;H897,Prices!A:C,2,0)),0,VLOOKUP(LOWER(F897)&amp;H897,Prices!A:C,2,0))</f>
        <v>32.14</v>
      </c>
      <c r="W897" s="49">
        <f t="shared" si="538"/>
        <v>3538.7091000000019</v>
      </c>
      <c r="X897" s="24">
        <f t="shared" si="539"/>
        <v>0</v>
      </c>
      <c r="Y897" s="43">
        <f t="shared" si="540"/>
        <v>0.12375272250393432</v>
      </c>
      <c r="Z897" s="49"/>
      <c r="AA897" s="24"/>
    </row>
    <row r="898" spans="1:27" s="13" customFormat="1" hidden="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27.59</v>
      </c>
      <c r="V898" s="16">
        <f>IF(ISNA(VLOOKUP(LOWER(F898)&amp;H898,Prices!A:C,2,0)),0,VLOOKUP(LOWER(F898)&amp;H898,Prices!A:C,2,0))</f>
        <v>28.05</v>
      </c>
      <c r="W898" s="49">
        <f t="shared" si="538"/>
        <v>-5188.3477999999986</v>
      </c>
      <c r="X898" s="24">
        <f t="shared" si="539"/>
        <v>-460.00000000000085</v>
      </c>
      <c r="Y898" s="43">
        <f t="shared" si="540"/>
        <v>-0.22666438619484486</v>
      </c>
      <c r="Z898" s="49"/>
      <c r="AA898" s="24"/>
    </row>
    <row r="899" spans="1:27" s="13" customFormat="1" hidden="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71.150000000000006</v>
      </c>
      <c r="V899" s="16">
        <f>IF(ISNA(VLOOKUP(LOWER(F899)&amp;H899,Prices!A:C,2,0)),0,VLOOKUP(LOWER(F899)&amp;H899,Prices!A:C,2,0))</f>
        <v>74.599999999999994</v>
      </c>
      <c r="W899" s="49">
        <f t="shared" si="538"/>
        <v>-15996.33</v>
      </c>
      <c r="X899" s="24">
        <f t="shared" si="539"/>
        <v>-1724.9999999999943</v>
      </c>
      <c r="Y899" s="43">
        <f t="shared" si="540"/>
        <v>-0.74994514767932485</v>
      </c>
      <c r="Z899" s="49"/>
      <c r="AA899" s="24"/>
    </row>
    <row r="900" spans="1:27" s="13" customFormat="1" hidden="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hidden="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85.9</v>
      </c>
      <c r="V901" s="16">
        <f>IF(ISNA(VLOOKUP(LOWER(F901)&amp;H901,Prices!A:C,2,0)),0,VLOOKUP(LOWER(F901)&amp;H901,Prices!A:C,2,0))</f>
        <v>85.18</v>
      </c>
      <c r="W901" s="49">
        <f t="shared" si="538"/>
        <v>-9442.61</v>
      </c>
      <c r="X901" s="24">
        <f t="shared" si="539"/>
        <v>143.99999999999977</v>
      </c>
      <c r="Y901" s="43">
        <f t="shared" si="540"/>
        <v>-1.2414685774388641</v>
      </c>
      <c r="Z901" s="49"/>
      <c r="AA901" s="24"/>
    </row>
    <row r="902" spans="1:27" s="13" customFormat="1" hidden="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22.1</v>
      </c>
      <c r="V902" s="16">
        <f>IF(ISNA(VLOOKUP(LOWER(F902)&amp;H902,Prices!A:C,2,0)),0,VLOOKUP(LOWER(F902)&amp;H902,Prices!A:C,2,0))</f>
        <v>21.88</v>
      </c>
      <c r="W902" s="49">
        <f t="shared" ref="W902" si="548">IF(I902="B",(V902+T902)*K902,(V902+T902)*K902)</f>
        <v>-10906.555999999999</v>
      </c>
      <c r="X902" s="24">
        <f t="shared" ref="X902:X930" si="549">K902*(V902-U902)</f>
        <v>-220.00000000000242</v>
      </c>
      <c r="Y902" s="43">
        <f t="shared" ref="Y902:Y930" si="550">W902/O902</f>
        <v>-0.3327198291641244</v>
      </c>
      <c r="Z902" s="49"/>
      <c r="AA902" s="24"/>
    </row>
    <row r="903" spans="1:27" s="13" customFormat="1" hidden="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37.5</v>
      </c>
      <c r="V903" s="16">
        <f>IF(ISNA(VLOOKUP(LOWER(F903)&amp;H903,Prices!A:C,2,0)),0,VLOOKUP(LOWER(F903)&amp;H903,Prices!A:C,2,0))</f>
        <v>38.25</v>
      </c>
      <c r="W903" s="49">
        <f>IF(I903="B",(V903+T903)*K903,(V903+T903)*K903)</f>
        <v>29738.315999999999</v>
      </c>
      <c r="X903" s="24">
        <f t="shared" si="549"/>
        <v>-750</v>
      </c>
      <c r="Y903" s="43">
        <f t="shared" si="550"/>
        <v>0.4368784486557955</v>
      </c>
      <c r="Z903" s="49"/>
      <c r="AA903" s="24"/>
    </row>
    <row r="904" spans="1:27" s="13" customFormat="1" hidden="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27.59</v>
      </c>
      <c r="V904" s="16">
        <f>IF(ISNA(VLOOKUP(LOWER(F904)&amp;H904,Prices!A:C,2,0)),0,VLOOKUP(LOWER(F904)&amp;H904,Prices!A:C,2,0))</f>
        <v>28.05</v>
      </c>
      <c r="W904" s="49">
        <f t="shared" ref="W904:W930" si="551">IF(I904="B",(V904+T904)*K904,(V904+T904)*K904)</f>
        <v>-10295.949200000003</v>
      </c>
      <c r="X904" s="24">
        <f t="shared" si="549"/>
        <v>-920.00000000000171</v>
      </c>
      <c r="Y904" s="43">
        <f t="shared" si="550"/>
        <v>-0.22450826864369827</v>
      </c>
      <c r="Z904" s="49"/>
      <c r="AA904" s="24"/>
    </row>
    <row r="905" spans="1:27" s="13" customFormat="1" hidden="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85.9</v>
      </c>
      <c r="V905" s="16">
        <f>IF(ISNA(VLOOKUP(LOWER(F905)&amp;H905,Prices!A:C,2,0)),0,VLOOKUP(LOWER(F905)&amp;H905,Prices!A:C,2,0))</f>
        <v>85.18</v>
      </c>
      <c r="W905" s="49">
        <f t="shared" si="551"/>
        <v>-28335.800000000003</v>
      </c>
      <c r="X905" s="24">
        <f t="shared" si="549"/>
        <v>431.99999999999932</v>
      </c>
      <c r="Y905" s="43">
        <f t="shared" si="550"/>
        <v>-1.2427982456140352</v>
      </c>
      <c r="Z905" s="49"/>
      <c r="AA905" s="24"/>
    </row>
    <row r="906" spans="1:27" s="13" customFormat="1" hidden="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22.1</v>
      </c>
      <c r="V906" s="16">
        <f>IF(ISNA(VLOOKUP(LOWER(F906)&amp;H906,Prices!A:C,2,0)),0,VLOOKUP(LOWER(F906)&amp;H906,Prices!A:C,2,0))</f>
        <v>21.88</v>
      </c>
      <c r="W906" s="49">
        <f t="shared" si="551"/>
        <v>5533.5000000000018</v>
      </c>
      <c r="X906" s="24">
        <f t="shared" si="549"/>
        <v>110.00000000000121</v>
      </c>
      <c r="Y906" s="43">
        <f t="shared" si="550"/>
        <v>0.33546529251288282</v>
      </c>
      <c r="Z906" s="49"/>
      <c r="AA906" s="24"/>
    </row>
    <row r="907" spans="1:27" s="13" customFormat="1" hidden="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9.69</v>
      </c>
      <c r="V907" s="16">
        <f>IF(ISNA(VLOOKUP(LOWER(F907)&amp;H907,Prices!A:C,2,0)),0,VLOOKUP(LOWER(F907)&amp;H907,Prices!A:C,2,0))</f>
        <v>9.4499999999999993</v>
      </c>
      <c r="W907" s="49">
        <f t="shared" si="551"/>
        <v>145.19340000000545</v>
      </c>
      <c r="X907" s="24">
        <f t="shared" si="549"/>
        <v>720.00000000000068</v>
      </c>
      <c r="Y907" s="43">
        <f t="shared" si="550"/>
        <v>5.089148264984418E-3</v>
      </c>
      <c r="Z907" s="49"/>
      <c r="AA907" s="24"/>
    </row>
    <row r="908" spans="1:27" s="13" customFormat="1" hidden="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22.1</v>
      </c>
      <c r="V908" s="16">
        <f>IF(ISNA(VLOOKUP(LOWER(F908)&amp;H908,Prices!A:C,2,0)),0,VLOOKUP(LOWER(F908)&amp;H908,Prices!A:C,2,0))</f>
        <v>21.88</v>
      </c>
      <c r="W908" s="49">
        <f t="shared" si="551"/>
        <v>5543.4900000000034</v>
      </c>
      <c r="X908" s="24">
        <f t="shared" si="549"/>
        <v>110.00000000000121</v>
      </c>
      <c r="Y908" s="43">
        <f t="shared" si="550"/>
        <v>0.33586731293547428</v>
      </c>
      <c r="Z908" s="49"/>
      <c r="AA908" s="24"/>
    </row>
    <row r="909" spans="1:27" s="13" customFormat="1" hidden="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18.11</v>
      </c>
      <c r="V909" s="16">
        <f>IF(ISNA(VLOOKUP(LOWER(F909)&amp;H909,Prices!A:C,2,0)),0,VLOOKUP(LOWER(F909)&amp;H909,Prices!A:C,2,0))</f>
        <v>18.18</v>
      </c>
      <c r="W909" s="49">
        <f t="shared" si="551"/>
        <v>-1821.4200000000033</v>
      </c>
      <c r="X909" s="24">
        <f t="shared" si="549"/>
        <v>-84.000000000000341</v>
      </c>
      <c r="Y909" s="43">
        <f t="shared" si="550"/>
        <v>-9.0981837798957188E-2</v>
      </c>
      <c r="Z909" s="49"/>
      <c r="AA909" s="24"/>
    </row>
    <row r="910" spans="1:27" s="13" customFormat="1" hidden="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27.59</v>
      </c>
      <c r="V910" s="16">
        <f>IF(ISNA(VLOOKUP(LOWER(F910)&amp;H910,Prices!A:C,2,0)),0,VLOOKUP(LOWER(F910)&amp;H910,Prices!A:C,2,0))</f>
        <v>28.05</v>
      </c>
      <c r="W910" s="49">
        <f t="shared" si="551"/>
        <v>-5238.2968000000001</v>
      </c>
      <c r="X910" s="24">
        <f t="shared" si="549"/>
        <v>-460.00000000000085</v>
      </c>
      <c r="Y910" s="43">
        <f t="shared" si="550"/>
        <v>-0.2293474956217163</v>
      </c>
      <c r="Z910" s="49"/>
      <c r="AA910" s="24"/>
    </row>
    <row r="911" spans="1:27" s="13" customFormat="1" hidden="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9.69</v>
      </c>
      <c r="V911" s="16">
        <f>IF(ISNA(VLOOKUP(LOWER(F911)&amp;H911,Prices!A:C,2,0)),0,VLOOKUP(LOWER(F911)&amp;H911,Prices!A:C,2,0))</f>
        <v>9.4499999999999993</v>
      </c>
      <c r="W911" s="49">
        <f t="shared" si="551"/>
        <v>35.310000000000841</v>
      </c>
      <c r="X911" s="24">
        <f t="shared" si="549"/>
        <v>240.00000000000023</v>
      </c>
      <c r="Y911" s="43">
        <f t="shared" si="550"/>
        <v>3.7168421052632462E-3</v>
      </c>
      <c r="Z911" s="49"/>
      <c r="AA911" s="24"/>
    </row>
    <row r="912" spans="1:27" s="13" customFormat="1" hidden="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71.150000000000006</v>
      </c>
      <c r="V912" s="16">
        <f>IF(ISNA(VLOOKUP(LOWER(F912)&amp;H912,Prices!A:C,2,0)),0,VLOOKUP(LOWER(F912)&amp;H912,Prices!A:C,2,0))</f>
        <v>74.599999999999994</v>
      </c>
      <c r="W912" s="49">
        <f t="shared" si="551"/>
        <v>-25369.220399999995</v>
      </c>
      <c r="X912" s="24">
        <f t="shared" si="549"/>
        <v>-2759.9999999999909</v>
      </c>
      <c r="Y912" s="43">
        <f t="shared" si="550"/>
        <v>-0.73850781322775949</v>
      </c>
      <c r="Z912" s="49"/>
      <c r="AA912" s="24"/>
    </row>
    <row r="913" spans="1:27" s="13" customFormat="1" hidden="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29.6</v>
      </c>
      <c r="V913" s="16">
        <f>IF(ISNA(VLOOKUP(LOWER(F913)&amp;H913,Prices!A:C,2,0)),0,VLOOKUP(LOWER(F913)&amp;H913,Prices!A:C,2,0))</f>
        <v>30.47</v>
      </c>
      <c r="W913" s="49">
        <f t="shared" si="551"/>
        <v>-16293.639999999996</v>
      </c>
      <c r="X913" s="24">
        <f t="shared" si="549"/>
        <v>-1739.999999999995</v>
      </c>
      <c r="Y913" s="43">
        <f t="shared" si="550"/>
        <v>-0.36451096196867999</v>
      </c>
      <c r="Z913" s="49"/>
      <c r="AA913" s="24"/>
    </row>
    <row r="914" spans="1:27" s="13" customFormat="1" hidden="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hidden="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hidden="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59.95</v>
      </c>
      <c r="V916" s="16">
        <f>IF(ISNA(VLOOKUP(LOWER(F916)&amp;H916,Prices!A:C,2,0)),0,VLOOKUP(LOWER(F916)&amp;H916,Prices!A:C,2,0))</f>
        <v>59.2</v>
      </c>
      <c r="W916" s="49">
        <f t="shared" si="551"/>
        <v>-7201.5000000000018</v>
      </c>
      <c r="X916" s="24">
        <f t="shared" si="549"/>
        <v>300</v>
      </c>
      <c r="Y916" s="43">
        <f t="shared" si="550"/>
        <v>-0.43645454545454554</v>
      </c>
      <c r="Z916" s="49"/>
      <c r="AA916" s="24"/>
    </row>
    <row r="917" spans="1:27" s="13" customFormat="1" hidden="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71.150000000000006</v>
      </c>
      <c r="V917" s="16">
        <f>IF(ISNA(VLOOKUP(LOWER(F917)&amp;H917,Prices!A:C,2,0)),0,VLOOKUP(LOWER(F917)&amp;H917,Prices!A:C,2,0))</f>
        <v>74.599999999999994</v>
      </c>
      <c r="W917" s="49">
        <f t="shared" si="551"/>
        <v>-9443.9499999999989</v>
      </c>
      <c r="X917" s="24">
        <f t="shared" si="549"/>
        <v>-1034.9999999999966</v>
      </c>
      <c r="Y917" s="43">
        <f t="shared" si="550"/>
        <v>-0.72903736297668664</v>
      </c>
      <c r="Z917" s="49"/>
      <c r="AA917" s="24"/>
    </row>
    <row r="918" spans="1:27" s="13" customFormat="1" hidden="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hidden="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52.6</v>
      </c>
      <c r="V919" s="16">
        <f>IF(ISNA(VLOOKUP(LOWER(F919)&amp;H919,Prices!A:C,2,0)),0,VLOOKUP(LOWER(F919)&amp;H919,Prices!A:C,2,0))</f>
        <v>53.4</v>
      </c>
      <c r="W919" s="49">
        <f t="shared" si="551"/>
        <v>-9721.9999999999982</v>
      </c>
      <c r="X919" s="24">
        <f t="shared" si="549"/>
        <v>-399.99999999999858</v>
      </c>
      <c r="Y919" s="43">
        <f t="shared" si="550"/>
        <v>-0.5718823529411764</v>
      </c>
      <c r="Z919" s="49"/>
      <c r="AA919" s="24"/>
    </row>
    <row r="920" spans="1:27" s="13" customFormat="1" hidden="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18.11</v>
      </c>
      <c r="V920" s="16">
        <f>IF(ISNA(VLOOKUP(LOWER(F920)&amp;H920,Prices!A:C,2,0)),0,VLOOKUP(LOWER(F920)&amp;H920,Prices!A:C,2,0))</f>
        <v>18.18</v>
      </c>
      <c r="W920" s="49">
        <f t="shared" si="551"/>
        <v>-833.27000000000066</v>
      </c>
      <c r="X920" s="24">
        <f t="shared" si="549"/>
        <v>-35.000000000000142</v>
      </c>
      <c r="Y920" s="43">
        <f t="shared" si="550"/>
        <v>-0.10075816203143902</v>
      </c>
      <c r="Z920" s="49"/>
      <c r="AA920" s="24"/>
    </row>
    <row r="921" spans="1:27" s="13" customFormat="1" hidden="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41.3</v>
      </c>
      <c r="V921" s="16">
        <f>IF(ISNA(VLOOKUP(LOWER(F921)&amp;H921,Prices!A:C,2,0)),0,VLOOKUP(LOWER(F921)&amp;H921,Prices!A:C,2,0))</f>
        <v>42.53</v>
      </c>
      <c r="W921" s="49">
        <f t="shared" si="551"/>
        <v>10043.504000000006</v>
      </c>
      <c r="X921" s="24">
        <f t="shared" si="549"/>
        <v>1230.0000000000041</v>
      </c>
      <c r="Y921" s="43">
        <f t="shared" si="550"/>
        <v>0.30922118226601009</v>
      </c>
      <c r="Z921" s="49"/>
      <c r="AA921" s="24"/>
    </row>
    <row r="922" spans="1:27" s="13" customFormat="1" hidden="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29.6</v>
      </c>
      <c r="V922" s="16">
        <f>IF(ISNA(VLOOKUP(LOWER(F922)&amp;H922,Prices!A:C,2,0)),0,VLOOKUP(LOWER(F922)&amp;H922,Prices!A:C,2,0))</f>
        <v>30.47</v>
      </c>
      <c r="W922" s="49">
        <f t="shared" si="551"/>
        <v>8404.9999999999982</v>
      </c>
      <c r="X922" s="24">
        <f t="shared" si="549"/>
        <v>869.9999999999975</v>
      </c>
      <c r="Y922" s="43">
        <f t="shared" si="550"/>
        <v>0.38100634632819574</v>
      </c>
      <c r="Z922" s="49"/>
      <c r="AA922" s="24"/>
    </row>
    <row r="923" spans="1:27" s="13" customFormat="1" hidden="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29.6</v>
      </c>
      <c r="V923" s="16">
        <f>IF(ISNA(VLOOKUP(LOWER(F923)&amp;H923,Prices!A:C,2,0)),0,VLOOKUP(LOWER(F923)&amp;H923,Prices!A:C,2,0))</f>
        <v>30.47</v>
      </c>
      <c r="W923" s="49">
        <f t="shared" si="551"/>
        <v>8424.9999999999964</v>
      </c>
      <c r="X923" s="24">
        <f t="shared" si="549"/>
        <v>869.9999999999975</v>
      </c>
      <c r="Y923" s="43">
        <f t="shared" si="550"/>
        <v>0.38225952813067132</v>
      </c>
      <c r="Z923" s="49"/>
      <c r="AA923" s="24"/>
    </row>
    <row r="924" spans="1:27" s="13" customFormat="1" hidden="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59.95</v>
      </c>
      <c r="V924" s="16">
        <f>IF(ISNA(VLOOKUP(LOWER(F924)&amp;H924,Prices!A:C,2,0)),0,VLOOKUP(LOWER(F924)&amp;H924,Prices!A:C,2,0))</f>
        <v>59.2</v>
      </c>
      <c r="W924" s="49">
        <f t="shared" si="551"/>
        <v>-7277.420000000001</v>
      </c>
      <c r="X924" s="24">
        <f t="shared" si="549"/>
        <v>300</v>
      </c>
      <c r="Y924" s="43">
        <f t="shared" si="550"/>
        <v>-0.44309668777398936</v>
      </c>
      <c r="Z924" s="49"/>
      <c r="AA924" s="24"/>
    </row>
    <row r="925" spans="1:27" s="13" customFormat="1" hidden="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22.1</v>
      </c>
      <c r="V925" s="16">
        <f>IF(ISNA(VLOOKUP(LOWER(F925)&amp;H925,Prices!A:C,2,0)),0,VLOOKUP(LOWER(F925)&amp;H925,Prices!A:C,2,0))</f>
        <v>21.88</v>
      </c>
      <c r="W925" s="49">
        <f t="shared" si="551"/>
        <v>-6532.9999999999991</v>
      </c>
      <c r="X925" s="24">
        <f t="shared" si="549"/>
        <v>-132.00000000000145</v>
      </c>
      <c r="Y925" s="43">
        <f t="shared" si="550"/>
        <v>-0.33236670736670731</v>
      </c>
      <c r="Z925" s="49"/>
      <c r="AA925" s="24"/>
    </row>
    <row r="926" spans="1:27" s="13" customFormat="1" hidden="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32.14</v>
      </c>
      <c r="V926" s="16">
        <f>IF(ISNA(VLOOKUP(LOWER(F926)&amp;H926,Prices!A:C,2,0)),0,VLOOKUP(LOWER(F926)&amp;H926,Prices!A:C,2,0))</f>
        <v>32.14</v>
      </c>
      <c r="W926" s="49">
        <f t="shared" si="551"/>
        <v>1714.7129999999997</v>
      </c>
      <c r="X926" s="24">
        <f t="shared" si="549"/>
        <v>0</v>
      </c>
      <c r="Y926" s="43">
        <f t="shared" si="550"/>
        <v>0.11949219512195119</v>
      </c>
      <c r="Z926" s="49"/>
      <c r="AA926" s="24"/>
    </row>
    <row r="927" spans="1:27" s="13" customFormat="1" hidden="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29.6</v>
      </c>
      <c r="V927" s="16">
        <f>IF(ISNA(VLOOKUP(LOWER(F927)&amp;H927,Prices!A:C,2,0)),0,VLOOKUP(LOWER(F927)&amp;H927,Prices!A:C,2,0))</f>
        <v>30.47</v>
      </c>
      <c r="W927" s="49">
        <f t="shared" si="551"/>
        <v>4209.9999999999991</v>
      </c>
      <c r="X927" s="24">
        <f t="shared" si="549"/>
        <v>434.99999999999875</v>
      </c>
      <c r="Y927" s="43">
        <f t="shared" si="550"/>
        <v>0.38203266787658796</v>
      </c>
      <c r="Z927" s="49"/>
      <c r="AA927" s="24"/>
    </row>
    <row r="928" spans="1:27" s="13" customFormat="1" hidden="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41.3</v>
      </c>
      <c r="V928" s="16">
        <f>IF(ISNA(VLOOKUP(LOWER(F928)&amp;H928,Prices!A:C,2,0)),0,VLOOKUP(LOWER(F928)&amp;H928,Prices!A:C,2,0))</f>
        <v>42.53</v>
      </c>
      <c r="W928" s="49">
        <f t="shared" si="551"/>
        <v>10103.516</v>
      </c>
      <c r="X928" s="24">
        <f t="shared" si="549"/>
        <v>1230.0000000000041</v>
      </c>
      <c r="Y928" s="43">
        <f t="shared" si="550"/>
        <v>0.31164454040715606</v>
      </c>
      <c r="Z928" s="49"/>
      <c r="AA928" s="24"/>
    </row>
    <row r="929" spans="1:27" s="13" customFormat="1" hidden="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22.1</v>
      </c>
      <c r="V929" s="16">
        <f>IF(ISNA(VLOOKUP(LOWER(F929)&amp;H929,Prices!A:C,2,0)),0,VLOOKUP(LOWER(F929)&amp;H929,Prices!A:C,2,0))</f>
        <v>21.88</v>
      </c>
      <c r="W929" s="49">
        <f t="shared" si="551"/>
        <v>-6514.9999999999982</v>
      </c>
      <c r="X929" s="24">
        <f t="shared" si="549"/>
        <v>-132.00000000000145</v>
      </c>
      <c r="Y929" s="43">
        <f t="shared" si="550"/>
        <v>-0.33175476117730929</v>
      </c>
      <c r="Z929" s="49"/>
      <c r="AA929" s="24"/>
    </row>
    <row r="930" spans="1:27" s="13" customFormat="1" hidden="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22.1</v>
      </c>
      <c r="V930" s="16">
        <f>IF(ISNA(VLOOKUP(LOWER(F930)&amp;H930,Prices!A:C,2,0)),0,VLOOKUP(LOWER(F930)&amp;H930,Prices!A:C,2,0))</f>
        <v>21.88</v>
      </c>
      <c r="W930" s="49">
        <f t="shared" si="551"/>
        <v>-4300.9999999999973</v>
      </c>
      <c r="X930" s="24">
        <f t="shared" si="549"/>
        <v>-88.000000000000966</v>
      </c>
      <c r="Y930" s="43">
        <f t="shared" si="550"/>
        <v>-0.32962906192519908</v>
      </c>
      <c r="Z930" s="49"/>
      <c r="AA930" s="24"/>
    </row>
    <row r="931" spans="1:27" s="13" customFormat="1" hidden="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101.5</v>
      </c>
      <c r="V931" s="16">
        <f>IF(ISNA(VLOOKUP(LOWER(F931)&amp;H931,Prices!A:C,2,0)),0,VLOOKUP(LOWER(F931)&amp;H931,Prices!A:C,2,0))</f>
        <v>101.32</v>
      </c>
      <c r="W931" s="49">
        <f t="shared" ref="W931:W942" si="557">IF(I931="B",(V931+T931)*K931,(V931+T931)*K931)</f>
        <v>6485.1927999999934</v>
      </c>
      <c r="X931" s="24">
        <f t="shared" ref="X931:X942" si="558">K931*(V931-U931)</f>
        <v>-72.000000000002728</v>
      </c>
      <c r="Y931" s="43">
        <f t="shared" ref="Y931:Y942" si="559">W931/O931</f>
        <v>0.19053921729932993</v>
      </c>
      <c r="Z931" s="49"/>
      <c r="AA931" s="24"/>
    </row>
    <row r="932" spans="1:27" s="13" customFormat="1" hidden="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41.3</v>
      </c>
      <c r="V932" s="16">
        <f>IF(ISNA(VLOOKUP(LOWER(F932)&amp;H932,Prices!A:C,2,0)),0,VLOOKUP(LOWER(F932)&amp;H932,Prices!A:C,2,0))</f>
        <v>42.53</v>
      </c>
      <c r="W932" s="49">
        <f t="shared" si="557"/>
        <v>10153.526000000007</v>
      </c>
      <c r="X932" s="24">
        <f t="shared" si="558"/>
        <v>1230.0000000000041</v>
      </c>
      <c r="Y932" s="43">
        <f t="shared" si="559"/>
        <v>0.31367086808773581</v>
      </c>
      <c r="Z932" s="49"/>
      <c r="AA932" s="24"/>
    </row>
    <row r="933" spans="1:27" s="13" customFormat="1" hidden="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32.14</v>
      </c>
      <c r="V933" s="16">
        <f>IF(ISNA(VLOOKUP(LOWER(F933)&amp;H933,Prices!A:C,2,0)),0,VLOOKUP(LOWER(F933)&amp;H933,Prices!A:C,2,0))</f>
        <v>32.14</v>
      </c>
      <c r="W933" s="49">
        <f t="shared" si="557"/>
        <v>5765.6642999999958</v>
      </c>
      <c r="X933" s="24">
        <f t="shared" si="558"/>
        <v>0</v>
      </c>
      <c r="Y933" s="43">
        <f t="shared" si="559"/>
        <v>0.13587049133969592</v>
      </c>
      <c r="Z933" s="49"/>
      <c r="AA933" s="24"/>
    </row>
    <row r="934" spans="1:27" s="13" customFormat="1" hidden="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20.79</v>
      </c>
      <c r="V934" s="16">
        <f>IF(ISNA(VLOOKUP(LOWER(F934)&amp;H934,Prices!A:C,2,0)),0,VLOOKUP(LOWER(F934)&amp;H934,Prices!A:C,2,0))</f>
        <v>20.27</v>
      </c>
      <c r="W934" s="49">
        <f t="shared" si="557"/>
        <v>-2516.6599999999994</v>
      </c>
      <c r="X934" s="24">
        <f t="shared" si="558"/>
        <v>311.99999999999977</v>
      </c>
      <c r="Y934" s="43">
        <f t="shared" si="559"/>
        <v>-0.26052380952380944</v>
      </c>
      <c r="Z934" s="49"/>
      <c r="AA934" s="24"/>
    </row>
    <row r="935" spans="1:27" s="13" customFormat="1" hidden="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20.79</v>
      </c>
      <c r="V935" s="16">
        <f>IF(ISNA(VLOOKUP(LOWER(F935)&amp;H935,Prices!A:C,2,0)),0,VLOOKUP(LOWER(F935)&amp;H935,Prices!A:C,2,0))</f>
        <v>20.27</v>
      </c>
      <c r="W935" s="49">
        <f t="shared" si="557"/>
        <v>-2678.4999999999991</v>
      </c>
      <c r="X935" s="24">
        <f t="shared" si="558"/>
        <v>311.99999999999977</v>
      </c>
      <c r="Y935" s="43">
        <f t="shared" si="559"/>
        <v>-0.28200673826068634</v>
      </c>
      <c r="Z935" s="49"/>
      <c r="AA935" s="24"/>
    </row>
    <row r="936" spans="1:27" s="13" customFormat="1" hidden="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27.59</v>
      </c>
      <c r="V936" s="16">
        <f>IF(ISNA(VLOOKUP(LOWER(F936)&amp;H936,Prices!A:C,2,0)),0,VLOOKUP(LOWER(F936)&amp;H936,Prices!A:C,2,0))</f>
        <v>28.05</v>
      </c>
      <c r="W936" s="49">
        <f t="shared" si="557"/>
        <v>-5717.8071999999993</v>
      </c>
      <c r="X936" s="24">
        <f t="shared" si="558"/>
        <v>-460.00000000000085</v>
      </c>
      <c r="Y936" s="43">
        <f t="shared" si="559"/>
        <v>-0.25571588550983898</v>
      </c>
      <c r="Z936" s="49"/>
      <c r="AA936" s="24"/>
    </row>
    <row r="937" spans="1:27" s="13" customFormat="1" hidden="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hidden="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59.95</v>
      </c>
      <c r="V938" s="16">
        <f>IF(ISNA(VLOOKUP(LOWER(F938)&amp;H938,Prices!A:C,2,0)),0,VLOOKUP(LOWER(F938)&amp;H938,Prices!A:C,2,0))</f>
        <v>59.2</v>
      </c>
      <c r="W938" s="49">
        <f t="shared" si="557"/>
        <v>-7597.1</v>
      </c>
      <c r="X938" s="24">
        <f t="shared" si="558"/>
        <v>300</v>
      </c>
      <c r="Y938" s="43">
        <f t="shared" si="559"/>
        <v>-0.47175235966219575</v>
      </c>
      <c r="Z938" s="49"/>
      <c r="AA938" s="24"/>
    </row>
    <row r="939" spans="1:27" s="13" customFormat="1" hidden="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41.3</v>
      </c>
      <c r="V939" s="16">
        <f>IF(ISNA(VLOOKUP(LOWER(F939)&amp;H939,Prices!A:C,2,0)),0,VLOOKUP(LOWER(F939)&amp;H939,Prices!A:C,2,0))</f>
        <v>42.53</v>
      </c>
      <c r="W939" s="49">
        <f t="shared" si="557"/>
        <v>-16332.024000000001</v>
      </c>
      <c r="X939" s="24">
        <f t="shared" si="558"/>
        <v>-1845.0000000000059</v>
      </c>
      <c r="Y939" s="43">
        <f t="shared" si="559"/>
        <v>-0.34368737373737379</v>
      </c>
      <c r="Z939" s="49"/>
      <c r="AA939" s="24"/>
    </row>
    <row r="940" spans="1:27" s="13" customFormat="1" hidden="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32.14</v>
      </c>
      <c r="V940" s="16">
        <f>IF(ISNA(VLOOKUP(LOWER(F940)&amp;H940,Prices!A:C,2,0)),0,VLOOKUP(LOWER(F940)&amp;H940,Prices!A:C,2,0))</f>
        <v>32.14</v>
      </c>
      <c r="W940" s="49">
        <f t="shared" si="557"/>
        <v>-4024.3430000000017</v>
      </c>
      <c r="X940" s="24">
        <f t="shared" si="558"/>
        <v>0</v>
      </c>
      <c r="Y940" s="43">
        <f t="shared" si="559"/>
        <v>-0.14296067495559509</v>
      </c>
      <c r="Z940" s="49"/>
      <c r="AA940" s="24"/>
    </row>
    <row r="941" spans="1:27" s="13" customFormat="1" hidden="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52.65</v>
      </c>
      <c r="V941" s="16">
        <f>IF(ISNA(VLOOKUP(LOWER(F941)&amp;H941,Prices!A:C,2,0)),0,VLOOKUP(LOWER(F941)&amp;H941,Prices!A:C,2,0))</f>
        <v>52.82</v>
      </c>
      <c r="W941" s="49">
        <f t="shared" si="557"/>
        <v>-3704.0074400000008</v>
      </c>
      <c r="X941" s="24">
        <f t="shared" si="558"/>
        <v>-34.000000000000341</v>
      </c>
      <c r="Y941" s="43">
        <f t="shared" si="559"/>
        <v>-0.53899991850989537</v>
      </c>
      <c r="Z941" s="49"/>
      <c r="AA941" s="24"/>
    </row>
    <row r="942" spans="1:27" s="13" customFormat="1" hidden="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32.14</v>
      </c>
      <c r="V942" s="16">
        <f>IF(ISNA(VLOOKUP(LOWER(F942)&amp;H942,Prices!A:C,2,0)),0,VLOOKUP(LOWER(F942)&amp;H942,Prices!A:C,2,0))</f>
        <v>32.14</v>
      </c>
      <c r="W942" s="49">
        <f t="shared" si="557"/>
        <v>-1989.3819999999992</v>
      </c>
      <c r="X942" s="24">
        <f t="shared" si="558"/>
        <v>0</v>
      </c>
      <c r="Y942" s="43">
        <f t="shared" si="559"/>
        <v>-0.14109092198581555</v>
      </c>
      <c r="Z942" s="49"/>
      <c r="AA942" s="24"/>
    </row>
    <row r="943" spans="1:27" s="13" customFormat="1" hidden="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hidden="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29.6</v>
      </c>
      <c r="V944" s="16">
        <f>IF(ISNA(VLOOKUP(LOWER(F944)&amp;H944,Prices!A:C,2,0)),0,VLOOKUP(LOWER(F944)&amp;H944,Prices!A:C,2,0))</f>
        <v>30.47</v>
      </c>
      <c r="W944" s="49">
        <f t="shared" si="564"/>
        <v>-18823.923599999991</v>
      </c>
      <c r="X944" s="24">
        <f t="shared" si="565"/>
        <v>-1913.9999999999943</v>
      </c>
      <c r="Y944" s="43">
        <f t="shared" si="566"/>
        <v>-0.38998764398773494</v>
      </c>
      <c r="Z944" s="49"/>
      <c r="AA944" s="24"/>
    </row>
    <row r="945" spans="1:27" s="13" customFormat="1" hidden="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29.6</v>
      </c>
      <c r="V945" s="16">
        <f>IF(ISNA(VLOOKUP(LOWER(F945)&amp;H945,Prices!A:C,2,0)),0,VLOOKUP(LOWER(F945)&amp;H945,Prices!A:C,2,0))</f>
        <v>30.47</v>
      </c>
      <c r="W945" s="49">
        <f t="shared" si="564"/>
        <v>-8516.9799999999959</v>
      </c>
      <c r="X945" s="24">
        <f t="shared" si="565"/>
        <v>-869.9999999999975</v>
      </c>
      <c r="Y945" s="43">
        <f t="shared" si="566"/>
        <v>-0.38748771610555033</v>
      </c>
      <c r="Z945" s="49"/>
      <c r="AA945" s="24"/>
    </row>
    <row r="946" spans="1:27" s="13" customFormat="1" hidden="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hidden="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41.3</v>
      </c>
      <c r="V947" s="16">
        <f>IF(ISNA(VLOOKUP(LOWER(F947)&amp;H947,Prices!A:C,2,0)),0,VLOOKUP(LOWER(F947)&amp;H947,Prices!A:C,2,0))</f>
        <v>42.53</v>
      </c>
      <c r="W947" s="49">
        <f t="shared" si="564"/>
        <v>-16092.312000000009</v>
      </c>
      <c r="X947" s="24">
        <f t="shared" si="565"/>
        <v>-1845.0000000000059</v>
      </c>
      <c r="Y947" s="43">
        <f t="shared" si="566"/>
        <v>-0.33694120603015093</v>
      </c>
      <c r="Z947" s="49"/>
      <c r="AA947" s="24"/>
    </row>
    <row r="948" spans="1:27" s="13" customFormat="1" hidden="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9.69</v>
      </c>
      <c r="V948" s="16">
        <f>IF(ISNA(VLOOKUP(LOWER(F948)&amp;H948,Prices!A:C,2,0)),0,VLOOKUP(LOWER(F948)&amp;H948,Prices!A:C,2,0))</f>
        <v>9.4499999999999993</v>
      </c>
      <c r="W948" s="49">
        <f t="shared" si="564"/>
        <v>-284.3636000000007</v>
      </c>
      <c r="X948" s="24">
        <f t="shared" si="565"/>
        <v>240.00000000000023</v>
      </c>
      <c r="Y948" s="43">
        <f t="shared" si="566"/>
        <v>-3.0976427015250621E-2</v>
      </c>
      <c r="Z948" s="49"/>
      <c r="AA948" s="24"/>
    </row>
    <row r="949" spans="1:27" s="13" customFormat="1" hidden="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8.19</v>
      </c>
      <c r="V949" s="16">
        <f>IF(ISNA(VLOOKUP(LOWER(F949)&amp;H949,Prices!A:C,2,0)),0,VLOOKUP(LOWER(F949)&amp;H949,Prices!A:C,2,0))</f>
        <v>8.25</v>
      </c>
      <c r="W949" s="49">
        <f t="shared" si="564"/>
        <v>4291.8710000000001</v>
      </c>
      <c r="X949" s="24">
        <f>K949*(V949-U949)</f>
        <v>300.0000000000025</v>
      </c>
      <c r="Y949" s="43">
        <f t="shared" si="566"/>
        <v>0.11615347767253045</v>
      </c>
      <c r="Z949" s="49"/>
      <c r="AA949" s="24"/>
    </row>
    <row r="950" spans="1:27" s="13" customFormat="1" hidden="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101.5</v>
      </c>
      <c r="V950" s="16">
        <f>IF(ISNA(VLOOKUP(LOWER(F950)&amp;H950,Prices!A:C,2,0)),0,VLOOKUP(LOWER(F950)&amp;H950,Prices!A:C,2,0))</f>
        <v>101.32</v>
      </c>
      <c r="W950" s="49">
        <f t="shared" si="564"/>
        <v>-3254.0299999999975</v>
      </c>
      <c r="X950" s="24">
        <f t="shared" si="565"/>
        <v>36.000000000001364</v>
      </c>
      <c r="Y950" s="43">
        <f t="shared" si="566"/>
        <v>-0.19105389854391719</v>
      </c>
      <c r="Z950" s="49"/>
      <c r="AA950" s="24"/>
    </row>
    <row r="951" spans="1:27" s="13" customFormat="1" hidden="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32.14</v>
      </c>
      <c r="V951" s="16">
        <f>IF(ISNA(VLOOKUP(LOWER(F951)&amp;H951,Prices!A:C,2,0)),0,VLOOKUP(LOWER(F951)&amp;H951,Prices!A:C,2,0))</f>
        <v>32.14</v>
      </c>
      <c r="W951" s="49">
        <f t="shared" si="564"/>
        <v>-3824.5869999999977</v>
      </c>
      <c r="X951" s="24">
        <f t="shared" si="565"/>
        <v>0</v>
      </c>
      <c r="Y951" s="43">
        <f t="shared" si="566"/>
        <v>-0.13490606701940028</v>
      </c>
      <c r="Z951" s="49"/>
      <c r="AA951" s="24"/>
    </row>
    <row r="952" spans="1:27" s="13" customFormat="1" hidden="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71.150000000000006</v>
      </c>
      <c r="V952" s="16">
        <f>IF(ISNA(VLOOKUP(LOWER(F952)&amp;H952,Prices!A:C,2,0)),0,VLOOKUP(LOWER(F952)&amp;H952,Prices!A:C,2,0))</f>
        <v>74.599999999999994</v>
      </c>
      <c r="W952" s="49">
        <f t="shared" si="564"/>
        <v>32191.51999999999</v>
      </c>
      <c r="X952" s="24">
        <f t="shared" si="565"/>
        <v>3449.9999999999886</v>
      </c>
      <c r="Y952" s="43">
        <f t="shared" si="566"/>
        <v>0.75923396226415074</v>
      </c>
      <c r="Z952" s="49"/>
      <c r="AA952" s="24"/>
    </row>
    <row r="953" spans="1:27" s="13" customFormat="1" hidden="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8.19</v>
      </c>
      <c r="V953" s="16">
        <f>IF(ISNA(VLOOKUP(LOWER(F953)&amp;H953,Prices!A:C,2,0)),0,VLOOKUP(LOWER(F953)&amp;H953,Prices!A:C,2,0))</f>
        <v>8.25</v>
      </c>
      <c r="W953" s="49">
        <f t="shared" si="564"/>
        <v>4391.8929999999982</v>
      </c>
      <c r="X953" s="24">
        <f>K953*(V953-U953)</f>
        <v>300.0000000000025</v>
      </c>
      <c r="Y953" s="43">
        <f t="shared" si="566"/>
        <v>0.11918298507462682</v>
      </c>
      <c r="Z953" s="49"/>
      <c r="AA953" s="24"/>
    </row>
    <row r="954" spans="1:27" s="13" customFormat="1" hidden="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22.1</v>
      </c>
      <c r="V954" s="16">
        <f>IF(ISNA(VLOOKUP(LOWER(F954)&amp;H954,Prices!A:C,2,0)),0,VLOOKUP(LOWER(F954)&amp;H954,Prices!A:C,2,0))</f>
        <v>21.88</v>
      </c>
      <c r="W954" s="49">
        <f t="shared" si="564"/>
        <v>-10096.394</v>
      </c>
      <c r="X954" s="24">
        <f t="shared" si="565"/>
        <v>-220.00000000000242</v>
      </c>
      <c r="Y954" s="43">
        <f t="shared" si="566"/>
        <v>-0.31580838285893026</v>
      </c>
      <c r="Z954" s="49"/>
      <c r="AA954" s="24"/>
    </row>
    <row r="955" spans="1:27" s="13" customFormat="1" hidden="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101.5</v>
      </c>
      <c r="V955" s="16">
        <f>IF(ISNA(VLOOKUP(LOWER(F955)&amp;H955,Prices!A:C,2,0)),0,VLOOKUP(LOWER(F955)&amp;H955,Prices!A:C,2,0))</f>
        <v>101.32</v>
      </c>
      <c r="W955" s="49">
        <f t="shared" si="564"/>
        <v>4971.9161999999997</v>
      </c>
      <c r="X955" s="24">
        <f t="shared" si="565"/>
        <v>-54.000000000002046</v>
      </c>
      <c r="Y955" s="43">
        <f t="shared" si="566"/>
        <v>0.19559841850584209</v>
      </c>
      <c r="Z955" s="49"/>
      <c r="AA955" s="24"/>
    </row>
    <row r="956" spans="1:27" s="13" customFormat="1" hidden="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41.3</v>
      </c>
      <c r="V956" s="16">
        <f>IF(ISNA(VLOOKUP(LOWER(F956)&amp;H956,Prices!A:C,2,0)),0,VLOOKUP(LOWER(F956)&amp;H956,Prices!A:C,2,0))</f>
        <v>42.53</v>
      </c>
      <c r="W956" s="49">
        <f t="shared" si="564"/>
        <v>10613.617999999999</v>
      </c>
      <c r="X956" s="24">
        <f t="shared" si="565"/>
        <v>1230.0000000000041</v>
      </c>
      <c r="Y956" s="43">
        <f t="shared" si="566"/>
        <v>0.33261103102475709</v>
      </c>
      <c r="Z956" s="49"/>
      <c r="AA956" s="24"/>
    </row>
    <row r="957" spans="1:27" s="13" customFormat="1" hidden="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8.19</v>
      </c>
      <c r="V957" s="16">
        <f>IF(ISNA(VLOOKUP(LOWER(F957)&amp;H957,Prices!A:C,2,0)),0,VLOOKUP(LOWER(F957)&amp;H957,Prices!A:C,2,0))</f>
        <v>8.25</v>
      </c>
      <c r="W957" s="49">
        <f t="shared" si="564"/>
        <v>1774.7055999999991</v>
      </c>
      <c r="X957" s="24">
        <f>K957*(V957-U957)</f>
        <v>120.00000000000099</v>
      </c>
      <c r="Y957" s="43">
        <f t="shared" si="566"/>
        <v>0.12056423913043472</v>
      </c>
      <c r="Z957" s="49"/>
      <c r="AA957" s="24"/>
    </row>
    <row r="958" spans="1:27" s="13" customFormat="1" hidden="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52.6</v>
      </c>
      <c r="V958" s="16">
        <f>IF(ISNA(VLOOKUP(LOWER(F958)&amp;H958,Prices!A:C,2,0)),0,VLOOKUP(LOWER(F958)&amp;H958,Prices!A:C,2,0))</f>
        <v>53.4</v>
      </c>
      <c r="W958" s="49">
        <f t="shared" si="564"/>
        <v>30665.114999999991</v>
      </c>
      <c r="X958" s="24">
        <f t="shared" si="565"/>
        <v>1199.9999999999957</v>
      </c>
      <c r="Y958" s="43">
        <f t="shared" si="566"/>
        <v>0.62043732928679785</v>
      </c>
      <c r="Z958" s="49"/>
      <c r="AA958" s="24"/>
    </row>
    <row r="959" spans="1:27" s="13" customFormat="1" hidden="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101.5</v>
      </c>
      <c r="V959" s="16">
        <f>IF(ISNA(VLOOKUP(LOWER(F959)&amp;H959,Prices!A:C,2,0)),0,VLOOKUP(LOWER(F959)&amp;H959,Prices!A:C,2,0))</f>
        <v>101.32</v>
      </c>
      <c r="W959" s="49">
        <f t="shared" si="564"/>
        <v>5064.9347999999964</v>
      </c>
      <c r="X959" s="24">
        <f t="shared" si="565"/>
        <v>-54.000000000002046</v>
      </c>
      <c r="Y959" s="43">
        <f t="shared" si="566"/>
        <v>0.19998952854773736</v>
      </c>
      <c r="Z959" s="49"/>
      <c r="AA959" s="24"/>
    </row>
    <row r="960" spans="1:27" s="13" customFormat="1" hidden="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29.6</v>
      </c>
      <c r="V960" s="16">
        <f>IF(ISNA(VLOOKUP(LOWER(F960)&amp;H960,Prices!A:C,2,0)),0,VLOOKUP(LOWER(F960)&amp;H960,Prices!A:C,2,0))</f>
        <v>30.47</v>
      </c>
      <c r="W960" s="49">
        <f t="shared" si="564"/>
        <v>8504.9999999999982</v>
      </c>
      <c r="X960" s="24">
        <f t="shared" si="565"/>
        <v>869.9999999999975</v>
      </c>
      <c r="Y960" s="43">
        <f t="shared" si="566"/>
        <v>0.38729508196721302</v>
      </c>
      <c r="Z960" s="49"/>
      <c r="AA960" s="24"/>
    </row>
    <row r="961" spans="1:27" s="13" customFormat="1" hidden="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52.6</v>
      </c>
      <c r="V961" s="16">
        <f>IF(ISNA(VLOOKUP(LOWER(F961)&amp;H961,Prices!A:C,2,0)),0,VLOOKUP(LOWER(F961)&amp;H961,Prices!A:C,2,0))</f>
        <v>53.4</v>
      </c>
      <c r="W961" s="49">
        <f t="shared" si="564"/>
        <v>12282.999999999998</v>
      </c>
      <c r="X961" s="24">
        <f t="shared" si="565"/>
        <v>479.99999999999829</v>
      </c>
      <c r="Y961" s="43">
        <f t="shared" si="566"/>
        <v>0.62186107735925467</v>
      </c>
      <c r="Z961" s="49"/>
      <c r="AA961" s="24"/>
    </row>
    <row r="962" spans="1:27" s="13" customFormat="1" hidden="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8.19</v>
      </c>
      <c r="V962" s="16">
        <f>IF(ISNA(VLOOKUP(LOWER(F962)&amp;H962,Prices!A:C,2,0)),0,VLOOKUP(LOWER(F962)&amp;H962,Prices!A:C,2,0))</f>
        <v>8.25</v>
      </c>
      <c r="W962" s="49">
        <f t="shared" si="564"/>
        <v>2694.5589999999997</v>
      </c>
      <c r="X962" s="24">
        <f t="shared" si="565"/>
        <v>180.00000000000148</v>
      </c>
      <c r="Y962" s="43">
        <f t="shared" si="566"/>
        <v>0.12220222222222221</v>
      </c>
      <c r="Z962" s="49"/>
      <c r="AA962" s="24"/>
    </row>
    <row r="963" spans="1:27" s="13" customFormat="1" hidden="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29.6</v>
      </c>
      <c r="V963" s="16">
        <f>IF(ISNA(VLOOKUP(LOWER(F963)&amp;H963,Prices!A:C,2,0)),0,VLOOKUP(LOWER(F963)&amp;H963,Prices!A:C,2,0))</f>
        <v>30.47</v>
      </c>
      <c r="W963" s="49">
        <f t="shared" si="564"/>
        <v>12788.417999999998</v>
      </c>
      <c r="X963" s="24">
        <f t="shared" si="565"/>
        <v>1304.9999999999961</v>
      </c>
      <c r="Y963" s="43">
        <f t="shared" si="566"/>
        <v>0.38858760255241559</v>
      </c>
      <c r="Z963" s="49"/>
      <c r="AA963" s="24"/>
    </row>
    <row r="964" spans="1:27" s="13" customFormat="1" hidden="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27.59</v>
      </c>
      <c r="V964" s="16">
        <f>IF(ISNA(VLOOKUP(LOWER(F964)&amp;H964,Prices!A:C,2,0)),0,VLOOKUP(LOWER(F964)&amp;H964,Prices!A:C,2,0))</f>
        <v>28.05</v>
      </c>
      <c r="W964" s="49">
        <f t="shared" si="564"/>
        <v>14162.691000000001</v>
      </c>
      <c r="X964" s="24">
        <f t="shared" si="565"/>
        <v>1150.000000000002</v>
      </c>
      <c r="Y964" s="43">
        <f t="shared" si="566"/>
        <v>0.25313120643431636</v>
      </c>
      <c r="Z964" s="49"/>
      <c r="AA964" s="24"/>
    </row>
    <row r="965" spans="1:27" s="13" customFormat="1" hidden="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18.11</v>
      </c>
      <c r="V965" s="16">
        <f>IF(ISNA(VLOOKUP(LOWER(F965)&amp;H965,Prices!A:C,2,0)),0,VLOOKUP(LOWER(F965)&amp;H965,Prices!A:C,2,0))</f>
        <v>18.18</v>
      </c>
      <c r="W965" s="49">
        <f t="shared" si="564"/>
        <v>2905.0000000000009</v>
      </c>
      <c r="X965" s="24">
        <f t="shared" si="565"/>
        <v>105.00000000000043</v>
      </c>
      <c r="Y965" s="43">
        <f t="shared" si="566"/>
        <v>0.11925287356321844</v>
      </c>
      <c r="Z965" s="49"/>
      <c r="AA965" s="24"/>
    </row>
    <row r="966" spans="1:27" s="13" customFormat="1" hidden="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52.6</v>
      </c>
      <c r="V966" s="16">
        <f>IF(ISNA(VLOOKUP(LOWER(F966)&amp;H966,Prices!A:C,2,0)),0,VLOOKUP(LOWER(F966)&amp;H966,Prices!A:C,2,0))</f>
        <v>53.4</v>
      </c>
      <c r="W966" s="49">
        <f t="shared" si="564"/>
        <v>12295</v>
      </c>
      <c r="X966" s="24">
        <f t="shared" si="565"/>
        <v>479.99999999999829</v>
      </c>
      <c r="Y966" s="43">
        <f t="shared" si="566"/>
        <v>0.6228470111448835</v>
      </c>
      <c r="Z966" s="49"/>
      <c r="AA966" s="24"/>
    </row>
    <row r="967" spans="1:27" s="13" customFormat="1" hidden="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41.3</v>
      </c>
      <c r="V967" s="16">
        <f>IF(ISNA(VLOOKUP(LOWER(F967)&amp;H967,Prices!A:C,2,0)),0,VLOOKUP(LOWER(F967)&amp;H967,Prices!A:C,2,0))</f>
        <v>42.53</v>
      </c>
      <c r="W967" s="49">
        <f t="shared" si="564"/>
        <v>6481.0000000000018</v>
      </c>
      <c r="X967" s="24">
        <f t="shared" si="565"/>
        <v>738.00000000000239</v>
      </c>
      <c r="Y967" s="43">
        <f t="shared" si="566"/>
        <v>0.34053173602353942</v>
      </c>
      <c r="Z967" s="49"/>
      <c r="AA967" s="24"/>
    </row>
    <row r="968" spans="1:27" s="13" customFormat="1" hidden="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29.6</v>
      </c>
      <c r="V968" s="16">
        <f>IF(ISNA(VLOOKUP(LOWER(F968)&amp;H968,Prices!A:C,2,0)),0,VLOOKUP(LOWER(F968)&amp;H968,Prices!A:C,2,0))</f>
        <v>30.47</v>
      </c>
      <c r="W968" s="49">
        <f t="shared" si="564"/>
        <v>8605</v>
      </c>
      <c r="X968" s="24">
        <f t="shared" si="565"/>
        <v>869.9999999999975</v>
      </c>
      <c r="Y968" s="43">
        <f t="shared" si="566"/>
        <v>0.39364135407136325</v>
      </c>
      <c r="Z968" s="49"/>
      <c r="AA968" s="24"/>
    </row>
    <row r="969" spans="1:27" s="13" customFormat="1" hidden="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27.67</v>
      </c>
      <c r="V969" s="16">
        <f>IF(ISNA(VLOOKUP(LOWER(F969)&amp;H969,Prices!A:C,2,0)),0,VLOOKUP(LOWER(F969)&amp;H969,Prices!A:C,2,0))</f>
        <v>27.51</v>
      </c>
      <c r="W969" s="49">
        <f t="shared" si="564"/>
        <v>6945</v>
      </c>
      <c r="X969" s="24">
        <f t="shared" si="565"/>
        <v>-160.00000000000014</v>
      </c>
      <c r="Y969" s="43">
        <f t="shared" si="566"/>
        <v>0.33779182879377434</v>
      </c>
      <c r="Z969" s="49"/>
      <c r="AA969" s="24"/>
    </row>
    <row r="970" spans="1:27" s="13" customFormat="1" hidden="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18.11</v>
      </c>
      <c r="V970" s="16">
        <f>IF(ISNA(VLOOKUP(LOWER(F970)&amp;H970,Prices!A:C,2,0)),0,VLOOKUP(LOWER(F970)&amp;H970,Prices!A:C,2,0))</f>
        <v>18.18</v>
      </c>
      <c r="W970" s="49">
        <f t="shared" si="564"/>
        <v>2889.9999999999986</v>
      </c>
      <c r="X970" s="24">
        <f t="shared" si="565"/>
        <v>105.00000000000043</v>
      </c>
      <c r="Y970" s="43">
        <f t="shared" si="566"/>
        <v>0.11856410256410251</v>
      </c>
      <c r="Z970" s="49"/>
      <c r="AA970" s="24"/>
    </row>
    <row r="971" spans="1:27" s="13" customFormat="1" hidden="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71.150000000000006</v>
      </c>
      <c r="V971" s="16">
        <f>IF(ISNA(VLOOKUP(LOWER(F971)&amp;H971,Prices!A:C,2,0)),0,VLOOKUP(LOWER(F971)&amp;H971,Prices!A:C,2,0))</f>
        <v>74.599999999999994</v>
      </c>
      <c r="W971" s="49">
        <f t="shared" si="564"/>
        <v>-12909.949999999997</v>
      </c>
      <c r="X971" s="24">
        <f t="shared" si="565"/>
        <v>-1379.9999999999955</v>
      </c>
      <c r="Y971" s="43">
        <f t="shared" si="566"/>
        <v>-0.76155910806984406</v>
      </c>
      <c r="Z971" s="49"/>
      <c r="AA971" s="24"/>
    </row>
    <row r="972" spans="1:27" s="13" customFormat="1" hidden="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hidden="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52.6</v>
      </c>
      <c r="V973" s="16">
        <f>IF(ISNA(VLOOKUP(LOWER(F973)&amp;H973,Prices!A:C,2,0)),0,VLOOKUP(LOWER(F973)&amp;H973,Prices!A:C,2,0))</f>
        <v>53.4</v>
      </c>
      <c r="W973" s="49">
        <f t="shared" si="564"/>
        <v>-10081.64</v>
      </c>
      <c r="X973" s="24">
        <f t="shared" si="565"/>
        <v>-399.99999999999858</v>
      </c>
      <c r="Y973" s="43">
        <f t="shared" si="566"/>
        <v>-0.60586778846153844</v>
      </c>
      <c r="Z973" s="49"/>
      <c r="AA973" s="24"/>
    </row>
    <row r="974" spans="1:27" s="13" customFormat="1" hidden="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41.3</v>
      </c>
      <c r="V974" s="16">
        <f>IF(ISNA(VLOOKUP(LOWER(F974)&amp;H974,Prices!A:C,2,0)),0,VLOOKUP(LOWER(F974)&amp;H974,Prices!A:C,2,0))</f>
        <v>42.53</v>
      </c>
      <c r="W974" s="49">
        <f t="shared" si="564"/>
        <v>-3164.610000000001</v>
      </c>
      <c r="X974" s="24">
        <f t="shared" si="565"/>
        <v>-369.00000000000119</v>
      </c>
      <c r="Y974" s="43">
        <f t="shared" si="566"/>
        <v>-0.3293381205120201</v>
      </c>
      <c r="Z974" s="49"/>
      <c r="AA974" s="24"/>
    </row>
    <row r="975" spans="1:27" s="13" customFormat="1" hidden="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32.14</v>
      </c>
      <c r="V975" s="16">
        <f>IF(ISNA(VLOOKUP(LOWER(F975)&amp;H975,Prices!A:C,2,0)),0,VLOOKUP(LOWER(F975)&amp;H975,Prices!A:C,2,0))</f>
        <v>32.14</v>
      </c>
      <c r="W975" s="49">
        <f t="shared" si="564"/>
        <v>-1153.6700400000011</v>
      </c>
      <c r="X975" s="24">
        <f t="shared" si="565"/>
        <v>0</v>
      </c>
      <c r="Y975" s="43">
        <f t="shared" si="566"/>
        <v>-0.13569395906845461</v>
      </c>
      <c r="Z975" s="49"/>
      <c r="AA975" s="24"/>
    </row>
    <row r="976" spans="1:27" s="13" customFormat="1" hidden="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71.150000000000006</v>
      </c>
      <c r="V976" s="16">
        <f>IF(ISNA(VLOOKUP(LOWER(F976)&amp;H976,Prices!A:C,2,0)),0,VLOOKUP(LOWER(F976)&amp;H976,Prices!A:C,2,0))</f>
        <v>74.599999999999994</v>
      </c>
      <c r="W976" s="49">
        <f t="shared" si="564"/>
        <v>-6371.5599999999977</v>
      </c>
      <c r="X976" s="24">
        <f t="shared" si="565"/>
        <v>-689.99999999999773</v>
      </c>
      <c r="Y976" s="43">
        <f t="shared" si="566"/>
        <v>-0.74416725064237299</v>
      </c>
      <c r="Z976" s="49"/>
      <c r="AA976" s="24"/>
    </row>
    <row r="977" spans="1:27" s="13" customFormat="1" hidden="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71.150000000000006</v>
      </c>
      <c r="V977" s="16">
        <f>IF(ISNA(VLOOKUP(LOWER(F977)&amp;H977,Prices!A:C,2,0)),0,VLOOKUP(LOWER(F977)&amp;H977,Prices!A:C,2,0))</f>
        <v>74.599999999999994</v>
      </c>
      <c r="W977" s="49">
        <f t="shared" si="564"/>
        <v>-6333.5999999999995</v>
      </c>
      <c r="X977" s="24">
        <f t="shared" si="565"/>
        <v>-689.99999999999773</v>
      </c>
      <c r="Y977" s="43">
        <f t="shared" si="566"/>
        <v>-0.73646511627906974</v>
      </c>
      <c r="Z977" s="49"/>
      <c r="AA977" s="24"/>
    </row>
    <row r="978" spans="1:27" s="13" customFormat="1" hidden="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52.6</v>
      </c>
      <c r="V978" s="16">
        <f>IF(ISNA(VLOOKUP(LOWER(F978)&amp;H978,Prices!A:C,2,0)),0,VLOOKUP(LOWER(F978)&amp;H978,Prices!A:C,2,0))</f>
        <v>53.4</v>
      </c>
      <c r="W978" s="49">
        <f t="shared" si="564"/>
        <v>-9996.73</v>
      </c>
      <c r="X978" s="24">
        <f t="shared" si="565"/>
        <v>-399.99999999999858</v>
      </c>
      <c r="Y978" s="43">
        <f t="shared" si="566"/>
        <v>-0.59771180866965623</v>
      </c>
      <c r="Z978" s="49"/>
      <c r="AA978" s="24"/>
    </row>
    <row r="979" spans="1:27" s="13" customFormat="1" hidden="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9.69</v>
      </c>
      <c r="V979" s="16">
        <f>IF(ISNA(VLOOKUP(LOWER(F979)&amp;H979,Prices!A:C,2,0)),0,VLOOKUP(LOWER(F979)&amp;H979,Prices!A:C,2,0))</f>
        <v>9.4499999999999993</v>
      </c>
      <c r="W979" s="49">
        <f t="shared" si="564"/>
        <v>594.63399999999569</v>
      </c>
      <c r="X979" s="24">
        <f t="shared" si="565"/>
        <v>-480.00000000000045</v>
      </c>
      <c r="Y979" s="43">
        <f t="shared" si="566"/>
        <v>3.249366120218556E-2</v>
      </c>
      <c r="Z979" s="49"/>
      <c r="AA979" s="24"/>
    </row>
    <row r="980" spans="1:27" s="13" customFormat="1" hidden="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18.11</v>
      </c>
      <c r="V980" s="16">
        <f>IF(ISNA(VLOOKUP(LOWER(F980)&amp;H980,Prices!A:C,2,0)),0,VLOOKUP(LOWER(F980)&amp;H980,Prices!A:C,2,0))</f>
        <v>18.18</v>
      </c>
      <c r="W980" s="49">
        <f t="shared" si="564"/>
        <v>3933.5159999999973</v>
      </c>
      <c r="X980" s="24">
        <f t="shared" si="565"/>
        <v>140.00000000000057</v>
      </c>
      <c r="Y980" s="43">
        <f t="shared" si="566"/>
        <v>0.1213299198025909</v>
      </c>
      <c r="Z980" s="49"/>
      <c r="AA980" s="24"/>
    </row>
    <row r="981" spans="1:27" s="13" customFormat="1" hidden="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20.79</v>
      </c>
      <c r="V981" s="16">
        <f>IF(ISNA(VLOOKUP(LOWER(F981)&amp;H981,Prices!A:C,2,0)),0,VLOOKUP(LOWER(F981)&amp;H981,Prices!A:C,2,0))</f>
        <v>20.27</v>
      </c>
      <c r="W981" s="49">
        <f t="shared" si="564"/>
        <v>4465</v>
      </c>
      <c r="X981" s="24">
        <f t="shared" si="565"/>
        <v>-519.99999999999955</v>
      </c>
      <c r="Y981" s="43">
        <f t="shared" si="566"/>
        <v>0.28259493670886077</v>
      </c>
      <c r="Z981" s="49"/>
      <c r="AA981" s="24"/>
    </row>
    <row r="982" spans="1:27" s="13" customFormat="1" hidden="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22.1</v>
      </c>
      <c r="V982" s="16">
        <f>IF(ISNA(VLOOKUP(LOWER(F982)&amp;H982,Prices!A:C,2,0)),0,VLOOKUP(LOWER(F982)&amp;H982,Prices!A:C,2,0))</f>
        <v>21.88</v>
      </c>
      <c r="W982" s="49">
        <f t="shared" si="564"/>
        <v>-5025</v>
      </c>
      <c r="X982" s="24">
        <f t="shared" si="565"/>
        <v>-110.00000000000121</v>
      </c>
      <c r="Y982" s="43">
        <f t="shared" si="566"/>
        <v>-0.31484962406015038</v>
      </c>
      <c r="Z982" s="49"/>
      <c r="AA982" s="24"/>
    </row>
    <row r="983" spans="1:27" s="13" customFormat="1" hidden="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9.69</v>
      </c>
      <c r="V983" s="16">
        <f>IF(ISNA(VLOOKUP(LOWER(F983)&amp;H983,Prices!A:C,2,0)),0,VLOOKUP(LOWER(F983)&amp;H983,Prices!A:C,2,0))</f>
        <v>9.4499999999999993</v>
      </c>
      <c r="W983" s="49">
        <f t="shared" si="564"/>
        <v>-109.72249999999929</v>
      </c>
      <c r="X983" s="24">
        <f t="shared" si="565"/>
        <v>120.00000000000011</v>
      </c>
      <c r="Y983" s="43">
        <f t="shared" si="566"/>
        <v>-2.372378378378363E-2</v>
      </c>
      <c r="Z983" s="49"/>
      <c r="AA983" s="24"/>
    </row>
    <row r="984" spans="1:27" s="13" customFormat="1" hidden="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8.32</v>
      </c>
      <c r="V984" s="16">
        <f>IF(ISNA(VLOOKUP(LOWER(F984)&amp;H984,Prices!A:C,2,0)),0,VLOOKUP(LOWER(F984)&amp;H984,Prices!A:C,2,0))</f>
        <v>8.35</v>
      </c>
      <c r="W984" s="49">
        <f t="shared" si="564"/>
        <v>941.02399999999693</v>
      </c>
      <c r="X984" s="24">
        <f t="shared" si="565"/>
        <v>149.99999999999682</v>
      </c>
      <c r="Y984" s="43">
        <f t="shared" si="566"/>
        <v>2.3064313725490122E-2</v>
      </c>
      <c r="Z984" s="49"/>
      <c r="AA984" s="24"/>
    </row>
    <row r="985" spans="1:27" s="13" customFormat="1" hidden="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30.26</v>
      </c>
      <c r="V985" s="16">
        <f>IF(ISNA(VLOOKUP(LOWER(F985)&amp;H985,Prices!A:C,2,0)),0,VLOOKUP(LOWER(F985)&amp;H985,Prices!A:C,2,0))</f>
        <v>29.81</v>
      </c>
      <c r="W985" s="49">
        <f t="shared" si="564"/>
        <v>-3757.3831999999961</v>
      </c>
      <c r="X985" s="24">
        <f t="shared" si="565"/>
        <v>-450.00000000000284</v>
      </c>
      <c r="Y985" s="43">
        <f t="shared" si="566"/>
        <v>-0.11196016686531574</v>
      </c>
      <c r="Z985" s="49"/>
      <c r="AA985" s="24"/>
    </row>
    <row r="986" spans="1:27" s="13" customFormat="1" hidden="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52.6</v>
      </c>
      <c r="V986" s="16">
        <f>IF(ISNA(VLOOKUP(LOWER(F986)&amp;H986,Prices!A:C,2,0)),0,VLOOKUP(LOWER(F986)&amp;H986,Prices!A:C,2,0))</f>
        <v>53.4</v>
      </c>
      <c r="W986" s="49">
        <f t="shared" si="564"/>
        <v>20283.378000000001</v>
      </c>
      <c r="X986" s="24">
        <f t="shared" si="565"/>
        <v>799.99999999999716</v>
      </c>
      <c r="Y986" s="43">
        <f t="shared" si="566"/>
        <v>0.61260579885231048</v>
      </c>
      <c r="Z986" s="49"/>
      <c r="AA986" s="24"/>
    </row>
    <row r="987" spans="1:27" s="13" customFormat="1" hidden="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8.32</v>
      </c>
      <c r="V987" s="16">
        <f>IF(ISNA(VLOOKUP(LOWER(F987)&amp;H987,Prices!A:C,2,0)),0,VLOOKUP(LOWER(F987)&amp;H987,Prices!A:C,2,0))</f>
        <v>8.35</v>
      </c>
      <c r="W987" s="49">
        <f t="shared" si="564"/>
        <v>369.75699999999989</v>
      </c>
      <c r="X987" s="24">
        <f t="shared" si="565"/>
        <v>44.999999999999041</v>
      </c>
      <c r="Y987" s="43">
        <f t="shared" si="566"/>
        <v>3.0432674897119334E-2</v>
      </c>
      <c r="Z987" s="49"/>
      <c r="AA987" s="24"/>
    </row>
    <row r="988" spans="1:27" s="13" customFormat="1" hidden="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52.6</v>
      </c>
      <c r="V988" s="16">
        <f>IF(ISNA(VLOOKUP(LOWER(F988)&amp;H988,Prices!A:C,2,0)),0,VLOOKUP(LOWER(F988)&amp;H988,Prices!A:C,2,0))</f>
        <v>53.4</v>
      </c>
      <c r="W988" s="49">
        <f t="shared" si="564"/>
        <v>8131</v>
      </c>
      <c r="X988" s="24">
        <f t="shared" si="565"/>
        <v>319.99999999999886</v>
      </c>
      <c r="Y988" s="43">
        <f t="shared" si="566"/>
        <v>0.61486690865093774</v>
      </c>
      <c r="Z988" s="49"/>
      <c r="AA988" s="24"/>
    </row>
    <row r="989" spans="1:27" s="13" customFormat="1" hidden="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29.6</v>
      </c>
      <c r="V989" s="16">
        <f>IF(ISNA(VLOOKUP(LOWER(F989)&amp;H989,Prices!A:C,2,0)),0,VLOOKUP(LOWER(F989)&amp;H989,Prices!A:C,2,0))</f>
        <v>30.47</v>
      </c>
      <c r="W989" s="49">
        <f t="shared" si="564"/>
        <v>-8417.0800000000017</v>
      </c>
      <c r="X989" s="24">
        <f t="shared" si="565"/>
        <v>-869.9999999999975</v>
      </c>
      <c r="Y989" s="43">
        <f t="shared" si="566"/>
        <v>-0.38120833333333343</v>
      </c>
      <c r="Z989" s="49"/>
      <c r="AA989" s="24"/>
    </row>
    <row r="990" spans="1:27" s="13" customFormat="1" hidden="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18.11</v>
      </c>
      <c r="V990" s="16">
        <f>IF(ISNA(VLOOKUP(LOWER(F990)&amp;H990,Prices!A:C,2,0)),0,VLOOKUP(LOWER(F990)&amp;H990,Prices!A:C,2,0))</f>
        <v>18.18</v>
      </c>
      <c r="W990" s="49">
        <f t="shared" si="564"/>
        <v>-958.14999999999986</v>
      </c>
      <c r="X990" s="24">
        <f t="shared" si="565"/>
        <v>-35.000000000000142</v>
      </c>
      <c r="Y990" s="43">
        <f t="shared" si="566"/>
        <v>-0.11763658686310619</v>
      </c>
      <c r="Z990" s="49"/>
      <c r="AA990" s="24"/>
    </row>
    <row r="991" spans="1:27" s="13" customFormat="1" hidden="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22.1</v>
      </c>
      <c r="V991" s="16">
        <f>IF(ISNA(VLOOKUP(LOWER(F991)&amp;H991,Prices!A:C,2,0)),0,VLOOKUP(LOWER(F991)&amp;H991,Prices!A:C,2,0))</f>
        <v>21.88</v>
      </c>
      <c r="W991" s="49">
        <f t="shared" si="564"/>
        <v>5034.0000000000009</v>
      </c>
      <c r="X991" s="24">
        <f t="shared" si="565"/>
        <v>110.00000000000121</v>
      </c>
      <c r="Y991" s="43">
        <f t="shared" si="566"/>
        <v>0.31472335104720228</v>
      </c>
      <c r="Z991" s="49"/>
      <c r="AA991" s="24"/>
    </row>
    <row r="992" spans="1:27" s="13" customFormat="1" hidden="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9.69</v>
      </c>
      <c r="V992" s="16">
        <f>IF(ISNA(VLOOKUP(LOWER(F992)&amp;H992,Prices!A:C,2,0)),0,VLOOKUP(LOWER(F992)&amp;H992,Prices!A:C,2,0))</f>
        <v>9.4499999999999993</v>
      </c>
      <c r="W992" s="49">
        <f t="shared" si="564"/>
        <v>-124.70219999999976</v>
      </c>
      <c r="X992" s="24">
        <f t="shared" si="565"/>
        <v>120.00000000000011</v>
      </c>
      <c r="Y992" s="43">
        <f t="shared" si="566"/>
        <v>-2.7050368763557431E-2</v>
      </c>
      <c r="Z992" s="49"/>
      <c r="AA992" s="24"/>
    </row>
    <row r="993" spans="1:27" s="13" customFormat="1" hidden="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41.3</v>
      </c>
      <c r="V993" s="16">
        <f>IF(ISNA(VLOOKUP(LOWER(F993)&amp;H993,Prices!A:C,2,0)),0,VLOOKUP(LOWER(F993)&amp;H993,Prices!A:C,2,0))</f>
        <v>42.53</v>
      </c>
      <c r="W993" s="49">
        <f t="shared" si="564"/>
        <v>-3221.5499999999997</v>
      </c>
      <c r="X993" s="24">
        <f t="shared" si="565"/>
        <v>-369.00000000000119</v>
      </c>
      <c r="Y993" s="43">
        <f t="shared" si="566"/>
        <v>-0.33726444723618088</v>
      </c>
      <c r="Z993" s="49"/>
      <c r="AA993" s="24"/>
    </row>
    <row r="994" spans="1:27" s="13" customFormat="1" hidden="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22.1</v>
      </c>
      <c r="V994" s="16">
        <f>IF(ISNA(VLOOKUP(LOWER(F994)&amp;H994,Prices!A:C,2,0)),0,VLOOKUP(LOWER(F994)&amp;H994,Prices!A:C,2,0))</f>
        <v>21.88</v>
      </c>
      <c r="W994" s="49">
        <f t="shared" si="564"/>
        <v>5048.9900000000016</v>
      </c>
      <c r="X994" s="24">
        <f t="shared" si="565"/>
        <v>110.00000000000121</v>
      </c>
      <c r="Y994" s="43">
        <f t="shared" si="566"/>
        <v>0.31536477201748914</v>
      </c>
      <c r="Z994" s="49"/>
      <c r="AA994" s="24"/>
    </row>
    <row r="995" spans="1:27" s="13" customFormat="1" hidden="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41.3</v>
      </c>
      <c r="V995" s="16">
        <f>IF(ISNA(VLOOKUP(LOWER(F995)&amp;H995,Prices!A:C,2,0)),0,VLOOKUP(LOWER(F995)&amp;H995,Prices!A:C,2,0))</f>
        <v>42.53</v>
      </c>
      <c r="W995" s="49">
        <f t="shared" si="564"/>
        <v>-5330.9599999999991</v>
      </c>
      <c r="X995" s="24">
        <f t="shared" si="565"/>
        <v>-615.00000000000205</v>
      </c>
      <c r="Y995" s="43">
        <f t="shared" si="566"/>
        <v>-0.33412472579128794</v>
      </c>
      <c r="Z995" s="49"/>
      <c r="AA995" s="24"/>
    </row>
    <row r="996" spans="1:27" s="13" customFormat="1" hidden="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hidden="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32.14</v>
      </c>
      <c r="V997" s="16">
        <f>IF(ISNA(VLOOKUP(LOWER(F997)&amp;H997,Prices!A:C,2,0)),0,VLOOKUP(LOWER(F997)&amp;H997,Prices!A:C,2,0))</f>
        <v>32.14</v>
      </c>
      <c r="W997" s="49">
        <f t="shared" si="564"/>
        <v>-1909.4636000000005</v>
      </c>
      <c r="X997" s="24">
        <f t="shared" si="565"/>
        <v>0</v>
      </c>
      <c r="Y997" s="43">
        <f t="shared" si="566"/>
        <v>-0.13465892806770102</v>
      </c>
      <c r="Z997" s="49"/>
      <c r="AA997" s="24"/>
    </row>
    <row r="998" spans="1:27" s="13" customFormat="1" hidden="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59.95</v>
      </c>
      <c r="V998" s="16">
        <f>IF(ISNA(VLOOKUP(LOWER(F998)&amp;H998,Prices!A:C,2,0)),0,VLOOKUP(LOWER(F998)&amp;H998,Prices!A:C,2,0))</f>
        <v>59.2</v>
      </c>
      <c r="W998" s="49">
        <f t="shared" si="564"/>
        <v>-7061.6399999999994</v>
      </c>
      <c r="X998" s="24">
        <f t="shared" si="565"/>
        <v>300</v>
      </c>
      <c r="Y998" s="43">
        <f t="shared" si="566"/>
        <v>-0.4243774038461538</v>
      </c>
      <c r="Z998" s="49"/>
      <c r="AA998" s="24"/>
    </row>
    <row r="999" spans="1:27" s="13" customFormat="1" hidden="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32.14</v>
      </c>
      <c r="V999" s="16">
        <f>IF(ISNA(VLOOKUP(LOWER(F999)&amp;H999,Prices!A:C,2,0)),0,VLOOKUP(LOWER(F999)&amp;H999,Prices!A:C,2,0))</f>
        <v>32.14</v>
      </c>
      <c r="W999" s="49">
        <f t="shared" si="564"/>
        <v>-1144.68022</v>
      </c>
      <c r="X999" s="24">
        <f t="shared" si="565"/>
        <v>0</v>
      </c>
      <c r="Y999" s="43">
        <f t="shared" si="566"/>
        <v>-0.13449420984608154</v>
      </c>
      <c r="Z999" s="49"/>
      <c r="AA999" s="24"/>
    </row>
    <row r="1000" spans="1:27" s="13" customFormat="1" hidden="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22.1</v>
      </c>
      <c r="V1000" s="16">
        <f>IF(ISNA(VLOOKUP(LOWER(F1000)&amp;H1000,Prices!A:C,2,0)),0,VLOOKUP(LOWER(F1000)&amp;H1000,Prices!A:C,2,0))</f>
        <v>21.88</v>
      </c>
      <c r="W1000" s="49">
        <f t="shared" si="564"/>
        <v>6089.7599999999975</v>
      </c>
      <c r="X1000" s="24">
        <f t="shared" si="565"/>
        <v>132.00000000000145</v>
      </c>
      <c r="Y1000" s="43">
        <f t="shared" si="566"/>
        <v>0.31648269410664159</v>
      </c>
      <c r="Z1000" s="49"/>
      <c r="AA1000" s="24"/>
    </row>
    <row r="1001" spans="1:27" s="13" customFormat="1" hidden="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41.3</v>
      </c>
      <c r="V1001" s="16">
        <f>IF(ISNA(VLOOKUP(LOWER(F1001)&amp;H1001,Prices!A:C,2,0)),0,VLOOKUP(LOWER(F1001)&amp;H1001,Prices!A:C,2,0))</f>
        <v>42.53</v>
      </c>
      <c r="W1001" s="49">
        <f t="shared" si="564"/>
        <v>-2145.37</v>
      </c>
      <c r="X1001" s="24">
        <f t="shared" si="565"/>
        <v>-246.0000000000008</v>
      </c>
      <c r="Y1001" s="43">
        <f t="shared" si="566"/>
        <v>-0.33668706842435653</v>
      </c>
      <c r="Z1001" s="49"/>
      <c r="AA1001" s="24"/>
    </row>
    <row r="1002" spans="1:27" s="13" customFormat="1" hidden="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101.5</v>
      </c>
      <c r="V1002" s="16">
        <f>IF(ISNA(VLOOKUP(LOWER(F1002)&amp;H1002,Prices!A:C,2,0)),0,VLOOKUP(LOWER(F1002)&amp;H1002,Prices!A:C,2,0))</f>
        <v>101.32</v>
      </c>
      <c r="W1002" s="49">
        <f t="shared" si="564"/>
        <v>-3248.0400000000004</v>
      </c>
      <c r="X1002" s="24">
        <f t="shared" si="565"/>
        <v>36.000000000001364</v>
      </c>
      <c r="Y1002" s="43">
        <f t="shared" si="566"/>
        <v>-0.19063505106233128</v>
      </c>
      <c r="Z1002" s="49"/>
      <c r="AA1002" s="24"/>
    </row>
    <row r="1003" spans="1:27" s="13" customFormat="1" hidden="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41.3</v>
      </c>
      <c r="V1003" s="16">
        <f>IF(ISNA(VLOOKUP(LOWER(F1003)&amp;H1003,Prices!A:C,2,0)),0,VLOOKUP(LOWER(F1003)&amp;H1003,Prices!A:C,2,0))</f>
        <v>42.53</v>
      </c>
      <c r="W1003" s="49">
        <f t="shared" si="564"/>
        <v>-2137.38</v>
      </c>
      <c r="X1003" s="24">
        <f t="shared" si="565"/>
        <v>-246.0000000000008</v>
      </c>
      <c r="Y1003" s="43">
        <f t="shared" si="566"/>
        <v>-0.335012539184953</v>
      </c>
      <c r="Z1003" s="49"/>
      <c r="AA1003" s="24"/>
    </row>
    <row r="1004" spans="1:27" s="13" customFormat="1" hidden="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24.46</v>
      </c>
      <c r="V1004" s="16">
        <f>IF(ISNA(VLOOKUP(LOWER(F1004)&amp;H1004,Prices!A:C,2,0)),0,VLOOKUP(LOWER(F1004)&amp;H1004,Prices!A:C,2,0))</f>
        <v>24.81</v>
      </c>
      <c r="W1004" s="49">
        <f t="shared" ref="W1004:W1040" si="575">IF(I1004="B",(V1004+T1004)*K1004,(V1004+T1004)*K1004)</f>
        <v>336.90759999999926</v>
      </c>
      <c r="X1004" s="24">
        <f t="shared" ref="X1004:X1040" si="576">K1004*(V1004-U1004)</f>
        <v>69.999999999999574</v>
      </c>
      <c r="Y1004" s="43">
        <f t="shared" ref="Y1004:Y1040" si="577">W1004/O1004</f>
        <v>7.2923722943722791E-2</v>
      </c>
      <c r="Z1004" s="49"/>
      <c r="AA1004" s="24"/>
    </row>
    <row r="1005" spans="1:27" s="13" customFormat="1" hidden="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52.6</v>
      </c>
      <c r="V1005" s="16">
        <f>IF(ISNA(VLOOKUP(LOWER(F1005)&amp;H1005,Prices!A:C,2,0)),0,VLOOKUP(LOWER(F1005)&amp;H1005,Prices!A:C,2,0))</f>
        <v>53.4</v>
      </c>
      <c r="W1005" s="49">
        <f t="shared" si="575"/>
        <v>-8126.2499999999991</v>
      </c>
      <c r="X1005" s="24">
        <f t="shared" si="576"/>
        <v>-319.99999999999886</v>
      </c>
      <c r="Y1005" s="43">
        <f t="shared" si="577"/>
        <v>-0.61320932689405361</v>
      </c>
      <c r="Z1005" s="49"/>
      <c r="AA1005" s="24"/>
    </row>
    <row r="1006" spans="1:27" s="13" customFormat="1" hidden="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22.65</v>
      </c>
      <c r="V1006" s="16">
        <f>IF(ISNA(VLOOKUP(LOWER(F1006)&amp;H1006,Prices!A:C,2,0)),0,VLOOKUP(LOWER(F1006)&amp;H1006,Prices!A:C,2,0))</f>
        <v>22.56</v>
      </c>
      <c r="W1006" s="49">
        <f t="shared" si="575"/>
        <v>6068.8916999999965</v>
      </c>
      <c r="X1006" s="24">
        <f t="shared" si="576"/>
        <v>-134.99999999999977</v>
      </c>
      <c r="Y1006" s="43">
        <f t="shared" si="577"/>
        <v>0.21858064829821702</v>
      </c>
      <c r="Z1006" s="49"/>
      <c r="AA1006" s="24"/>
    </row>
    <row r="1007" spans="1:27" s="13" customFormat="1" hidden="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67.11</v>
      </c>
      <c r="V1007" s="16">
        <f>IF(ISNA(VLOOKUP(LOWER(F1007)&amp;H1007,Prices!A:C,2,0)),0,VLOOKUP(LOWER(F1007)&amp;H1007,Prices!A:C,2,0))</f>
        <v>68.489999999999995</v>
      </c>
      <c r="W1007" s="49">
        <f t="shared" si="575"/>
        <v>52563.119999999981</v>
      </c>
      <c r="X1007" s="24">
        <f t="shared" si="576"/>
        <v>2759.9999999999909</v>
      </c>
      <c r="Y1007" s="43">
        <f t="shared" si="577"/>
        <v>0.62278578199052115</v>
      </c>
      <c r="Z1007" s="49"/>
      <c r="AA1007" s="24"/>
    </row>
    <row r="1008" spans="1:27" s="13" customFormat="1" hidden="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23.9</v>
      </c>
      <c r="V1008" s="16">
        <f>IF(ISNA(VLOOKUP(LOWER(F1008)&amp;H1008,Prices!A:C,2,0)),0,VLOOKUP(LOWER(F1008)&amp;H1008,Prices!A:C,2,0))</f>
        <v>24.41</v>
      </c>
      <c r="W1008" s="49">
        <f t="shared" si="575"/>
        <v>-13397.559999999996</v>
      </c>
      <c r="X1008" s="24">
        <f t="shared" si="576"/>
        <v>510.00000000000159</v>
      </c>
      <c r="Y1008" s="43">
        <f t="shared" si="577"/>
        <v>-0.3544328042328041</v>
      </c>
      <c r="Z1008" s="49"/>
      <c r="AA1008" s="24"/>
    </row>
    <row r="1009" spans="1:27" s="13" customFormat="1" hidden="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112.98</v>
      </c>
      <c r="V1009" s="16">
        <f>IF(ISNA(VLOOKUP(LOWER(F1009)&amp;H1009,Prices!A:C,2,0)),0,VLOOKUP(LOWER(F1009)&amp;H1009,Prices!A:C,2,0))</f>
        <v>115.9</v>
      </c>
      <c r="W1009" s="49">
        <f t="shared" si="575"/>
        <v>11653.06</v>
      </c>
      <c r="X1009" s="24">
        <f t="shared" si="576"/>
        <v>1168.0000000000007</v>
      </c>
      <c r="Y1009" s="43">
        <f t="shared" si="577"/>
        <v>0.3358230547550432</v>
      </c>
      <c r="Z1009" s="49"/>
      <c r="AA1009" s="24"/>
    </row>
    <row r="1010" spans="1:27" s="13" customFormat="1" hidden="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4.71</v>
      </c>
      <c r="V1010" s="16">
        <f>IF(ISNA(VLOOKUP(LOWER(F1010)&amp;H1010,Prices!A:C,2,0)),0,VLOOKUP(LOWER(F1010)&amp;H1010,Prices!A:C,2,0))</f>
        <v>4.68</v>
      </c>
      <c r="W1010" s="49">
        <f t="shared" si="575"/>
        <v>-7987.2120000000014</v>
      </c>
      <c r="X1010" s="24">
        <f t="shared" si="576"/>
        <v>-180.00000000000148</v>
      </c>
      <c r="Y1010" s="43">
        <f t="shared" si="577"/>
        <v>-0.22149783693843597</v>
      </c>
      <c r="Z1010" s="49"/>
      <c r="AA1010" s="24"/>
    </row>
    <row r="1011" spans="1:27" s="13" customFormat="1" hidden="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24.46</v>
      </c>
      <c r="V1011" s="16">
        <f>IF(ISNA(VLOOKUP(LOWER(F1011)&amp;H1011,Prices!A:C,2,0)),0,VLOOKUP(LOWER(F1011)&amp;H1011,Prices!A:C,2,0))</f>
        <v>24.81</v>
      </c>
      <c r="W1011" s="49">
        <f t="shared" si="575"/>
        <v>3289.8095999999982</v>
      </c>
      <c r="X1011" s="24">
        <f t="shared" si="576"/>
        <v>699.99999999999568</v>
      </c>
      <c r="Y1011" s="43">
        <f t="shared" si="577"/>
        <v>7.102352331606214E-2</v>
      </c>
      <c r="Z1011" s="49"/>
      <c r="AA1011" s="24"/>
    </row>
    <row r="1012" spans="1:27" s="13" customFormat="1" hidden="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43.91</v>
      </c>
      <c r="V1012" s="16">
        <f>IF(ISNA(VLOOKUP(LOWER(F1012)&amp;H1012,Prices!A:C,2,0)),0,VLOOKUP(LOWER(F1012)&amp;H1012,Prices!A:C,2,0))</f>
        <v>43.81</v>
      </c>
      <c r="W1012" s="49">
        <f t="shared" si="575"/>
        <v>23915.806200000003</v>
      </c>
      <c r="X1012" s="24">
        <f t="shared" si="576"/>
        <v>-149.99999999999147</v>
      </c>
      <c r="Y1012" s="43">
        <f t="shared" si="577"/>
        <v>0.57228538406317309</v>
      </c>
      <c r="Z1012" s="49"/>
      <c r="AA1012" s="24"/>
    </row>
    <row r="1013" spans="1:27" s="13" customFormat="1" hidden="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52.6</v>
      </c>
      <c r="V1013" s="16">
        <f>IF(ISNA(VLOOKUP(LOWER(F1013)&amp;H1013,Prices!A:C,2,0)),0,VLOOKUP(LOWER(F1013)&amp;H1013,Prices!A:C,2,0))</f>
        <v>53.4</v>
      </c>
      <c r="W1013" s="49">
        <f t="shared" si="575"/>
        <v>40806.803999999996</v>
      </c>
      <c r="X1013" s="24">
        <f t="shared" si="576"/>
        <v>1599.9999999999943</v>
      </c>
      <c r="Y1013" s="43">
        <f t="shared" si="577"/>
        <v>0.61847232494695359</v>
      </c>
      <c r="Z1013" s="49"/>
      <c r="AA1013" s="24"/>
    </row>
    <row r="1014" spans="1:27" s="13" customFormat="1" hidden="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101.5</v>
      </c>
      <c r="V1014" s="16">
        <f>IF(ISNA(VLOOKUP(LOWER(F1014)&amp;H1014,Prices!A:C,2,0)),0,VLOOKUP(LOWER(F1014)&amp;H1014,Prices!A:C,2,0))</f>
        <v>101.32</v>
      </c>
      <c r="W1014" s="49">
        <f t="shared" si="575"/>
        <v>6473.1903999999986</v>
      </c>
      <c r="X1014" s="24">
        <f t="shared" si="576"/>
        <v>-72.000000000002728</v>
      </c>
      <c r="Y1014" s="43">
        <f t="shared" si="577"/>
        <v>0.19011954887218041</v>
      </c>
      <c r="Z1014" s="49"/>
      <c r="AA1014" s="24"/>
    </row>
    <row r="1015" spans="1:27" s="13" customFormat="1" hidden="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41.3</v>
      </c>
      <c r="V1015" s="16">
        <f>IF(ISNA(VLOOKUP(LOWER(F1015)&amp;H1015,Prices!A:C,2,0)),0,VLOOKUP(LOWER(F1015)&amp;H1015,Prices!A:C,2,0))</f>
        <v>42.53</v>
      </c>
      <c r="W1015" s="49">
        <f t="shared" si="575"/>
        <v>10623.619999999999</v>
      </c>
      <c r="X1015" s="24">
        <f t="shared" si="576"/>
        <v>1230.0000000000041</v>
      </c>
      <c r="Y1015" s="43">
        <f t="shared" si="577"/>
        <v>0.3330288401253918</v>
      </c>
      <c r="Z1015" s="49"/>
      <c r="AA1015" s="24"/>
    </row>
    <row r="1016" spans="1:27" s="13" customFormat="1" hidden="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101.5</v>
      </c>
      <c r="V1016" s="16">
        <f>IF(ISNA(VLOOKUP(LOWER(F1016)&amp;H1016,Prices!A:C,2,0)),0,VLOOKUP(LOWER(F1016)&amp;H1016,Prices!A:C,2,0))</f>
        <v>101.32</v>
      </c>
      <c r="W1016" s="49">
        <f t="shared" si="575"/>
        <v>6473.1903999999986</v>
      </c>
      <c r="X1016" s="24">
        <f t="shared" si="576"/>
        <v>-72.000000000002728</v>
      </c>
      <c r="Y1016" s="43">
        <f t="shared" si="577"/>
        <v>0.19011954887218041</v>
      </c>
      <c r="Z1016" s="49"/>
      <c r="AA1016" s="24"/>
    </row>
    <row r="1017" spans="1:27" s="13" customFormat="1" hidden="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27.67</v>
      </c>
      <c r="V1017" s="16">
        <f>IF(ISNA(VLOOKUP(LOWER(F1017)&amp;H1017,Prices!A:C,2,0)),0,VLOOKUP(LOWER(F1017)&amp;H1017,Prices!A:C,2,0))</f>
        <v>27.51</v>
      </c>
      <c r="W1017" s="49">
        <f t="shared" si="575"/>
        <v>20717.64</v>
      </c>
      <c r="X1017" s="24">
        <f t="shared" si="576"/>
        <v>-480.00000000000045</v>
      </c>
      <c r="Y1017" s="43">
        <f t="shared" si="577"/>
        <v>0.33523689320388345</v>
      </c>
      <c r="Z1017" s="49"/>
      <c r="AA1017" s="24"/>
    </row>
    <row r="1018" spans="1:27" s="13" customFormat="1" hidden="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101.5</v>
      </c>
      <c r="V1018" s="16">
        <f>IF(ISNA(VLOOKUP(LOWER(F1018)&amp;H1018,Prices!A:C,2,0)),0,VLOOKUP(LOWER(F1018)&amp;H1018,Prices!A:C,2,0))</f>
        <v>101.32</v>
      </c>
      <c r="W1018" s="49">
        <f t="shared" si="575"/>
        <v>4854.8927999999987</v>
      </c>
      <c r="X1018" s="24">
        <f t="shared" si="576"/>
        <v>-54.000000000002046</v>
      </c>
      <c r="Y1018" s="43">
        <f t="shared" si="577"/>
        <v>0.19011954887218041</v>
      </c>
      <c r="Z1018" s="49"/>
      <c r="AA1018" s="24"/>
    </row>
    <row r="1019" spans="1:27" s="13" customFormat="1" hidden="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27.67</v>
      </c>
      <c r="V1019" s="16">
        <f>IF(ISNA(VLOOKUP(LOWER(F1019)&amp;H1019,Prices!A:C,2,0)),0,VLOOKUP(LOWER(F1019)&amp;H1019,Prices!A:C,2,0))</f>
        <v>27.51</v>
      </c>
      <c r="W1019" s="49">
        <f t="shared" si="575"/>
        <v>6815.0000000000009</v>
      </c>
      <c r="X1019" s="24">
        <f t="shared" si="576"/>
        <v>-160.00000000000014</v>
      </c>
      <c r="Y1019" s="43">
        <f t="shared" si="577"/>
        <v>0.32938617689705174</v>
      </c>
      <c r="Z1019" s="49"/>
      <c r="AA1019" s="24"/>
    </row>
    <row r="1020" spans="1:27" s="13" customFormat="1" hidden="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41.3</v>
      </c>
      <c r="V1020" s="16">
        <f>IF(ISNA(VLOOKUP(LOWER(F1020)&amp;H1020,Prices!A:C,2,0)),0,VLOOKUP(LOWER(F1020)&amp;H1020,Prices!A:C,2,0))</f>
        <v>42.53</v>
      </c>
      <c r="W1020" s="49">
        <f t="shared" si="575"/>
        <v>10633.621999999999</v>
      </c>
      <c r="X1020" s="24">
        <f t="shared" si="576"/>
        <v>1230.0000000000041</v>
      </c>
      <c r="Y1020" s="43">
        <f t="shared" si="577"/>
        <v>0.33344691125744746</v>
      </c>
      <c r="Z1020" s="49"/>
      <c r="AA1020" s="24"/>
    </row>
    <row r="1021" spans="1:27" s="13" customFormat="1" hidden="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52.6</v>
      </c>
      <c r="V1021" s="16">
        <f>IF(ISNA(VLOOKUP(LOWER(F1021)&amp;H1021,Prices!A:C,2,0)),0,VLOOKUP(LOWER(F1021)&amp;H1021,Prices!A:C,2,0))</f>
        <v>53.4</v>
      </c>
      <c r="W1021" s="49">
        <f t="shared" si="575"/>
        <v>-8022.3600000000006</v>
      </c>
      <c r="X1021" s="24">
        <f t="shared" si="576"/>
        <v>-319.99999999999886</v>
      </c>
      <c r="Y1021" s="43">
        <f t="shared" si="577"/>
        <v>-0.60065588499550771</v>
      </c>
      <c r="Z1021" s="49"/>
      <c r="AA1021" s="24"/>
    </row>
    <row r="1022" spans="1:27" s="13" customFormat="1" hidden="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27.59</v>
      </c>
      <c r="V1022" s="16">
        <f>IF(ISNA(VLOOKUP(LOWER(F1022)&amp;H1022,Prices!A:C,2,0)),0,VLOOKUP(LOWER(F1022)&amp;H1022,Prices!A:C,2,0))</f>
        <v>28.05</v>
      </c>
      <c r="W1022" s="49">
        <f t="shared" si="575"/>
        <v>-3282.84132</v>
      </c>
      <c r="X1022" s="24">
        <f t="shared" si="576"/>
        <v>-276.00000000000051</v>
      </c>
      <c r="Y1022" s="43">
        <f t="shared" si="577"/>
        <v>-0.2419903670942061</v>
      </c>
      <c r="Z1022" s="49"/>
      <c r="AA1022" s="24"/>
    </row>
    <row r="1023" spans="1:27" s="13" customFormat="1" hidden="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30.26</v>
      </c>
      <c r="V1023" s="16">
        <f>IF(ISNA(VLOOKUP(LOWER(F1023)&amp;H1023,Prices!A:C,2,0)),0,VLOOKUP(LOWER(F1023)&amp;H1023,Prices!A:C,2,0))</f>
        <v>29.81</v>
      </c>
      <c r="W1023" s="49">
        <f t="shared" si="575"/>
        <v>3928.7883999999985</v>
      </c>
      <c r="X1023" s="24">
        <f t="shared" si="576"/>
        <v>450.00000000000284</v>
      </c>
      <c r="Y1023" s="43">
        <f t="shared" si="577"/>
        <v>0.11630516281823559</v>
      </c>
      <c r="Z1023" s="49"/>
      <c r="AA1023" s="24"/>
    </row>
    <row r="1024" spans="1:27" s="13" customFormat="1" hidden="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52.6</v>
      </c>
      <c r="V1024" s="16">
        <f>IF(ISNA(VLOOKUP(LOWER(F1024)&amp;H1024,Prices!A:C,2,0)),0,VLOOKUP(LOWER(F1024)&amp;H1024,Prices!A:C,2,0))</f>
        <v>53.4</v>
      </c>
      <c r="W1024" s="49">
        <f t="shared" si="575"/>
        <v>-30344.782999999999</v>
      </c>
      <c r="X1024" s="24">
        <f t="shared" si="576"/>
        <v>-1199.9999999999957</v>
      </c>
      <c r="Y1024" s="43">
        <f t="shared" si="577"/>
        <v>-0.6091495131988357</v>
      </c>
      <c r="Z1024" s="49"/>
      <c r="AA1024" s="24"/>
    </row>
    <row r="1025" spans="1:27" s="13" customFormat="1" hidden="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41.3</v>
      </c>
      <c r="V1025" s="16">
        <f>IF(ISNA(VLOOKUP(LOWER(F1025)&amp;H1025,Prices!A:C,2,0)),0,VLOOKUP(LOWER(F1025)&amp;H1025,Prices!A:C,2,0))</f>
        <v>42.53</v>
      </c>
      <c r="W1025" s="49">
        <f t="shared" si="575"/>
        <v>-2957.82</v>
      </c>
      <c r="X1025" s="24">
        <f t="shared" si="576"/>
        <v>-369.00000000000119</v>
      </c>
      <c r="Y1025" s="43">
        <f t="shared" si="577"/>
        <v>-0.30132640586797066</v>
      </c>
      <c r="Z1025" s="49"/>
      <c r="AA1025" s="24"/>
    </row>
    <row r="1026" spans="1:27" s="13" customFormat="1" hidden="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29.6</v>
      </c>
      <c r="V1026" s="16">
        <f>IF(ISNA(VLOOKUP(LOWER(F1026)&amp;H1026,Prices!A:C,2,0)),0,VLOOKUP(LOWER(F1026)&amp;H1026,Prices!A:C,2,0))</f>
        <v>30.47</v>
      </c>
      <c r="W1026" s="49">
        <f t="shared" si="575"/>
        <v>-7315.1299999999992</v>
      </c>
      <c r="X1026" s="24">
        <f t="shared" si="576"/>
        <v>-782.99999999999773</v>
      </c>
      <c r="Y1026" s="43">
        <f t="shared" si="577"/>
        <v>-0.36334028709084581</v>
      </c>
      <c r="Z1026" s="49"/>
      <c r="AA1026" s="24"/>
    </row>
    <row r="1027" spans="1:27" s="13" customFormat="1" hidden="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18.11</v>
      </c>
      <c r="V1027" s="16">
        <f>IF(ISNA(VLOOKUP(LOWER(F1027)&amp;H1027,Prices!A:C,2,0)),0,VLOOKUP(LOWER(F1027)&amp;H1027,Prices!A:C,2,0))</f>
        <v>18.18</v>
      </c>
      <c r="W1027" s="49">
        <f t="shared" si="575"/>
        <v>-1702.8237999999969</v>
      </c>
      <c r="X1027" s="24">
        <f t="shared" si="576"/>
        <v>-147.0000000000006</v>
      </c>
      <c r="Y1027" s="43">
        <f t="shared" si="577"/>
        <v>-4.662843451354081E-2</v>
      </c>
      <c r="Z1027" s="49"/>
      <c r="AA1027" s="24"/>
    </row>
    <row r="1028" spans="1:27" s="13" customFormat="1" hidden="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22.1</v>
      </c>
      <c r="V1028" s="16">
        <f>IF(ISNA(VLOOKUP(LOWER(F1028)&amp;H1028,Prices!A:C,2,0)),0,VLOOKUP(LOWER(F1028)&amp;H1028,Prices!A:C,2,0))</f>
        <v>21.88</v>
      </c>
      <c r="W1028" s="49">
        <f t="shared" si="575"/>
        <v>4142.09</v>
      </c>
      <c r="X1028" s="24">
        <f t="shared" si="576"/>
        <v>88.000000000000966</v>
      </c>
      <c r="Y1028" s="43">
        <f t="shared" si="577"/>
        <v>0.32079383519206939</v>
      </c>
      <c r="Z1028" s="49"/>
      <c r="AA1028" s="24"/>
    </row>
    <row r="1029" spans="1:27" s="13" customFormat="1" hidden="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101.5</v>
      </c>
      <c r="V1029" s="16">
        <f>IF(ISNA(VLOOKUP(LOWER(F1029)&amp;H1029,Prices!A:C,2,0)),0,VLOOKUP(LOWER(F1029)&amp;H1029,Prices!A:C,2,0))</f>
        <v>101.32</v>
      </c>
      <c r="W1029" s="49">
        <f t="shared" si="575"/>
        <v>-4336.3081999999977</v>
      </c>
      <c r="X1029" s="24">
        <f t="shared" si="576"/>
        <v>54.000000000002046</v>
      </c>
      <c r="Y1029" s="43">
        <f t="shared" si="577"/>
        <v>-0.1661993867617185</v>
      </c>
      <c r="Z1029" s="49"/>
      <c r="AA1029" s="24"/>
    </row>
    <row r="1030" spans="1:27" s="13" customFormat="1" hidden="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8.32</v>
      </c>
      <c r="V1030" s="16">
        <f>IF(ISNA(VLOOKUP(LOWER(F1030)&amp;H1030,Prices!A:C,2,0)),0,VLOOKUP(LOWER(F1030)&amp;H1030,Prices!A:C,2,0))</f>
        <v>8.35</v>
      </c>
      <c r="W1030" s="49">
        <f t="shared" si="575"/>
        <v>-575.93871999999919</v>
      </c>
      <c r="X1030" s="24">
        <f t="shared" si="576"/>
        <v>-95.999999999997954</v>
      </c>
      <c r="Y1030" s="43">
        <f t="shared" si="577"/>
        <v>-2.2002548899755472E-2</v>
      </c>
      <c r="Z1030" s="49"/>
      <c r="AA1030" s="24"/>
    </row>
    <row r="1031" spans="1:27" s="13" customFormat="1" hidden="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27.59</v>
      </c>
      <c r="V1031" s="16">
        <f>IF(ISNA(VLOOKUP(LOWER(F1031)&amp;H1031,Prices!A:C,2,0)),0,VLOOKUP(LOWER(F1031)&amp;H1031,Prices!A:C,2,0))</f>
        <v>28.05</v>
      </c>
      <c r="W1031" s="49">
        <f t="shared" si="575"/>
        <v>-7250.6849999999986</v>
      </c>
      <c r="X1031" s="24">
        <f t="shared" si="576"/>
        <v>-598.00000000000114</v>
      </c>
      <c r="Y1031" s="43">
        <f t="shared" si="577"/>
        <v>-0.24788666666666662</v>
      </c>
      <c r="Z1031" s="49"/>
      <c r="AA1031" s="24"/>
    </row>
    <row r="1032" spans="1:27" s="13" customFormat="1" hidden="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29.6</v>
      </c>
      <c r="V1032" s="16">
        <f>IF(ISNA(VLOOKUP(LOWER(F1032)&amp;H1032,Prices!A:C,2,0)),0,VLOOKUP(LOWER(F1032)&amp;H1032,Prices!A:C,2,0))</f>
        <v>30.47</v>
      </c>
      <c r="W1032" s="49">
        <f t="shared" si="575"/>
        <v>-15877.483200000002</v>
      </c>
      <c r="X1032" s="24">
        <f t="shared" si="576"/>
        <v>-1652.9999999999952</v>
      </c>
      <c r="Y1032" s="43">
        <f t="shared" si="577"/>
        <v>-0.3774421908429611</v>
      </c>
      <c r="Z1032" s="49"/>
      <c r="AA1032" s="24"/>
    </row>
    <row r="1033" spans="1:27" s="13" customFormat="1" hidden="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52.6</v>
      </c>
      <c r="V1033" s="16">
        <f>IF(ISNA(VLOOKUP(LOWER(F1033)&amp;H1033,Prices!A:C,2,0)),0,VLOOKUP(LOWER(F1033)&amp;H1033,Prices!A:C,2,0))</f>
        <v>53.4</v>
      </c>
      <c r="W1033" s="49">
        <f t="shared" si="575"/>
        <v>-20399.647999999997</v>
      </c>
      <c r="X1033" s="24">
        <f t="shared" si="576"/>
        <v>-799.99999999999716</v>
      </c>
      <c r="Y1033" s="43">
        <f t="shared" si="577"/>
        <v>-0.61742276029055687</v>
      </c>
      <c r="Z1033" s="49"/>
      <c r="AA1033" s="24"/>
    </row>
    <row r="1034" spans="1:27" s="13" customFormat="1" hidden="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18.11</v>
      </c>
      <c r="V1034" s="16">
        <f>IF(ISNA(VLOOKUP(LOWER(F1034)&amp;H1034,Prices!A:C,2,0)),0,VLOOKUP(LOWER(F1034)&amp;H1034,Prices!A:C,2,0))</f>
        <v>18.18</v>
      </c>
      <c r="W1034" s="49">
        <f t="shared" si="575"/>
        <v>-493.25000000000045</v>
      </c>
      <c r="X1034" s="24">
        <f t="shared" si="576"/>
        <v>-49.000000000000199</v>
      </c>
      <c r="Y1034" s="43">
        <f t="shared" si="577"/>
        <v>-4.0265306122449017E-2</v>
      </c>
      <c r="Z1034" s="49"/>
      <c r="AA1034" s="24"/>
    </row>
    <row r="1035" spans="1:27" s="13" customFormat="1" hidden="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71.150000000000006</v>
      </c>
      <c r="V1035" s="16">
        <f>IF(ISNA(VLOOKUP(LOWER(F1035)&amp;H1035,Prices!A:C,2,0)),0,VLOOKUP(LOWER(F1035)&amp;H1035,Prices!A:C,2,0))</f>
        <v>74.599999999999994</v>
      </c>
      <c r="W1035" s="49">
        <f t="shared" si="575"/>
        <v>-15806.519999999999</v>
      </c>
      <c r="X1035" s="24">
        <f t="shared" si="576"/>
        <v>-1724.9999999999943</v>
      </c>
      <c r="Y1035" s="43">
        <f t="shared" si="577"/>
        <v>-0.73450371747211884</v>
      </c>
      <c r="Z1035" s="49"/>
      <c r="AA1035" s="24"/>
    </row>
    <row r="1036" spans="1:27" s="13" customFormat="1" hidden="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27.67</v>
      </c>
      <c r="V1036" s="16">
        <f>IF(ISNA(VLOOKUP(LOWER(F1036)&amp;H1036,Prices!A:C,2,0)),0,VLOOKUP(LOWER(F1036)&amp;H1036,Prices!A:C,2,0))</f>
        <v>27.51</v>
      </c>
      <c r="W1036" s="49">
        <f t="shared" si="575"/>
        <v>-3340.4300000000012</v>
      </c>
      <c r="X1036" s="24">
        <f t="shared" si="576"/>
        <v>80.000000000000071</v>
      </c>
      <c r="Y1036" s="43">
        <f t="shared" si="577"/>
        <v>-0.32027133269415159</v>
      </c>
      <c r="Z1036" s="49"/>
      <c r="AA1036" s="24"/>
    </row>
    <row r="1037" spans="1:27" s="13" customFormat="1" hidden="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41.3</v>
      </c>
      <c r="V1037" s="16">
        <f>IF(ISNA(VLOOKUP(LOWER(F1037)&amp;H1037,Prices!A:C,2,0)),0,VLOOKUP(LOWER(F1037)&amp;H1037,Prices!A:C,2,0))</f>
        <v>42.53</v>
      </c>
      <c r="W1037" s="49">
        <f t="shared" si="575"/>
        <v>-4002.030000000002</v>
      </c>
      <c r="X1037" s="24">
        <f t="shared" si="576"/>
        <v>-492.00000000000159</v>
      </c>
      <c r="Y1037" s="43">
        <f t="shared" si="577"/>
        <v>-0.30718682836966549</v>
      </c>
      <c r="Z1037" s="49"/>
      <c r="AA1037" s="24"/>
    </row>
    <row r="1038" spans="1:27" s="13" customFormat="1" hidden="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18.11</v>
      </c>
      <c r="V1038" s="16">
        <f>IF(ISNA(VLOOKUP(LOWER(F1038)&amp;H1038,Prices!A:C,2,0)),0,VLOOKUP(LOWER(F1038)&amp;H1038,Prices!A:C,2,0))</f>
        <v>18.18</v>
      </c>
      <c r="W1038" s="49">
        <f t="shared" si="575"/>
        <v>-1952.2599999999902</v>
      </c>
      <c r="X1038" s="24">
        <f t="shared" si="576"/>
        <v>-175.00000000000071</v>
      </c>
      <c r="Y1038" s="43">
        <f t="shared" si="577"/>
        <v>-4.4828013777267278E-2</v>
      </c>
      <c r="Z1038" s="49"/>
      <c r="AA1038" s="24"/>
    </row>
    <row r="1039" spans="1:27" s="13" customFormat="1" hidden="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9.69</v>
      </c>
      <c r="V1039" s="16">
        <f>IF(ISNA(VLOOKUP(LOWER(F1039)&amp;H1039,Prices!A:C,2,0)),0,VLOOKUP(LOWER(F1039)&amp;H1039,Prices!A:C,2,0))</f>
        <v>9.4499999999999993</v>
      </c>
      <c r="W1039" s="49">
        <f t="shared" si="575"/>
        <v>362.64885000000379</v>
      </c>
      <c r="X1039" s="24">
        <f t="shared" si="576"/>
        <v>360.00000000000034</v>
      </c>
      <c r="Y1039" s="43">
        <f t="shared" si="577"/>
        <v>2.4911478619268679E-2</v>
      </c>
      <c r="Z1039" s="49"/>
      <c r="AA1039" s="24"/>
    </row>
    <row r="1040" spans="1:27" s="13" customFormat="1" hidden="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20.79</v>
      </c>
      <c r="V1040" s="16">
        <f>IF(ISNA(VLOOKUP(LOWER(F1040)&amp;H1040,Prices!A:C,2,0)),0,VLOOKUP(LOWER(F1040)&amp;H1040,Prices!A:C,2,0))</f>
        <v>20.27</v>
      </c>
      <c r="W1040" s="49">
        <f t="shared" si="575"/>
        <v>-1363.7899999999997</v>
      </c>
      <c r="X1040" s="24">
        <f t="shared" si="576"/>
        <v>259.99999999999977</v>
      </c>
      <c r="Y1040" s="43">
        <f t="shared" si="577"/>
        <v>-0.15524075128059189</v>
      </c>
      <c r="Z1040" s="49"/>
      <c r="AA1040" s="24"/>
    </row>
    <row r="1041" spans="1:27" s="13" customFormat="1" hidden="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27.67</v>
      </c>
      <c r="V1041" s="16">
        <f>IF(ISNA(VLOOKUP(LOWER(F1041)&amp;H1041,Prices!A:C,2,0)),0,VLOOKUP(LOWER(F1041)&amp;H1041,Prices!A:C,2,0))</f>
        <v>27.51</v>
      </c>
      <c r="W1041" s="49">
        <f t="shared" ref="W1041:W1090" si="586">IF(I1041="B",(V1041+T1041)*K1041,(V1041+T1041)*K1041)</f>
        <v>-17236.919999999998</v>
      </c>
      <c r="X1041" s="24">
        <f t="shared" ref="X1041:X1090" si="587">K1041*(V1041-U1041)</f>
        <v>400.00000000000034</v>
      </c>
      <c r="Y1041" s="43">
        <f t="shared" ref="Y1041:Y1090" si="588">W1041/O1041</f>
        <v>-0.33404883720930229</v>
      </c>
      <c r="Z1041" s="49"/>
      <c r="AA1041" s="24"/>
    </row>
    <row r="1042" spans="1:27" s="13" customFormat="1" hidden="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20.79</v>
      </c>
      <c r="V1042" s="16">
        <f>IF(ISNA(VLOOKUP(LOWER(F1042)&amp;H1042,Prices!A:C,2,0)),0,VLOOKUP(LOWER(F1042)&amp;H1042,Prices!A:C,2,0))</f>
        <v>20.27</v>
      </c>
      <c r="W1042" s="49">
        <f t="shared" si="586"/>
        <v>-1148.9999999999991</v>
      </c>
      <c r="X1042" s="24">
        <f t="shared" si="587"/>
        <v>259.99999999999977</v>
      </c>
      <c r="Y1042" s="43">
        <f t="shared" si="588"/>
        <v>-0.12766666666666657</v>
      </c>
      <c r="Z1042" s="49"/>
      <c r="AA1042" s="24"/>
    </row>
    <row r="1043" spans="1:27" s="13" customFormat="1" hidden="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52.6</v>
      </c>
      <c r="V1043" s="16">
        <f>IF(ISNA(VLOOKUP(LOWER(F1043)&amp;H1043,Prices!A:C,2,0)),0,VLOOKUP(LOWER(F1043)&amp;H1043,Prices!A:C,2,0))</f>
        <v>53.4</v>
      </c>
      <c r="W1043" s="49">
        <f t="shared" si="586"/>
        <v>-28251.872799999997</v>
      </c>
      <c r="X1043" s="24">
        <f t="shared" si="587"/>
        <v>-1119.9999999999959</v>
      </c>
      <c r="Y1043" s="43">
        <f t="shared" si="588"/>
        <v>-0.60673208487243357</v>
      </c>
      <c r="Z1043" s="49"/>
      <c r="AA1043" s="24"/>
    </row>
    <row r="1044" spans="1:27" s="13" customFormat="1" hidden="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41.3</v>
      </c>
      <c r="V1044" s="16">
        <f>IF(ISNA(VLOOKUP(LOWER(F1044)&amp;H1044,Prices!A:C,2,0)),0,VLOOKUP(LOWER(F1044)&amp;H1044,Prices!A:C,2,0))</f>
        <v>42.53</v>
      </c>
      <c r="W1044" s="49">
        <f t="shared" si="586"/>
        <v>-14865.67600000001</v>
      </c>
      <c r="X1044" s="24">
        <f t="shared" si="587"/>
        <v>-1722.0000000000055</v>
      </c>
      <c r="Y1044" s="43">
        <f t="shared" si="588"/>
        <v>-0.33234241001564968</v>
      </c>
      <c r="Z1044" s="49"/>
      <c r="AA1044" s="24"/>
    </row>
    <row r="1045" spans="1:27" s="13" customFormat="1" hidden="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71.150000000000006</v>
      </c>
      <c r="V1045" s="16">
        <f>IF(ISNA(VLOOKUP(LOWER(F1045)&amp;H1045,Prices!A:C,2,0)),0,VLOOKUP(LOWER(F1045)&amp;H1045,Prices!A:C,2,0))</f>
        <v>74.599999999999994</v>
      </c>
      <c r="W1045" s="49">
        <f t="shared" si="586"/>
        <v>-9428.9699999999993</v>
      </c>
      <c r="X1045" s="24">
        <f t="shared" si="587"/>
        <v>-1034.9999999999966</v>
      </c>
      <c r="Y1045" s="43">
        <f t="shared" si="588"/>
        <v>-0.72703909322229943</v>
      </c>
      <c r="Z1045" s="49"/>
      <c r="AA1045" s="24"/>
    </row>
    <row r="1046" spans="1:27" s="13" customFormat="1" hidden="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8.32</v>
      </c>
      <c r="V1046" s="16">
        <f>IF(ISNA(VLOOKUP(LOWER(F1046)&amp;H1046,Prices!A:C,2,0)),0,VLOOKUP(LOWER(F1046)&amp;H1046,Prices!A:C,2,0))</f>
        <v>8.35</v>
      </c>
      <c r="W1046" s="49">
        <f t="shared" si="586"/>
        <v>72.12769999999847</v>
      </c>
      <c r="X1046" s="24">
        <f t="shared" si="587"/>
        <v>-44.999999999999041</v>
      </c>
      <c r="Y1046" s="43">
        <f t="shared" si="588"/>
        <v>5.7176139516447455E-3</v>
      </c>
      <c r="Z1046" s="49"/>
      <c r="AA1046" s="24"/>
    </row>
    <row r="1047" spans="1:27" s="13" customFormat="1" hidden="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27.59</v>
      </c>
      <c r="V1047" s="16">
        <f>IF(ISNA(VLOOKUP(LOWER(F1047)&amp;H1047,Prices!A:C,2,0)),0,VLOOKUP(LOWER(F1047)&amp;H1047,Prices!A:C,2,0))</f>
        <v>28.05</v>
      </c>
      <c r="W1047" s="49">
        <f t="shared" si="586"/>
        <v>-1628.9359600000005</v>
      </c>
      <c r="X1047" s="24">
        <f t="shared" si="587"/>
        <v>-138.00000000000026</v>
      </c>
      <c r="Y1047" s="43">
        <f t="shared" si="588"/>
        <v>-0.23961988231832898</v>
      </c>
      <c r="Z1047" s="49"/>
      <c r="AA1047" s="24"/>
    </row>
    <row r="1048" spans="1:27" s="13" customFormat="1" hidden="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101.5</v>
      </c>
      <c r="V1048" s="16">
        <f>IF(ISNA(VLOOKUP(LOWER(F1048)&amp;H1048,Prices!A:C,2,0)),0,VLOOKUP(LOWER(F1048)&amp;H1048,Prices!A:C,2,0))</f>
        <v>101.32</v>
      </c>
      <c r="W1048" s="49">
        <f t="shared" si="586"/>
        <v>-11635.231999999996</v>
      </c>
      <c r="X1048" s="24">
        <f t="shared" si="587"/>
        <v>126.00000000000477</v>
      </c>
      <c r="Y1048" s="43">
        <f t="shared" si="588"/>
        <v>-0.19601132075471692</v>
      </c>
      <c r="Z1048" s="49"/>
      <c r="AA1048" s="24"/>
    </row>
    <row r="1049" spans="1:27" s="13" customFormat="1" hidden="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4.71</v>
      </c>
      <c r="V1049" s="16">
        <f>IF(ISNA(VLOOKUP(LOWER(F1049)&amp;H1049,Prices!A:C,2,0)),0,VLOOKUP(LOWER(F1049)&amp;H1049,Prices!A:C,2,0))</f>
        <v>4.68</v>
      </c>
      <c r="W1049" s="49">
        <f t="shared" si="586"/>
        <v>4086.849999999999</v>
      </c>
      <c r="X1049" s="24">
        <f t="shared" si="587"/>
        <v>90.000000000000739</v>
      </c>
      <c r="Y1049" s="43">
        <f t="shared" si="588"/>
        <v>0.22517079889807157</v>
      </c>
      <c r="Z1049" s="49"/>
      <c r="AA1049" s="24"/>
    </row>
    <row r="1050" spans="1:27" s="13" customFormat="1" hidden="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22.1</v>
      </c>
      <c r="V1050" s="16">
        <f>IF(ISNA(VLOOKUP(LOWER(F1050)&amp;H1050,Prices!A:C,2,0)),0,VLOOKUP(LOWER(F1050)&amp;H1050,Prices!A:C,2,0))</f>
        <v>21.88</v>
      </c>
      <c r="W1050" s="49">
        <f t="shared" si="586"/>
        <v>5428.6100000000006</v>
      </c>
      <c r="X1050" s="24">
        <f t="shared" si="587"/>
        <v>110.00000000000121</v>
      </c>
      <c r="Y1050" s="43">
        <f t="shared" si="588"/>
        <v>0.33121476510067116</v>
      </c>
      <c r="Z1050" s="49"/>
      <c r="AA1050" s="24"/>
    </row>
    <row r="1051" spans="1:27" s="13" customFormat="1" hidden="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112.98</v>
      </c>
      <c r="V1051" s="16">
        <f>IF(ISNA(VLOOKUP(LOWER(F1051)&amp;H1051,Prices!A:C,2,0)),0,VLOOKUP(LOWER(F1051)&amp;H1051,Prices!A:C,2,0))</f>
        <v>115.9</v>
      </c>
      <c r="W1051" s="49">
        <f t="shared" si="586"/>
        <v>-5708.4900000000034</v>
      </c>
      <c r="X1051" s="24">
        <f t="shared" si="587"/>
        <v>-584.00000000000034</v>
      </c>
      <c r="Y1051" s="43">
        <f t="shared" si="588"/>
        <v>-0.32631130673373748</v>
      </c>
      <c r="Z1051" s="49"/>
      <c r="AA1051" s="24"/>
    </row>
    <row r="1052" spans="1:27" s="13" customFormat="1" hidden="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22.65</v>
      </c>
      <c r="V1052" s="16">
        <f>IF(ISNA(VLOOKUP(LOWER(F1052)&amp;H1052,Prices!A:C,2,0)),0,VLOOKUP(LOWER(F1052)&amp;H1052,Prices!A:C,2,0))</f>
        <v>22.56</v>
      </c>
      <c r="W1052" s="49">
        <f t="shared" si="586"/>
        <v>-2818.2498400000004</v>
      </c>
      <c r="X1052" s="24">
        <f t="shared" si="587"/>
        <v>62.999999999999901</v>
      </c>
      <c r="Y1052" s="43">
        <f t="shared" si="588"/>
        <v>-0.21692193965517245</v>
      </c>
      <c r="Z1052" s="49"/>
      <c r="AA1052" s="24"/>
    </row>
    <row r="1053" spans="1:27" s="13" customFormat="1" hidden="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9.69</v>
      </c>
      <c r="V1053" s="16">
        <f>IF(ISNA(VLOOKUP(LOWER(F1053)&amp;H1053,Prices!A:C,2,0)),0,VLOOKUP(LOWER(F1053)&amp;H1053,Prices!A:C,2,0))</f>
        <v>9.4499999999999993</v>
      </c>
      <c r="W1053" s="49">
        <f t="shared" si="586"/>
        <v>7.0930000000007709</v>
      </c>
      <c r="X1053" s="24">
        <f t="shared" si="587"/>
        <v>72.000000000000057</v>
      </c>
      <c r="Y1053" s="43">
        <f t="shared" si="588"/>
        <v>2.488771929824832E-3</v>
      </c>
      <c r="Z1053" s="49"/>
      <c r="AA1053" s="24"/>
    </row>
    <row r="1054" spans="1:27" s="13" customFormat="1" hidden="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29.6</v>
      </c>
      <c r="V1054" s="16">
        <f>IF(ISNA(VLOOKUP(LOWER(F1054)&amp;H1054,Prices!A:C,2,0)),0,VLOOKUP(LOWER(F1054)&amp;H1054,Prices!A:C,2,0))</f>
        <v>30.47</v>
      </c>
      <c r="W1054" s="49">
        <f t="shared" si="586"/>
        <v>-7917.5800000000008</v>
      </c>
      <c r="X1054" s="24">
        <f t="shared" si="587"/>
        <v>-869.9999999999975</v>
      </c>
      <c r="Y1054" s="43">
        <f t="shared" si="588"/>
        <v>-0.35064570416297614</v>
      </c>
      <c r="Z1054" s="49"/>
      <c r="AA1054" s="24"/>
    </row>
    <row r="1055" spans="1:27" s="13" customFormat="1" hidden="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43.91</v>
      </c>
      <c r="V1055" s="16">
        <f>IF(ISNA(VLOOKUP(LOWER(F1055)&amp;H1055,Prices!A:C,2,0)),0,VLOOKUP(LOWER(F1055)&amp;H1055,Prices!A:C,2,0))</f>
        <v>43.81</v>
      </c>
      <c r="W1055" s="49">
        <f t="shared" si="586"/>
        <v>-10833.257180000002</v>
      </c>
      <c r="X1055" s="24">
        <f t="shared" si="587"/>
        <v>69.999999999996021</v>
      </c>
      <c r="Y1055" s="43">
        <f t="shared" si="588"/>
        <v>-0.5455086953018784</v>
      </c>
      <c r="Z1055" s="49"/>
      <c r="AA1055" s="24"/>
    </row>
    <row r="1056" spans="1:27" s="13" customFormat="1" hidden="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22.1</v>
      </c>
      <c r="V1056" s="16">
        <f>IF(ISNA(VLOOKUP(LOWER(F1056)&amp;H1056,Prices!A:C,2,0)),0,VLOOKUP(LOWER(F1056)&amp;H1056,Prices!A:C,2,0))</f>
        <v>21.88</v>
      </c>
      <c r="W1056" s="49">
        <f t="shared" si="586"/>
        <v>3324.0999999999995</v>
      </c>
      <c r="X1056" s="24">
        <f t="shared" si="587"/>
        <v>66.000000000000725</v>
      </c>
      <c r="Y1056" s="43">
        <f t="shared" si="588"/>
        <v>0.33566595981015851</v>
      </c>
      <c r="Z1056" s="49"/>
      <c r="AA1056" s="24"/>
    </row>
    <row r="1057" spans="1:27" s="13" customFormat="1" hidden="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101.5</v>
      </c>
      <c r="V1057" s="16">
        <f>IF(ISNA(VLOOKUP(LOWER(F1057)&amp;H1057,Prices!A:C,2,0)),0,VLOOKUP(LOWER(F1057)&amp;H1057,Prices!A:C,2,0))</f>
        <v>101.32</v>
      </c>
      <c r="W1057" s="49">
        <f t="shared" si="586"/>
        <v>12161.249799999983</v>
      </c>
      <c r="X1057" s="24">
        <f t="shared" si="587"/>
        <v>-126.00000000000477</v>
      </c>
      <c r="Y1057" s="43">
        <f t="shared" si="588"/>
        <v>0.20699647325151882</v>
      </c>
      <c r="Z1057" s="49"/>
      <c r="AA1057" s="24"/>
    </row>
    <row r="1058" spans="1:27" s="13" customFormat="1" hidden="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101.5</v>
      </c>
      <c r="V1058" s="16">
        <f>IF(ISNA(VLOOKUP(LOWER(F1058)&amp;H1058,Prices!A:C,2,0)),0,VLOOKUP(LOWER(F1058)&amp;H1058,Prices!A:C,2,0))</f>
        <v>101.32</v>
      </c>
      <c r="W1058" s="49">
        <f t="shared" si="586"/>
        <v>-4929.5993999999982</v>
      </c>
      <c r="X1058" s="24">
        <f t="shared" si="587"/>
        <v>54.000000000002046</v>
      </c>
      <c r="Y1058" s="43">
        <f t="shared" si="588"/>
        <v>-0.19334036945522995</v>
      </c>
      <c r="Z1058" s="49"/>
      <c r="AA1058" s="24"/>
    </row>
    <row r="1059" spans="1:27" s="13" customFormat="1" hidden="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27.67</v>
      </c>
      <c r="V1059" s="16">
        <f>IF(ISNA(VLOOKUP(LOWER(F1059)&amp;H1059,Prices!A:C,2,0)),0,VLOOKUP(LOWER(F1059)&amp;H1059,Prices!A:C,2,0))</f>
        <v>27.51</v>
      </c>
      <c r="W1059" s="49">
        <f t="shared" si="586"/>
        <v>-3425.3500000000017</v>
      </c>
      <c r="X1059" s="24">
        <f t="shared" si="587"/>
        <v>80.000000000000071</v>
      </c>
      <c r="Y1059" s="43">
        <f t="shared" si="588"/>
        <v>-0.33111164813919786</v>
      </c>
      <c r="Z1059" s="49"/>
      <c r="AA1059" s="24"/>
    </row>
    <row r="1060" spans="1:27" s="13" customFormat="1" hidden="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22.1</v>
      </c>
      <c r="V1060" s="16">
        <f>IF(ISNA(VLOOKUP(LOWER(F1060)&amp;H1060,Prices!A:C,2,0)),0,VLOOKUP(LOWER(F1060)&amp;H1060,Prices!A:C,2,0))</f>
        <v>21.88</v>
      </c>
      <c r="W1060" s="49">
        <f t="shared" si="586"/>
        <v>3396.0199999999995</v>
      </c>
      <c r="X1060" s="24">
        <f t="shared" si="587"/>
        <v>66.000000000000725</v>
      </c>
      <c r="Y1060" s="43">
        <f t="shared" si="588"/>
        <v>0.34045313283208017</v>
      </c>
      <c r="Z1060" s="49"/>
      <c r="AA1060" s="24"/>
    </row>
    <row r="1061" spans="1:27" s="13" customFormat="1" hidden="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71.150000000000006</v>
      </c>
      <c r="V1061" s="16">
        <f>IF(ISNA(VLOOKUP(LOWER(F1061)&amp;H1061,Prices!A:C,2,0)),0,VLOOKUP(LOWER(F1061)&amp;H1061,Prices!A:C,2,0))</f>
        <v>74.599999999999994</v>
      </c>
      <c r="W1061" s="49">
        <f t="shared" si="586"/>
        <v>9570.9999999999982</v>
      </c>
      <c r="X1061" s="24">
        <f t="shared" si="587"/>
        <v>1034.9999999999966</v>
      </c>
      <c r="Y1061" s="43">
        <f t="shared" si="588"/>
        <v>0.74750078100593553</v>
      </c>
      <c r="Z1061" s="49"/>
      <c r="AA1061" s="24"/>
    </row>
    <row r="1062" spans="1:27" s="13" customFormat="1" hidden="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22.65</v>
      </c>
      <c r="V1062" s="16">
        <f>IF(ISNA(VLOOKUP(LOWER(F1062)&amp;H1062,Prices!A:C,2,0)),0,VLOOKUP(LOWER(F1062)&amp;H1062,Prices!A:C,2,0))</f>
        <v>22.56</v>
      </c>
      <c r="W1062" s="49">
        <f t="shared" si="586"/>
        <v>-3252.1163199999992</v>
      </c>
      <c r="X1062" s="24">
        <f t="shared" si="587"/>
        <v>71.999999999999886</v>
      </c>
      <c r="Y1062" s="43">
        <f t="shared" si="588"/>
        <v>-0.21950029157667381</v>
      </c>
      <c r="Z1062" s="49"/>
      <c r="AA1062" s="24"/>
    </row>
    <row r="1063" spans="1:27" s="13" customFormat="1" hidden="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4.71</v>
      </c>
      <c r="V1063" s="16">
        <f>IF(ISNA(VLOOKUP(LOWER(F1063)&amp;H1063,Prices!A:C,2,0)),0,VLOOKUP(LOWER(F1063)&amp;H1063,Prices!A:C,2,0))</f>
        <v>4.68</v>
      </c>
      <c r="W1063" s="49">
        <f t="shared" si="586"/>
        <v>1966.0000000000007</v>
      </c>
      <c r="X1063" s="24">
        <f t="shared" si="587"/>
        <v>45.000000000000369</v>
      </c>
      <c r="Y1063" s="43">
        <f t="shared" si="588"/>
        <v>0.21844444444444452</v>
      </c>
      <c r="Z1063" s="49"/>
      <c r="AA1063" s="24"/>
    </row>
    <row r="1064" spans="1:27" s="13" customFormat="1" hidden="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52.6</v>
      </c>
      <c r="V1064" s="16">
        <f>IF(ISNA(VLOOKUP(LOWER(F1064)&amp;H1064,Prices!A:C,2,0)),0,VLOOKUP(LOWER(F1064)&amp;H1064,Prices!A:C,2,0))</f>
        <v>53.4</v>
      </c>
      <c r="W1064" s="49">
        <f t="shared" si="586"/>
        <v>-14070.339999999997</v>
      </c>
      <c r="X1064" s="24">
        <f t="shared" si="587"/>
        <v>-559.99999999999795</v>
      </c>
      <c r="Y1064" s="43">
        <f t="shared" si="588"/>
        <v>-0.60289399263004517</v>
      </c>
      <c r="Z1064" s="49"/>
      <c r="AA1064" s="24"/>
    </row>
    <row r="1065" spans="1:27" s="13" customFormat="1" hidden="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27.67</v>
      </c>
      <c r="V1065" s="16">
        <f>IF(ISNA(VLOOKUP(LOWER(F1065)&amp;H1065,Prices!A:C,2,0)),0,VLOOKUP(LOWER(F1065)&amp;H1065,Prices!A:C,2,0))</f>
        <v>27.51</v>
      </c>
      <c r="W1065" s="49">
        <f t="shared" si="586"/>
        <v>-4779.5000000000009</v>
      </c>
      <c r="X1065" s="24">
        <f t="shared" si="587"/>
        <v>112.0000000000001</v>
      </c>
      <c r="Y1065" s="43">
        <f t="shared" si="588"/>
        <v>-0.32968890115196253</v>
      </c>
      <c r="Z1065" s="49"/>
      <c r="AA1065" s="24"/>
    </row>
    <row r="1066" spans="1:27" s="13" customFormat="1" hidden="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101.5</v>
      </c>
      <c r="V1066" s="16">
        <f>IF(ISNA(VLOOKUP(LOWER(F1066)&amp;H1066,Prices!A:C,2,0)),0,VLOOKUP(LOWER(F1066)&amp;H1066,Prices!A:C,2,0))</f>
        <v>101.32</v>
      </c>
      <c r="W1066" s="49">
        <f t="shared" si="586"/>
        <v>-3287.9999999999995</v>
      </c>
      <c r="X1066" s="24">
        <f t="shared" si="587"/>
        <v>36.000000000001364</v>
      </c>
      <c r="Y1066" s="43">
        <f t="shared" si="588"/>
        <v>-0.19343452170843625</v>
      </c>
      <c r="Z1066" s="49"/>
      <c r="AA1066" s="24"/>
    </row>
    <row r="1067" spans="1:27" s="13" customFormat="1" hidden="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23.9</v>
      </c>
      <c r="V1067" s="16">
        <f>IF(ISNA(VLOOKUP(LOWER(F1067)&amp;H1067,Prices!A:C,2,0)),0,VLOOKUP(LOWER(F1067)&amp;H1067,Prices!A:C,2,0))</f>
        <v>24.41</v>
      </c>
      <c r="W1067" s="49">
        <f t="shared" si="586"/>
        <v>3859.7999999999988</v>
      </c>
      <c r="X1067" s="24">
        <f t="shared" si="587"/>
        <v>-153.00000000000045</v>
      </c>
      <c r="Y1067" s="43">
        <f t="shared" si="588"/>
        <v>0.34465577283686033</v>
      </c>
      <c r="Z1067" s="49"/>
      <c r="AA1067" s="24"/>
    </row>
    <row r="1068" spans="1:27" s="13" customFormat="1" hidden="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52.6</v>
      </c>
      <c r="V1068" s="16">
        <f>IF(ISNA(VLOOKUP(LOWER(F1068)&amp;H1068,Prices!A:C,2,0)),0,VLOOKUP(LOWER(F1068)&amp;H1068,Prices!A:C,2,0))</f>
        <v>53.4</v>
      </c>
      <c r="W1068" s="49">
        <f t="shared" si="586"/>
        <v>-8046.33</v>
      </c>
      <c r="X1068" s="24">
        <f t="shared" si="587"/>
        <v>-319.99999999999886</v>
      </c>
      <c r="Y1068" s="43">
        <f t="shared" si="588"/>
        <v>-0.603535103510351</v>
      </c>
      <c r="Z1068" s="49"/>
      <c r="AA1068" s="24"/>
    </row>
    <row r="1069" spans="1:27" s="13" customFormat="1" hidden="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43.91</v>
      </c>
      <c r="V1069" s="16">
        <f>IF(ISNA(VLOOKUP(LOWER(F1069)&amp;H1069,Prices!A:C,2,0)),0,VLOOKUP(LOWER(F1069)&amp;H1069,Prices!A:C,2,0))</f>
        <v>43.81</v>
      </c>
      <c r="W1069" s="49">
        <f t="shared" si="586"/>
        <v>-6060.709600000001</v>
      </c>
      <c r="X1069" s="24">
        <f t="shared" si="587"/>
        <v>39.999999999997726</v>
      </c>
      <c r="Y1069" s="43">
        <f t="shared" si="588"/>
        <v>-0.52793637630662027</v>
      </c>
      <c r="Z1069" s="49"/>
      <c r="AA1069" s="24"/>
    </row>
    <row r="1070" spans="1:27" s="13" customFormat="1" hidden="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37.5</v>
      </c>
      <c r="V1070" s="16">
        <f>IF(ISNA(VLOOKUP(LOWER(F1070)&amp;H1070,Prices!A:C,2,0)),0,VLOOKUP(LOWER(F1070)&amp;H1070,Prices!A:C,2,0))</f>
        <v>38.25</v>
      </c>
      <c r="W1070" s="49">
        <f t="shared" si="586"/>
        <v>-14771.777999999998</v>
      </c>
      <c r="X1070" s="24">
        <f t="shared" si="587"/>
        <v>375</v>
      </c>
      <c r="Y1070" s="43">
        <f t="shared" si="588"/>
        <v>-0.43587424018884624</v>
      </c>
      <c r="Z1070" s="49"/>
      <c r="AA1070" s="24"/>
    </row>
    <row r="1071" spans="1:27" s="13" customFormat="1" hidden="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28.04</v>
      </c>
      <c r="V1071" s="16">
        <f>IF(ISNA(VLOOKUP(LOWER(F1071)&amp;H1071,Prices!A:C,2,0)),0,VLOOKUP(LOWER(F1071)&amp;H1071,Prices!A:C,2,0))</f>
        <v>27.94</v>
      </c>
      <c r="W1071" s="49">
        <f t="shared" si="586"/>
        <v>8489.5763999999963</v>
      </c>
      <c r="X1071" s="24">
        <f t="shared" si="587"/>
        <v>-199.99999999999574</v>
      </c>
      <c r="Y1071" s="43">
        <f t="shared" si="588"/>
        <v>0.17918059096665251</v>
      </c>
      <c r="Z1071" s="49"/>
      <c r="AA1071" s="24"/>
    </row>
    <row r="1072" spans="1:27" s="13" customFormat="1" hidden="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28.04</v>
      </c>
      <c r="V1072" s="16">
        <f>IF(ISNA(VLOOKUP(LOWER(F1072)&amp;H1072,Prices!A:C,2,0)),0,VLOOKUP(LOWER(F1072)&amp;H1072,Prices!A:C,2,0))</f>
        <v>27.94</v>
      </c>
      <c r="W1072" s="49">
        <f t="shared" si="586"/>
        <v>6367.1822999999922</v>
      </c>
      <c r="X1072" s="24">
        <f t="shared" si="587"/>
        <v>-149.99999999999682</v>
      </c>
      <c r="Y1072" s="43">
        <f t="shared" si="588"/>
        <v>0.17918059096665237</v>
      </c>
      <c r="Z1072" s="49"/>
      <c r="AA1072" s="24"/>
    </row>
    <row r="1073" spans="1:27" s="13" customFormat="1" hidden="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37.5</v>
      </c>
      <c r="V1073" s="16">
        <f>IF(ISNA(VLOOKUP(LOWER(F1073)&amp;H1073,Prices!A:C,2,0)),0,VLOOKUP(LOWER(F1073)&amp;H1073,Prices!A:C,2,0))</f>
        <v>38.25</v>
      </c>
      <c r="W1073" s="49">
        <f t="shared" si="586"/>
        <v>-5911.0000000000018</v>
      </c>
      <c r="X1073" s="24">
        <f t="shared" si="587"/>
        <v>150</v>
      </c>
      <c r="Y1073" s="43">
        <f t="shared" si="588"/>
        <v>-0.43604308055473606</v>
      </c>
      <c r="Z1073" s="49"/>
      <c r="AA1073" s="24"/>
    </row>
    <row r="1074" spans="1:27" s="13" customFormat="1" hidden="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52.6</v>
      </c>
      <c r="V1074" s="16">
        <f>IF(ISNA(VLOOKUP(LOWER(F1074)&amp;H1074,Prices!A:C,2,0)),0,VLOOKUP(LOWER(F1074)&amp;H1074,Prices!A:C,2,0))</f>
        <v>53.4</v>
      </c>
      <c r="W1074" s="49">
        <f t="shared" si="586"/>
        <v>-3969.7199999999993</v>
      </c>
      <c r="X1074" s="24">
        <f t="shared" si="587"/>
        <v>-159.99999999999943</v>
      </c>
      <c r="Y1074" s="43">
        <f t="shared" si="588"/>
        <v>-0.59055638202915794</v>
      </c>
      <c r="Z1074" s="49"/>
      <c r="AA1074" s="24"/>
    </row>
    <row r="1075" spans="1:27" s="13" customFormat="1" hidden="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27.67</v>
      </c>
      <c r="V1075" s="16">
        <f>IF(ISNA(VLOOKUP(LOWER(F1075)&amp;H1075,Prices!A:C,2,0)),0,VLOOKUP(LOWER(F1075)&amp;H1075,Prices!A:C,2,0))</f>
        <v>27.51</v>
      </c>
      <c r="W1075" s="49">
        <f t="shared" si="586"/>
        <v>-2685.3300000000004</v>
      </c>
      <c r="X1075" s="24">
        <f t="shared" si="587"/>
        <v>64.000000000000057</v>
      </c>
      <c r="Y1075" s="43">
        <f t="shared" si="588"/>
        <v>-0.32229116658665391</v>
      </c>
      <c r="Z1075" s="49"/>
      <c r="AA1075" s="24"/>
    </row>
    <row r="1076" spans="1:27" s="13" customFormat="1" hidden="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43.91</v>
      </c>
      <c r="V1076" s="16">
        <f>IF(ISNA(VLOOKUP(LOWER(F1076)&amp;H1076,Prices!A:C,2,0)),0,VLOOKUP(LOWER(F1076)&amp;H1076,Prices!A:C,2,0))</f>
        <v>43.81</v>
      </c>
      <c r="W1076" s="49">
        <f t="shared" si="586"/>
        <v>-6036.7300800000012</v>
      </c>
      <c r="X1076" s="24">
        <f t="shared" si="587"/>
        <v>39.999999999997726</v>
      </c>
      <c r="Y1076" s="43">
        <f t="shared" si="588"/>
        <v>-0.52475052851182202</v>
      </c>
      <c r="Z1076" s="49"/>
      <c r="AA1076" s="24"/>
    </row>
    <row r="1077" spans="1:27" s="13" customFormat="1" hidden="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27.59</v>
      </c>
      <c r="V1077" s="16">
        <f>IF(ISNA(VLOOKUP(LOWER(F1077)&amp;H1077,Prices!A:C,2,0)),0,VLOOKUP(LOWER(F1077)&amp;H1077,Prices!A:C,2,0))</f>
        <v>28.05</v>
      </c>
      <c r="W1077" s="49">
        <f t="shared" si="586"/>
        <v>1725.8663200000005</v>
      </c>
      <c r="X1077" s="24">
        <f t="shared" si="587"/>
        <v>138.00000000000026</v>
      </c>
      <c r="Y1077" s="43">
        <f t="shared" si="588"/>
        <v>0.25820860562537412</v>
      </c>
      <c r="Z1077" s="49"/>
      <c r="AA1077" s="24"/>
    </row>
    <row r="1078" spans="1:27" s="13" customFormat="1" hidden="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hidden="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hidden="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52.6</v>
      </c>
      <c r="V1080" s="16">
        <f>IF(ISNA(VLOOKUP(LOWER(F1080)&amp;H1080,Prices!A:C,2,0)),0,VLOOKUP(LOWER(F1080)&amp;H1080,Prices!A:C,2,0))</f>
        <v>53.4</v>
      </c>
      <c r="W1080" s="49">
        <f t="shared" si="586"/>
        <v>-1967.38</v>
      </c>
      <c r="X1080" s="24">
        <f t="shared" si="587"/>
        <v>-79.999999999999716</v>
      </c>
      <c r="Y1080" s="43">
        <f t="shared" si="588"/>
        <v>-0.58189293108547768</v>
      </c>
      <c r="Z1080" s="49"/>
      <c r="AA1080" s="24"/>
    </row>
    <row r="1081" spans="1:27" s="13" customFormat="1" hidden="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101.5</v>
      </c>
      <c r="V1081" s="16">
        <f>IF(ISNA(VLOOKUP(LOWER(F1081)&amp;H1081,Prices!A:C,2,0)),0,VLOOKUP(LOWER(F1081)&amp;H1081,Prices!A:C,2,0))</f>
        <v>101.32</v>
      </c>
      <c r="W1081" s="49">
        <f t="shared" si="586"/>
        <v>-3178.1099999999979</v>
      </c>
      <c r="X1081" s="24">
        <f t="shared" si="587"/>
        <v>36.000000000001364</v>
      </c>
      <c r="Y1081" s="43">
        <f t="shared" si="588"/>
        <v>-0.18576747720364728</v>
      </c>
      <c r="Z1081" s="49"/>
      <c r="AA1081" s="24"/>
    </row>
    <row r="1082" spans="1:27" s="13" customFormat="1" hidden="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24.46</v>
      </c>
      <c r="V1082" s="16">
        <f>IF(ISNA(VLOOKUP(LOWER(F1082)&amp;H1082,Prices!A:C,2,0)),0,VLOOKUP(LOWER(F1082)&amp;H1082,Prices!A:C,2,0))</f>
        <v>24.81</v>
      </c>
      <c r="W1082" s="49">
        <f t="shared" si="586"/>
        <v>-3670.1842799999945</v>
      </c>
      <c r="X1082" s="24">
        <f t="shared" si="587"/>
        <v>-769.99999999999534</v>
      </c>
      <c r="Y1082" s="43">
        <f t="shared" si="588"/>
        <v>-7.200110409228222E-2</v>
      </c>
      <c r="Z1082" s="49"/>
      <c r="AA1082" s="24"/>
    </row>
    <row r="1083" spans="1:27" s="13" customFormat="1" hidden="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23.9</v>
      </c>
      <c r="V1083" s="16">
        <f>IF(ISNA(VLOOKUP(LOWER(F1083)&amp;H1083,Prices!A:C,2,0)),0,VLOOKUP(LOWER(F1083)&amp;H1083,Prices!A:C,2,0))</f>
        <v>24.41</v>
      </c>
      <c r="W1083" s="49">
        <f t="shared" si="586"/>
        <v>7676.65</v>
      </c>
      <c r="X1083" s="24">
        <f t="shared" si="587"/>
        <v>-306.00000000000091</v>
      </c>
      <c r="Y1083" s="43">
        <f t="shared" si="588"/>
        <v>0.34347427293064875</v>
      </c>
      <c r="Z1083" s="49"/>
      <c r="AA1083" s="24"/>
    </row>
    <row r="1084" spans="1:27" s="13" customFormat="1" hidden="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8.32</v>
      </c>
      <c r="V1084" s="16">
        <f>IF(ISNA(VLOOKUP(LOWER(F1084)&amp;H1084,Prices!A:C,2,0)),0,VLOOKUP(LOWER(F1084)&amp;H1084,Prices!A:C,2,0))</f>
        <v>8.35</v>
      </c>
      <c r="W1084" s="49">
        <f t="shared" si="586"/>
        <v>69.577599999999862</v>
      </c>
      <c r="X1084" s="24">
        <f t="shared" si="587"/>
        <v>-53.999999999998849</v>
      </c>
      <c r="Y1084" s="43">
        <f t="shared" si="588"/>
        <v>4.6016931216931126E-3</v>
      </c>
      <c r="Z1084" s="49"/>
      <c r="AA1084" s="24"/>
    </row>
    <row r="1085" spans="1:27" s="13" customFormat="1" hidden="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9.69</v>
      </c>
      <c r="V1085" s="16">
        <f>IF(ISNA(VLOOKUP(LOWER(F1085)&amp;H1085,Prices!A:C,2,0)),0,VLOOKUP(LOWER(F1085)&amp;H1085,Prices!A:C,2,0))</f>
        <v>9.4499999999999993</v>
      </c>
      <c r="W1085" s="49">
        <f t="shared" si="586"/>
        <v>102.96000000000021</v>
      </c>
      <c r="X1085" s="24">
        <f t="shared" si="587"/>
        <v>48.000000000000043</v>
      </c>
      <c r="Y1085" s="43">
        <f t="shared" si="588"/>
        <v>5.1480000000000102E-2</v>
      </c>
      <c r="Z1085" s="49"/>
      <c r="AA1085" s="24"/>
    </row>
    <row r="1086" spans="1:27" s="13" customFormat="1" hidden="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67.11</v>
      </c>
      <c r="V1086" s="16">
        <f>IF(ISNA(VLOOKUP(LOWER(F1086)&amp;H1086,Prices!A:C,2,0)),0,VLOOKUP(LOWER(F1086)&amp;H1086,Prices!A:C,2,0))</f>
        <v>68.489999999999995</v>
      </c>
      <c r="W1086" s="49">
        <f t="shared" si="586"/>
        <v>-26740.159999999996</v>
      </c>
      <c r="X1086" s="24">
        <f t="shared" si="587"/>
        <v>-1379.9999999999955</v>
      </c>
      <c r="Y1086" s="43">
        <f t="shared" si="588"/>
        <v>-0.63971674641148313</v>
      </c>
      <c r="Z1086" s="49"/>
      <c r="AA1086" s="24"/>
    </row>
    <row r="1087" spans="1:27" s="13" customFormat="1" hidden="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41.3</v>
      </c>
      <c r="V1087" s="16">
        <f>IF(ISNA(VLOOKUP(LOWER(F1087)&amp;H1087,Prices!A:C,2,0)),0,VLOOKUP(LOWER(F1087)&amp;H1087,Prices!A:C,2,0))</f>
        <v>42.53</v>
      </c>
      <c r="W1087" s="49">
        <f t="shared" si="586"/>
        <v>-8454.7199999999975</v>
      </c>
      <c r="X1087" s="24">
        <f t="shared" si="587"/>
        <v>-984.00000000000318</v>
      </c>
      <c r="Y1087" s="43">
        <f t="shared" si="588"/>
        <v>-0.3302624999999999</v>
      </c>
      <c r="Z1087" s="49"/>
      <c r="AA1087" s="24"/>
    </row>
    <row r="1088" spans="1:27" s="13" customFormat="1" hidden="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41.3</v>
      </c>
      <c r="V1088" s="16">
        <f>IF(ISNA(VLOOKUP(LOWER(F1088)&amp;H1088,Prices!A:C,2,0)),0,VLOOKUP(LOWER(F1088)&amp;H1088,Prices!A:C,2,0))</f>
        <v>42.53</v>
      </c>
      <c r="W1088" s="49">
        <f t="shared" si="586"/>
        <v>-4237.7900000000009</v>
      </c>
      <c r="X1088" s="24">
        <f t="shared" si="587"/>
        <v>-492.00000000000159</v>
      </c>
      <c r="Y1088" s="43">
        <f t="shared" si="588"/>
        <v>-0.33128439649781122</v>
      </c>
      <c r="Z1088" s="49"/>
      <c r="AA1088" s="24"/>
    </row>
    <row r="1089" spans="1:27" s="13" customFormat="1" hidden="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27.67</v>
      </c>
      <c r="V1089" s="16">
        <f>IF(ISNA(VLOOKUP(LOWER(F1089)&amp;H1089,Prices!A:C,2,0)),0,VLOOKUP(LOWER(F1089)&amp;H1089,Prices!A:C,2,0))</f>
        <v>27.51</v>
      </c>
      <c r="W1089" s="49">
        <f t="shared" si="586"/>
        <v>-2705.31</v>
      </c>
      <c r="X1089" s="24">
        <f t="shared" si="587"/>
        <v>64.000000000000057</v>
      </c>
      <c r="Y1089" s="43">
        <f t="shared" si="588"/>
        <v>-0.32547040423484119</v>
      </c>
      <c r="Z1089" s="49"/>
      <c r="AA1089" s="24"/>
    </row>
    <row r="1090" spans="1:27" s="13" customFormat="1" hidden="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27.59</v>
      </c>
      <c r="V1090" s="16">
        <f>IF(ISNA(VLOOKUP(LOWER(F1090)&amp;H1090,Prices!A:C,2,0)),0,VLOOKUP(LOWER(F1090)&amp;H1090,Prices!A:C,2,0))</f>
        <v>28.05</v>
      </c>
      <c r="W1090" s="49">
        <f t="shared" si="586"/>
        <v>-1694.8646400000005</v>
      </c>
      <c r="X1090" s="24">
        <f t="shared" si="587"/>
        <v>-138.00000000000026</v>
      </c>
      <c r="Y1090" s="43">
        <f t="shared" si="588"/>
        <v>-0.25176242424242429</v>
      </c>
      <c r="Z1090" s="49"/>
      <c r="AA1090" s="24"/>
    </row>
    <row r="1091" spans="1:27" s="13" customFormat="1" hidden="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28.04</v>
      </c>
      <c r="V1091" s="16">
        <f>IF(ISNA(VLOOKUP(LOWER(F1091)&amp;H1091,Prices!A:C,2,0)),0,VLOOKUP(LOWER(F1091)&amp;H1091,Prices!A:C,2,0))</f>
        <v>27.94</v>
      </c>
      <c r="W1091" s="49">
        <f t="shared" ref="W1091:W1121" si="596">IF(I1091="B",(V1091+T1091)*K1091,(V1091+T1091)*K1091)</f>
        <v>-6148.6871000000001</v>
      </c>
      <c r="X1091" s="24">
        <f t="shared" ref="X1091:X1121" si="597">K1091*(V1091-U1091)</f>
        <v>149.99999999999682</v>
      </c>
      <c r="Y1091" s="43">
        <f t="shared" ref="Y1091:Y1121" si="598">W1091/O1091</f>
        <v>-0.17172705208769726</v>
      </c>
      <c r="Z1091" s="49"/>
      <c r="AA1091" s="24"/>
    </row>
    <row r="1092" spans="1:27" s="13" customFormat="1" hidden="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101.5</v>
      </c>
      <c r="V1092" s="16">
        <f>IF(ISNA(VLOOKUP(LOWER(F1092)&amp;H1092,Prices!A:C,2,0)),0,VLOOKUP(LOWER(F1092)&amp;H1092,Prices!A:C,2,0))</f>
        <v>101.32</v>
      </c>
      <c r="W1092" s="49">
        <f t="shared" si="596"/>
        <v>-11369.555199999984</v>
      </c>
      <c r="X1092" s="24">
        <f t="shared" si="597"/>
        <v>126.00000000000477</v>
      </c>
      <c r="Y1092" s="43">
        <f t="shared" si="598"/>
        <v>-0.19068116593432366</v>
      </c>
      <c r="Z1092" s="49"/>
      <c r="AA1092" s="24"/>
    </row>
    <row r="1093" spans="1:27" s="13" customFormat="1" hidden="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28.04</v>
      </c>
      <c r="V1093" s="16">
        <f>IF(ISNA(VLOOKUP(LOWER(F1093)&amp;H1093,Prices!A:C,2,0)),0,VLOOKUP(LOWER(F1093)&amp;H1093,Prices!A:C,2,0))</f>
        <v>27.94</v>
      </c>
      <c r="W1093" s="49">
        <f t="shared" si="596"/>
        <v>-4129.3168000000014</v>
      </c>
      <c r="X1093" s="24">
        <f t="shared" si="597"/>
        <v>99.999999999997868</v>
      </c>
      <c r="Y1093" s="43">
        <f t="shared" si="598"/>
        <v>-0.17320959731543631</v>
      </c>
      <c r="Z1093" s="49"/>
      <c r="AA1093" s="24"/>
    </row>
    <row r="1094" spans="1:27" s="13" customFormat="1" hidden="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37.5</v>
      </c>
      <c r="V1094" s="16">
        <f>IF(ISNA(VLOOKUP(LOWER(F1094)&amp;H1094,Prices!A:C,2,0)),0,VLOOKUP(LOWER(F1094)&amp;H1094,Prices!A:C,2,0))</f>
        <v>38.25</v>
      </c>
      <c r="W1094" s="49">
        <f t="shared" si="596"/>
        <v>11755.492399999997</v>
      </c>
      <c r="X1094" s="24">
        <f t="shared" si="597"/>
        <v>-300</v>
      </c>
      <c r="Y1094" s="43">
        <f t="shared" si="598"/>
        <v>0.43397417306556402</v>
      </c>
      <c r="Z1094" s="49"/>
      <c r="AA1094" s="24"/>
    </row>
    <row r="1095" spans="1:27" s="13" customFormat="1" hidden="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71.150000000000006</v>
      </c>
      <c r="V1095" s="16">
        <f>IF(ISNA(VLOOKUP(LOWER(F1095)&amp;H1095,Prices!A:C,2,0)),0,VLOOKUP(LOWER(F1095)&amp;H1095,Prices!A:C,2,0))</f>
        <v>74.599999999999994</v>
      </c>
      <c r="W1095" s="49">
        <f t="shared" si="596"/>
        <v>-9506.8899999999976</v>
      </c>
      <c r="X1095" s="24">
        <f t="shared" si="597"/>
        <v>-1034.9999999999966</v>
      </c>
      <c r="Y1095" s="43">
        <f t="shared" si="598"/>
        <v>-0.73748273989605129</v>
      </c>
      <c r="Z1095" s="49"/>
      <c r="AA1095" s="24"/>
    </row>
    <row r="1096" spans="1:27" s="13" customFormat="1" hidden="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37.5</v>
      </c>
      <c r="V1096" s="16">
        <f>IF(ISNA(VLOOKUP(LOWER(F1096)&amp;H1096,Prices!A:C,2,0)),0,VLOOKUP(LOWER(F1096)&amp;H1096,Prices!A:C,2,0))</f>
        <v>38.25</v>
      </c>
      <c r="W1096" s="49">
        <f t="shared" si="596"/>
        <v>6095.239999999998</v>
      </c>
      <c r="X1096" s="24">
        <f t="shared" si="597"/>
        <v>-150</v>
      </c>
      <c r="Y1096" s="43">
        <f t="shared" si="598"/>
        <v>0.44283929090380697</v>
      </c>
      <c r="Z1096" s="49"/>
      <c r="AA1096" s="24"/>
    </row>
    <row r="1097" spans="1:27" s="13" customFormat="1" hidden="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hidden="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35.799999999999997</v>
      </c>
      <c r="V1098" s="16">
        <f>IF(ISNA(VLOOKUP(LOWER(F1098)&amp;H1098,Prices!A:C,2,0)),0,VLOOKUP(LOWER(F1098)&amp;H1098,Prices!A:C,2,0))</f>
        <v>38.49</v>
      </c>
      <c r="W1098" s="49">
        <f t="shared" si="596"/>
        <v>3642.335200000005</v>
      </c>
      <c r="X1098" s="24">
        <f t="shared" si="597"/>
        <v>2690.000000000005</v>
      </c>
      <c r="Y1098" s="43">
        <f t="shared" si="598"/>
        <v>0.10454463834672804</v>
      </c>
      <c r="Z1098" s="49"/>
      <c r="AA1098" s="24"/>
    </row>
    <row r="1099" spans="1:27" s="13" customFormat="1" hidden="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hidden="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35.799999999999997</v>
      </c>
      <c r="V1100" s="16">
        <f>IF(ISNA(VLOOKUP(LOWER(F1100)&amp;H1100,Prices!A:C,2,0)),0,VLOOKUP(LOWER(F1100)&amp;H1100,Prices!A:C,2,0))</f>
        <v>38.49</v>
      </c>
      <c r="W1100" s="49">
        <f t="shared" si="596"/>
        <v>3662.339600000003</v>
      </c>
      <c r="X1100" s="24">
        <f t="shared" si="597"/>
        <v>2690.000000000005</v>
      </c>
      <c r="Y1100" s="43">
        <f t="shared" si="598"/>
        <v>0.10517919586444581</v>
      </c>
      <c r="Z1100" s="49"/>
      <c r="AA1100" s="24"/>
    </row>
    <row r="1101" spans="1:27" s="13" customFormat="1" hidden="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10.51</v>
      </c>
      <c r="V1101" s="16">
        <f>IF(ISNA(VLOOKUP(LOWER(F1101)&amp;H1101,Prices!A:C,2,0)),0,VLOOKUP(LOWER(F1101)&amp;H1101,Prices!A:C,2,0))</f>
        <v>11.12</v>
      </c>
      <c r="W1101" s="49">
        <f t="shared" si="596"/>
        <v>-1410.0936000000033</v>
      </c>
      <c r="X1101" s="24">
        <f t="shared" si="597"/>
        <v>2439.9999999999977</v>
      </c>
      <c r="Y1101" s="43">
        <f t="shared" si="598"/>
        <v>-3.0734385353095105E-2</v>
      </c>
      <c r="Z1101" s="49"/>
      <c r="AA1101" s="24"/>
    </row>
    <row r="1102" spans="1:27" s="13" customFormat="1" hidden="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29.75</v>
      </c>
      <c r="V1102" s="16">
        <f>IF(ISNA(VLOOKUP(LOWER(F1102)&amp;H1102,Prices!A:C,2,0)),0,VLOOKUP(LOWER(F1102)&amp;H1102,Prices!A:C,2,0))</f>
        <v>30</v>
      </c>
      <c r="W1102" s="49">
        <f t="shared" si="596"/>
        <v>-4706.9400000000032</v>
      </c>
      <c r="X1102" s="24">
        <f t="shared" si="597"/>
        <v>250</v>
      </c>
      <c r="Y1102" s="43">
        <f t="shared" si="598"/>
        <v>-0.13564668587896264</v>
      </c>
      <c r="Z1102" s="49"/>
      <c r="AA1102" s="24"/>
    </row>
    <row r="1103" spans="1:27" s="13" customFormat="1" hidden="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59.32</v>
      </c>
      <c r="V1103" s="16">
        <f>IF(ISNA(VLOOKUP(LOWER(F1103)&amp;H1103,Prices!A:C,2,0)),0,VLOOKUP(LOWER(F1103)&amp;H1103,Prices!A:C,2,0))</f>
        <v>58.28</v>
      </c>
      <c r="W1103" s="49">
        <f t="shared" si="596"/>
        <v>23002.946</v>
      </c>
      <c r="X1103" s="24">
        <f t="shared" si="597"/>
        <v>-1039.9999999999991</v>
      </c>
      <c r="Y1103" s="43">
        <f t="shared" si="598"/>
        <v>0.65219580379926279</v>
      </c>
      <c r="Z1103" s="49"/>
      <c r="AA1103" s="24"/>
    </row>
    <row r="1104" spans="1:27" s="13" customFormat="1" hidden="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hidden="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13.08</v>
      </c>
      <c r="V1105" s="16">
        <f>IF(ISNA(VLOOKUP(LOWER(F1105)&amp;H1105,Prices!A:C,2,0)),0,VLOOKUP(LOWER(F1105)&amp;H1105,Prices!A:C,2,0))</f>
        <v>12.94</v>
      </c>
      <c r="W1105" s="49">
        <f t="shared" si="596"/>
        <v>-19630.010000000002</v>
      </c>
      <c r="X1105" s="24">
        <f t="shared" si="597"/>
        <v>-280.00000000000114</v>
      </c>
      <c r="Y1105" s="43">
        <f t="shared" si="598"/>
        <v>-0.43142879120879124</v>
      </c>
      <c r="Z1105" s="49"/>
      <c r="AA1105" s="24"/>
    </row>
    <row r="1106" spans="1:27" s="13" customFormat="1" hidden="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hidden="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18.8</v>
      </c>
      <c r="V1107" s="16">
        <f>IF(ISNA(VLOOKUP(LOWER(F1107)&amp;H1107,Prices!A:C,2,0)),0,VLOOKUP(LOWER(F1107)&amp;H1107,Prices!A:C,2,0))</f>
        <v>19.600000000000001</v>
      </c>
      <c r="W1107" s="49">
        <f t="shared" si="596"/>
        <v>-10507.980000000001</v>
      </c>
      <c r="X1107" s="24">
        <f t="shared" si="597"/>
        <v>1200.0000000000011</v>
      </c>
      <c r="Y1107" s="43">
        <f t="shared" si="598"/>
        <v>-0.26335789473684212</v>
      </c>
      <c r="Z1107" s="49"/>
      <c r="AA1107" s="24"/>
    </row>
    <row r="1108" spans="1:27" s="13" customFormat="1" hidden="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6.88</v>
      </c>
      <c r="V1108" s="16">
        <f>IF(ISNA(VLOOKUP(LOWER(F1108)&amp;H1108,Prices!A:C,2,0)),0,VLOOKUP(LOWER(F1108)&amp;H1108,Prices!A:C,2,0))</f>
        <v>6.76</v>
      </c>
      <c r="W1108" s="49">
        <f t="shared" si="596"/>
        <v>11682.161400000003</v>
      </c>
      <c r="X1108" s="24">
        <f t="shared" si="597"/>
        <v>-840.0000000000008</v>
      </c>
      <c r="Y1108" s="43">
        <f t="shared" si="598"/>
        <v>0.32787430255402761</v>
      </c>
      <c r="Z1108" s="49"/>
      <c r="AA1108" s="24"/>
    </row>
    <row r="1109" spans="1:27" s="13" customFormat="1" hidden="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16.440000000000001</v>
      </c>
      <c r="V1109" s="16">
        <f>IF(ISNA(VLOOKUP(LOWER(F1109)&amp;H1109,Prices!A:C,2,0)),0,VLOOKUP(LOWER(F1109)&amp;H1109,Prices!A:C,2,0))</f>
        <v>16.309999999999999</v>
      </c>
      <c r="W1109" s="49">
        <f t="shared" si="596"/>
        <v>-7991.4859199999992</v>
      </c>
      <c r="X1109" s="24">
        <f t="shared" si="597"/>
        <v>-130.00000000000256</v>
      </c>
      <c r="Y1109" s="43">
        <f t="shared" si="598"/>
        <v>-0.32892187685215668</v>
      </c>
      <c r="Z1109" s="49"/>
      <c r="AA1109" s="24"/>
    </row>
    <row r="1110" spans="1:27" s="13" customFormat="1" hidden="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4.5599999999999996</v>
      </c>
      <c r="V1110" s="16">
        <f>IF(ISNA(VLOOKUP(LOWER(F1110)&amp;H1110,Prices!A:C,2,0)),0,VLOOKUP(LOWER(F1110)&amp;H1110,Prices!A:C,2,0))</f>
        <v>4.57</v>
      </c>
      <c r="W1110" s="49">
        <f t="shared" si="596"/>
        <v>-2305.5329999999994</v>
      </c>
      <c r="X1110" s="24">
        <f t="shared" si="597"/>
        <v>50.000000000003375</v>
      </c>
      <c r="Y1110" s="43">
        <f t="shared" si="598"/>
        <v>-9.1671292246520847E-2</v>
      </c>
      <c r="Z1110" s="49"/>
      <c r="AA1110" s="24"/>
    </row>
    <row r="1111" spans="1:27" s="13" customFormat="1" hidden="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41.35</v>
      </c>
      <c r="V1111" s="16">
        <f>IF(ISNA(VLOOKUP(LOWER(F1111)&amp;H1111,Prices!A:C,2,0)),0,VLOOKUP(LOWER(F1111)&amp;H1111,Prices!A:C,2,0))</f>
        <v>42.03</v>
      </c>
      <c r="W1111" s="49">
        <f t="shared" si="596"/>
        <v>971.7899999999986</v>
      </c>
      <c r="X1111" s="24">
        <f t="shared" si="597"/>
        <v>679.99999999999977</v>
      </c>
      <c r="Y1111" s="43">
        <f t="shared" si="598"/>
        <v>2.3673325213154656E-2</v>
      </c>
      <c r="Z1111" s="49"/>
      <c r="AA1111" s="24"/>
    </row>
    <row r="1112" spans="1:27" s="13" customFormat="1" hidden="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67.11</v>
      </c>
      <c r="V1112" s="16">
        <f>IF(ISNA(VLOOKUP(LOWER(F1112)&amp;H1112,Prices!A:C,2,0)),0,VLOOKUP(LOWER(F1112)&amp;H1112,Prices!A:C,2,0))</f>
        <v>68.489999999999995</v>
      </c>
      <c r="W1112" s="49">
        <f t="shared" si="596"/>
        <v>13540</v>
      </c>
      <c r="X1112" s="24">
        <f t="shared" si="597"/>
        <v>689.99999999999773</v>
      </c>
      <c r="Y1112" s="43">
        <f t="shared" si="598"/>
        <v>0.65410628019323669</v>
      </c>
      <c r="Z1112" s="49"/>
      <c r="AA1112" s="24"/>
    </row>
    <row r="1113" spans="1:27" s="13" customFormat="1" hidden="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112.98</v>
      </c>
      <c r="V1113" s="16">
        <f>IF(ISNA(VLOOKUP(LOWER(F1113)&amp;H1113,Prices!A:C,2,0)),0,VLOOKUP(LOWER(F1113)&amp;H1113,Prices!A:C,2,0))</f>
        <v>115.9</v>
      </c>
      <c r="W1113" s="49">
        <f t="shared" si="596"/>
        <v>12245.178399999997</v>
      </c>
      <c r="X1113" s="24">
        <f t="shared" si="597"/>
        <v>1168.0000000000007</v>
      </c>
      <c r="Y1113" s="43">
        <f t="shared" si="598"/>
        <v>0.35901191509323316</v>
      </c>
      <c r="Z1113" s="49"/>
      <c r="AA1113" s="24"/>
    </row>
    <row r="1114" spans="1:27" s="13" customFormat="1" hidden="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112.98</v>
      </c>
      <c r="V1114" s="16">
        <f>IF(ISNA(VLOOKUP(LOWER(F1114)&amp;H1114,Prices!A:C,2,0)),0,VLOOKUP(LOWER(F1114)&amp;H1114,Prices!A:C,2,0))</f>
        <v>115.9</v>
      </c>
      <c r="W1114" s="49">
        <f t="shared" si="596"/>
        <v>9210.8891999999978</v>
      </c>
      <c r="X1114" s="24">
        <f t="shared" si="597"/>
        <v>876.00000000000045</v>
      </c>
      <c r="Y1114" s="43">
        <f t="shared" si="598"/>
        <v>0.36044803944587916</v>
      </c>
      <c r="Z1114" s="49"/>
      <c r="AA1114" s="24"/>
    </row>
    <row r="1115" spans="1:27" s="13" customFormat="1" hidden="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112.98</v>
      </c>
      <c r="V1115" s="16">
        <f>IF(ISNA(VLOOKUP(LOWER(F1115)&amp;H1115,Prices!A:C,2,0)),0,VLOOKUP(LOWER(F1115)&amp;H1115,Prices!A:C,2,0))</f>
        <v>115.9</v>
      </c>
      <c r="W1115" s="49">
        <f t="shared" si="596"/>
        <v>9207.8885999999984</v>
      </c>
      <c r="X1115" s="24">
        <f t="shared" si="597"/>
        <v>876.00000000000045</v>
      </c>
      <c r="Y1115" s="43">
        <f t="shared" si="598"/>
        <v>0.36028832022537849</v>
      </c>
      <c r="Z1115" s="49"/>
      <c r="AA1115" s="24"/>
    </row>
    <row r="1116" spans="1:27" s="13" customFormat="1" hidden="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35.799999999999997</v>
      </c>
      <c r="V1116" s="16">
        <f>IF(ISNA(VLOOKUP(LOWER(F1116)&amp;H1116,Prices!A:C,2,0)),0,VLOOKUP(LOWER(F1116)&amp;H1116,Prices!A:C,2,0))</f>
        <v>38.49</v>
      </c>
      <c r="W1116" s="49">
        <f t="shared" si="596"/>
        <v>3722.3528000000028</v>
      </c>
      <c r="X1116" s="24">
        <f t="shared" si="597"/>
        <v>2690.000000000005</v>
      </c>
      <c r="Y1116" s="43">
        <f t="shared" si="598"/>
        <v>0.10708724971231308</v>
      </c>
      <c r="Z1116" s="49"/>
      <c r="AA1116" s="24"/>
    </row>
    <row r="1117" spans="1:27" s="13" customFormat="1" hidden="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10.51</v>
      </c>
      <c r="V1117" s="16">
        <f>IF(ISNA(VLOOKUP(LOWER(F1117)&amp;H1117,Prices!A:C,2,0)),0,VLOOKUP(LOWER(F1117)&amp;H1117,Prices!A:C,2,0))</f>
        <v>11.12</v>
      </c>
      <c r="W1117" s="49">
        <f t="shared" si="596"/>
        <v>-967.55040000000213</v>
      </c>
      <c r="X1117" s="24">
        <f t="shared" si="597"/>
        <v>1829.9999999999982</v>
      </c>
      <c r="Y1117" s="43">
        <f t="shared" si="598"/>
        <v>-2.8192027972028032E-2</v>
      </c>
      <c r="Z1117" s="49"/>
      <c r="AA1117" s="24"/>
    </row>
    <row r="1118" spans="1:27" s="13" customFormat="1" hidden="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40.83</v>
      </c>
      <c r="V1118" s="16">
        <f>IF(ISNA(VLOOKUP(LOWER(F1118)&amp;H1118,Prices!A:C,2,0)),0,VLOOKUP(LOWER(F1118)&amp;H1118,Prices!A:C,2,0))</f>
        <v>42.32</v>
      </c>
      <c r="W1118" s="49">
        <f t="shared" si="596"/>
        <v>24741.479400000007</v>
      </c>
      <c r="X1118" s="24">
        <f t="shared" si="597"/>
        <v>2235.0000000000032</v>
      </c>
      <c r="Y1118" s="43">
        <f t="shared" si="598"/>
        <v>0.63881950426026357</v>
      </c>
      <c r="Z1118" s="49"/>
      <c r="AA1118" s="24"/>
    </row>
    <row r="1119" spans="1:27" s="13" customFormat="1" hidden="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10.78</v>
      </c>
      <c r="V1119" s="16">
        <f>IF(ISNA(VLOOKUP(LOWER(F1119)&amp;H1119,Prices!A:C,2,0)),0,VLOOKUP(LOWER(F1119)&amp;H1119,Prices!A:C,2,0))</f>
        <v>10.91</v>
      </c>
      <c r="W1119" s="49">
        <f t="shared" si="596"/>
        <v>-3037.1520000000023</v>
      </c>
      <c r="X1119" s="24">
        <f t="shared" si="597"/>
        <v>390.00000000000233</v>
      </c>
      <c r="Y1119" s="43">
        <f t="shared" si="598"/>
        <v>-8.4931543624161138E-2</v>
      </c>
      <c r="Z1119" s="49"/>
      <c r="AA1119" s="24"/>
    </row>
    <row r="1120" spans="1:27" s="13" customFormat="1" hidden="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41.3</v>
      </c>
      <c r="V1120" s="16">
        <f>IF(ISNA(VLOOKUP(LOWER(F1120)&amp;H1120,Prices!A:C,2,0)),0,VLOOKUP(LOWER(F1120)&amp;H1120,Prices!A:C,2,0))</f>
        <v>42.53</v>
      </c>
      <c r="W1120" s="49">
        <f t="shared" si="596"/>
        <v>-2049.4699999999993</v>
      </c>
      <c r="X1120" s="24">
        <f t="shared" si="597"/>
        <v>-246.0000000000008</v>
      </c>
      <c r="Y1120" s="43">
        <f t="shared" si="598"/>
        <v>-0.31686301793444638</v>
      </c>
      <c r="Z1120" s="49"/>
      <c r="AA1120" s="24"/>
    </row>
    <row r="1121" spans="1:27" s="13" customFormat="1" hidden="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29.75</v>
      </c>
      <c r="V1121" s="16">
        <f>IF(ISNA(VLOOKUP(LOWER(F1121)&amp;H1121,Prices!A:C,2,0)),0,VLOOKUP(LOWER(F1121)&amp;H1121,Prices!A:C,2,0))</f>
        <v>30</v>
      </c>
      <c r="W1121" s="49">
        <f t="shared" si="596"/>
        <v>-4536.9060000000018</v>
      </c>
      <c r="X1121" s="24">
        <f t="shared" si="597"/>
        <v>250</v>
      </c>
      <c r="Y1121" s="43">
        <f t="shared" si="598"/>
        <v>-0.13139026933101655</v>
      </c>
      <c r="Z1121" s="49"/>
      <c r="AA1121" s="24"/>
    </row>
    <row r="1122" spans="1:27" s="13" customFormat="1" hidden="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35.799999999999997</v>
      </c>
      <c r="V1122" s="16">
        <f>IF(ISNA(VLOOKUP(LOWER(F1122)&amp;H1122,Prices!A:C,2,0)),0,VLOOKUP(LOWER(F1122)&amp;H1122,Prices!A:C,2,0))</f>
        <v>38.49</v>
      </c>
      <c r="W1122" s="49">
        <f t="shared" ref="W1122:W1164" si="604">IF(I1122="B",(V1122+T1122)*K1122,(V1122+T1122)*K1122)</f>
        <v>-746.09928000000139</v>
      </c>
      <c r="X1122" s="24">
        <f t="shared" ref="X1122:X1164" si="605">K1122*(V1122-U1122)</f>
        <v>-538.00000000000091</v>
      </c>
      <c r="Y1122" s="43">
        <f t="shared" ref="Y1122:Y1164" si="606">W1122/O1122</f>
        <v>-0.10713659965537067</v>
      </c>
      <c r="Z1122" s="49"/>
      <c r="AA1122" s="24"/>
    </row>
    <row r="1123" spans="1:27" s="13" customFormat="1" hidden="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35.799999999999997</v>
      </c>
      <c r="V1123" s="16">
        <f>IF(ISNA(VLOOKUP(LOWER(F1123)&amp;H1123,Prices!A:C,2,0)),0,VLOOKUP(LOWER(F1123)&amp;H1123,Prices!A:C,2,0))</f>
        <v>38.49</v>
      </c>
      <c r="W1123" s="49">
        <f t="shared" si="604"/>
        <v>-5598.6840000000093</v>
      </c>
      <c r="X1123" s="24">
        <f t="shared" si="605"/>
        <v>-4035.0000000000073</v>
      </c>
      <c r="Y1123" s="43">
        <f t="shared" si="606"/>
        <v>-0.10725448275862089</v>
      </c>
      <c r="Z1123" s="49"/>
      <c r="AA1123" s="24"/>
    </row>
    <row r="1124" spans="1:27" s="13" customFormat="1" hidden="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4.5599999999999996</v>
      </c>
      <c r="V1124" s="16">
        <f>IF(ISNA(VLOOKUP(LOWER(F1124)&amp;H1124,Prices!A:C,2,0)),0,VLOOKUP(LOWER(F1124)&amp;H1124,Prices!A:C,2,0))</f>
        <v>4.57</v>
      </c>
      <c r="W1124" s="49">
        <f t="shared" si="604"/>
        <v>2254.0288000000005</v>
      </c>
      <c r="X1124" s="24">
        <f t="shared" si="605"/>
        <v>-40.0000000000027</v>
      </c>
      <c r="Y1124" s="43">
        <f t="shared" si="606"/>
        <v>0.10963175097276268</v>
      </c>
      <c r="Z1124" s="49"/>
      <c r="AA1124" s="24"/>
    </row>
    <row r="1125" spans="1:27" s="13" customFormat="1" hidden="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29.75</v>
      </c>
      <c r="V1125" s="16">
        <f>IF(ISNA(VLOOKUP(LOWER(F1125)&amp;H1125,Prices!A:C,2,0)),0,VLOOKUP(LOWER(F1125)&amp;H1125,Prices!A:C,2,0))</f>
        <v>30</v>
      </c>
      <c r="W1125" s="49">
        <f t="shared" si="604"/>
        <v>2252.7200000000003</v>
      </c>
      <c r="X1125" s="24">
        <f t="shared" si="605"/>
        <v>-125</v>
      </c>
      <c r="Y1125" s="43">
        <f t="shared" si="606"/>
        <v>0.13040347322720697</v>
      </c>
      <c r="Z1125" s="49"/>
      <c r="AA1125" s="24"/>
    </row>
    <row r="1126" spans="1:27" s="13" customFormat="1" hidden="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29.75</v>
      </c>
      <c r="V1126" s="16">
        <f>IF(ISNA(VLOOKUP(LOWER(F1126)&amp;H1126,Prices!A:C,2,0)),0,VLOOKUP(LOWER(F1126)&amp;H1126,Prices!A:C,2,0))</f>
        <v>30</v>
      </c>
      <c r="W1126" s="49">
        <f t="shared" si="604"/>
        <v>7302.1569999999901</v>
      </c>
      <c r="X1126" s="24">
        <f t="shared" si="605"/>
        <v>-375</v>
      </c>
      <c r="Y1126" s="43">
        <f t="shared" si="606"/>
        <v>0.13944728349088115</v>
      </c>
      <c r="Z1126" s="49"/>
      <c r="AA1126" s="24"/>
    </row>
    <row r="1127" spans="1:27" s="13" customFormat="1" hidden="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10.78</v>
      </c>
      <c r="V1127" s="16">
        <f>IF(ISNA(VLOOKUP(LOWER(F1127)&amp;H1127,Prices!A:C,2,0)),0,VLOOKUP(LOWER(F1127)&amp;H1127,Prices!A:C,2,0))</f>
        <v>10.91</v>
      </c>
      <c r="W1127" s="49">
        <f t="shared" si="604"/>
        <v>2190.9600000000005</v>
      </c>
      <c r="X1127" s="24">
        <f t="shared" si="605"/>
        <v>-260.00000000000159</v>
      </c>
      <c r="Y1127" s="43">
        <f t="shared" si="606"/>
        <v>9.1138103161397685E-2</v>
      </c>
      <c r="Z1127" s="49"/>
      <c r="AA1127" s="24"/>
    </row>
    <row r="1128" spans="1:27" s="13" customFormat="1" hidden="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41.3</v>
      </c>
      <c r="V1128" s="16">
        <f>IF(ISNA(VLOOKUP(LOWER(F1128)&amp;H1128,Prices!A:C,2,0)),0,VLOOKUP(LOWER(F1128)&amp;H1128,Prices!A:C,2,0))</f>
        <v>42.53</v>
      </c>
      <c r="W1128" s="49">
        <f t="shared" si="604"/>
        <v>-1004.26</v>
      </c>
      <c r="X1128" s="24">
        <f t="shared" si="605"/>
        <v>-123.0000000000004</v>
      </c>
      <c r="Y1128" s="43">
        <f t="shared" si="606"/>
        <v>-0.30833896223518575</v>
      </c>
      <c r="Z1128" s="49"/>
      <c r="AA1128" s="24"/>
    </row>
    <row r="1129" spans="1:27" s="13" customFormat="1" hidden="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13.08</v>
      </c>
      <c r="V1129" s="16">
        <f>IF(ISNA(VLOOKUP(LOWER(F1129)&amp;H1129,Prices!A:C,2,0)),0,VLOOKUP(LOWER(F1129)&amp;H1129,Prices!A:C,2,0))</f>
        <v>12.94</v>
      </c>
      <c r="W1129" s="49">
        <f t="shared" si="604"/>
        <v>8209.7223799999992</v>
      </c>
      <c r="X1129" s="24">
        <f t="shared" si="605"/>
        <v>126.00000000000051</v>
      </c>
      <c r="Y1129" s="43">
        <f t="shared" si="606"/>
        <v>0.41294313062723198</v>
      </c>
      <c r="Z1129" s="49"/>
      <c r="AA1129" s="24"/>
    </row>
    <row r="1130" spans="1:27" s="13" customFormat="1" hidden="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13.08</v>
      </c>
      <c r="V1130" s="16">
        <f>IF(ISNA(VLOOKUP(LOWER(F1130)&amp;H1130,Prices!A:C,2,0)),0,VLOOKUP(LOWER(F1130)&amp;H1130,Prices!A:C,2,0))</f>
        <v>12.94</v>
      </c>
      <c r="W1130" s="49">
        <f t="shared" si="604"/>
        <v>9132.4580000000024</v>
      </c>
      <c r="X1130" s="24">
        <f t="shared" si="605"/>
        <v>140.00000000000057</v>
      </c>
      <c r="Y1130" s="43">
        <f t="shared" si="606"/>
        <v>0.41323339366515849</v>
      </c>
      <c r="Z1130" s="49"/>
      <c r="AA1130" s="24"/>
    </row>
    <row r="1131" spans="1:27" s="13" customFormat="1" hidden="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40.83</v>
      </c>
      <c r="V1131" s="16">
        <f>IF(ISNA(VLOOKUP(LOWER(F1131)&amp;H1131,Prices!A:C,2,0)),0,VLOOKUP(LOWER(F1131)&amp;H1131,Prices!A:C,2,0))</f>
        <v>42.32</v>
      </c>
      <c r="W1131" s="49">
        <f t="shared" si="604"/>
        <v>-19226.551120000004</v>
      </c>
      <c r="X1131" s="24">
        <f t="shared" si="605"/>
        <v>-1788.0000000000023</v>
      </c>
      <c r="Y1131" s="43">
        <f t="shared" si="606"/>
        <v>-0.60851218888466918</v>
      </c>
      <c r="Z1131" s="49"/>
      <c r="AA1131" s="24"/>
    </row>
    <row r="1132" spans="1:27" s="13" customFormat="1" hidden="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6.18</v>
      </c>
      <c r="V1132" s="16">
        <f>IF(ISNA(VLOOKUP(LOWER(F1132)&amp;H1132,Prices!A:C,2,0)),0,VLOOKUP(LOWER(F1132)&amp;H1132,Prices!A:C,2,0))</f>
        <v>6.1</v>
      </c>
      <c r="W1132" s="49">
        <f t="shared" si="604"/>
        <v>-9309.1800000000039</v>
      </c>
      <c r="X1132" s="24">
        <f t="shared" si="605"/>
        <v>-480.00000000000045</v>
      </c>
      <c r="Y1132" s="43">
        <f t="shared" si="606"/>
        <v>-0.20281437908496741</v>
      </c>
      <c r="Z1132" s="49"/>
      <c r="AA1132" s="24"/>
    </row>
    <row r="1133" spans="1:27" s="13" customFormat="1" hidden="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4.71</v>
      </c>
      <c r="V1133" s="16">
        <f>IF(ISNA(VLOOKUP(LOWER(F1133)&amp;H1133,Prices!A:C,2,0)),0,VLOOKUP(LOWER(F1133)&amp;H1133,Prices!A:C,2,0))</f>
        <v>4.68</v>
      </c>
      <c r="W1133" s="49">
        <f t="shared" si="604"/>
        <v>1338.9700000000007</v>
      </c>
      <c r="X1133" s="24">
        <f t="shared" si="605"/>
        <v>30.000000000000249</v>
      </c>
      <c r="Y1133" s="43">
        <f t="shared" si="606"/>
        <v>0.22205140961857392</v>
      </c>
      <c r="Z1133" s="49"/>
      <c r="AA1133" s="24"/>
    </row>
    <row r="1134" spans="1:27" s="13" customFormat="1" hidden="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59.32</v>
      </c>
      <c r="V1134" s="16">
        <f>IF(ISNA(VLOOKUP(LOWER(F1134)&amp;H1134,Prices!A:C,2,0)),0,VLOOKUP(LOWER(F1134)&amp;H1134,Prices!A:C,2,0))</f>
        <v>58.28</v>
      </c>
      <c r="W1134" s="49">
        <f t="shared" si="604"/>
        <v>-25319.600000000002</v>
      </c>
      <c r="X1134" s="24">
        <f t="shared" si="605"/>
        <v>1039.9999999999991</v>
      </c>
      <c r="Y1134" s="43">
        <f t="shared" si="606"/>
        <v>-0.76726060606060609</v>
      </c>
      <c r="Z1134" s="49"/>
      <c r="AA1134" s="24"/>
    </row>
    <row r="1135" spans="1:27" s="13" customFormat="1" hidden="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hidden="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hidden="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hidden="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19.510000000000002</v>
      </c>
      <c r="V1138" s="16">
        <f>IF(ISNA(VLOOKUP(LOWER(F1138)&amp;H1138,Prices!A:C,2,0)),0,VLOOKUP(LOWER(F1138)&amp;H1138,Prices!A:C,2,0))</f>
        <v>19.61</v>
      </c>
      <c r="W1138" s="49">
        <f t="shared" si="604"/>
        <v>12117.620000000003</v>
      </c>
      <c r="X1138" s="24">
        <f t="shared" si="605"/>
        <v>249.99999999999466</v>
      </c>
      <c r="Y1138" s="43">
        <f t="shared" si="606"/>
        <v>0.32839078590785914</v>
      </c>
      <c r="Z1138" s="49"/>
      <c r="AA1138" s="24"/>
    </row>
    <row r="1139" spans="1:27" s="13" customFormat="1" hidden="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41.35</v>
      </c>
      <c r="V1139" s="16">
        <f>IF(ISNA(VLOOKUP(LOWER(F1139)&amp;H1139,Prices!A:C,2,0)),0,VLOOKUP(LOWER(F1139)&amp;H1139,Prices!A:C,2,0))</f>
        <v>42.03</v>
      </c>
      <c r="W1139" s="49">
        <f t="shared" si="604"/>
        <v>-490.54999999999893</v>
      </c>
      <c r="X1139" s="24">
        <f t="shared" si="605"/>
        <v>-339.99999999999989</v>
      </c>
      <c r="Y1139" s="43">
        <f t="shared" si="606"/>
        <v>-2.3871046228710412E-2</v>
      </c>
      <c r="Z1139" s="49"/>
      <c r="AA1139" s="24"/>
    </row>
    <row r="1140" spans="1:27" s="13" customFormat="1" hidden="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10.51</v>
      </c>
      <c r="V1140" s="16">
        <f>IF(ISNA(VLOOKUP(LOWER(F1140)&amp;H1140,Prices!A:C,2,0)),0,VLOOKUP(LOWER(F1140)&amp;H1140,Prices!A:C,2,0))</f>
        <v>11.12</v>
      </c>
      <c r="W1140" s="49">
        <f t="shared" si="604"/>
        <v>366.31410000000119</v>
      </c>
      <c r="X1140" s="24">
        <f t="shared" si="605"/>
        <v>-1036.9999999999991</v>
      </c>
      <c r="Y1140" s="43">
        <f t="shared" si="606"/>
        <v>1.8984923555325276E-2</v>
      </c>
      <c r="Z1140" s="49"/>
      <c r="AA1140" s="24"/>
    </row>
    <row r="1141" spans="1:27" s="13" customFormat="1" hidden="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10.51</v>
      </c>
      <c r="V1141" s="16">
        <f>IF(ISNA(VLOOKUP(LOWER(F1141)&amp;H1141,Prices!A:C,2,0)),0,VLOOKUP(LOWER(F1141)&amp;H1141,Prices!A:C,2,0))</f>
        <v>11.12</v>
      </c>
      <c r="W1141" s="49">
        <f t="shared" si="604"/>
        <v>721.57819999999708</v>
      </c>
      <c r="X1141" s="24">
        <f t="shared" si="605"/>
        <v>-2134.9999999999982</v>
      </c>
      <c r="Y1141" s="43">
        <f t="shared" si="606"/>
        <v>1.8180352733685994E-2</v>
      </c>
      <c r="Z1141" s="49"/>
      <c r="AA1141" s="24"/>
    </row>
    <row r="1142" spans="1:27" s="13" customFormat="1" hidden="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37.229999999999997</v>
      </c>
      <c r="V1142" s="16">
        <f>IF(ISNA(VLOOKUP(LOWER(F1142)&amp;H1142,Prices!A:C,2,0)),0,VLOOKUP(LOWER(F1142)&amp;H1142,Prices!A:C,2,0))</f>
        <v>36.74</v>
      </c>
      <c r="W1142" s="49">
        <f t="shared" si="604"/>
        <v>11570.423400000001</v>
      </c>
      <c r="X1142" s="24">
        <f t="shared" si="605"/>
        <v>-734.99999999999227</v>
      </c>
      <c r="Y1142" s="43">
        <f t="shared" si="606"/>
        <v>0.26580343211578228</v>
      </c>
      <c r="Z1142" s="49"/>
      <c r="AA1142" s="24"/>
    </row>
    <row r="1143" spans="1:27" s="13" customFormat="1" hidden="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61.83</v>
      </c>
      <c r="V1143" s="16">
        <f>IF(ISNA(VLOOKUP(LOWER(F1143)&amp;H1143,Prices!A:C,2,0)),0,VLOOKUP(LOWER(F1143)&amp;H1143,Prices!A:C,2,0))</f>
        <v>67.349999999999994</v>
      </c>
      <c r="W1143" s="49">
        <f t="shared" si="604"/>
        <v>25220.733599999996</v>
      </c>
      <c r="X1143" s="24">
        <f t="shared" si="605"/>
        <v>5519.9999999999964</v>
      </c>
      <c r="Y1143" s="43">
        <f t="shared" si="606"/>
        <v>0.59878284900284895</v>
      </c>
      <c r="Z1143" s="49"/>
      <c r="AA1143" s="24"/>
    </row>
    <row r="1144" spans="1:27" s="13" customFormat="1" hidden="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61.83</v>
      </c>
      <c r="V1144" s="16">
        <f>IF(ISNA(VLOOKUP(LOWER(F1144)&amp;H1144,Prices!A:C,2,0)),0,VLOOKUP(LOWER(F1144)&amp;H1144,Prices!A:C,2,0))</f>
        <v>67.349999999999994</v>
      </c>
      <c r="W1144" s="49">
        <f t="shared" si="604"/>
        <v>25040.693999999996</v>
      </c>
      <c r="X1144" s="24">
        <f t="shared" si="605"/>
        <v>5519.9999999999964</v>
      </c>
      <c r="Y1144" s="43">
        <f t="shared" si="606"/>
        <v>0.5919785815602836</v>
      </c>
      <c r="Z1144" s="49"/>
      <c r="AA1144" s="24"/>
    </row>
    <row r="1145" spans="1:27" s="13" customFormat="1" hidden="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112.98</v>
      </c>
      <c r="V1145" s="16">
        <f>IF(ISNA(VLOOKUP(LOWER(F1145)&amp;H1145,Prices!A:C,2,0)),0,VLOOKUP(LOWER(F1145)&amp;H1145,Prices!A:C,2,0))</f>
        <v>115.9</v>
      </c>
      <c r="W1145" s="49">
        <f t="shared" si="604"/>
        <v>-20303.159200000002</v>
      </c>
      <c r="X1145" s="24">
        <f t="shared" si="605"/>
        <v>-1752.0000000000009</v>
      </c>
      <c r="Y1145" s="43">
        <f t="shared" si="606"/>
        <v>-0.41186220382992539</v>
      </c>
      <c r="Z1145" s="49"/>
      <c r="AA1145" s="24"/>
    </row>
    <row r="1146" spans="1:27" s="13" customFormat="1" hidden="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112.98</v>
      </c>
      <c r="V1146" s="16">
        <f>IF(ISNA(VLOOKUP(LOWER(F1146)&amp;H1146,Prices!A:C,2,0)),0,VLOOKUP(LOWER(F1146)&amp;H1146,Prices!A:C,2,0))</f>
        <v>115.9</v>
      </c>
      <c r="W1146" s="49">
        <f t="shared" si="604"/>
        <v>-20279.184000000005</v>
      </c>
      <c r="X1146" s="24">
        <f t="shared" si="605"/>
        <v>-1752.0000000000009</v>
      </c>
      <c r="Y1146" s="43">
        <f t="shared" si="606"/>
        <v>-0.41117566909975678</v>
      </c>
      <c r="Z1146" s="49"/>
      <c r="AA1146" s="24"/>
    </row>
    <row r="1147" spans="1:27" s="13" customFormat="1" hidden="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hidden="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hidden="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18.8</v>
      </c>
      <c r="V1149" s="16">
        <f>IF(ISNA(VLOOKUP(LOWER(F1149)&amp;H1149,Prices!A:C,2,0)),0,VLOOKUP(LOWER(F1149)&amp;H1149,Prices!A:C,2,0))</f>
        <v>19.600000000000001</v>
      </c>
      <c r="W1149" s="49">
        <f t="shared" si="604"/>
        <v>5701.5899999999983</v>
      </c>
      <c r="X1149" s="24">
        <f t="shared" si="605"/>
        <v>-640.00000000000057</v>
      </c>
      <c r="Y1149" s="43">
        <f t="shared" si="606"/>
        <v>0.26632987668161429</v>
      </c>
      <c r="Z1149" s="49"/>
      <c r="AA1149" s="24"/>
    </row>
    <row r="1150" spans="1:27" s="13" customFormat="1" hidden="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18.8</v>
      </c>
      <c r="V1150" s="16">
        <f>IF(ISNA(VLOOKUP(LOWER(F1150)&amp;H1150,Prices!A:C,2,0)),0,VLOOKUP(LOWER(F1150)&amp;H1150,Prices!A:C,2,0))</f>
        <v>19.600000000000001</v>
      </c>
      <c r="W1150" s="49">
        <f t="shared" si="604"/>
        <v>4918.3399999999992</v>
      </c>
      <c r="X1150" s="24">
        <f t="shared" si="605"/>
        <v>-560.00000000000045</v>
      </c>
      <c r="Y1150" s="43">
        <f t="shared" si="606"/>
        <v>0.26354838709677414</v>
      </c>
      <c r="Z1150" s="49"/>
      <c r="AA1150" s="24"/>
    </row>
    <row r="1151" spans="1:27" s="13" customFormat="1" hidden="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hidden="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hidden="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16.440000000000001</v>
      </c>
      <c r="V1153" s="16">
        <f>IF(ISNA(VLOOKUP(LOWER(F1153)&amp;H1153,Prices!A:C,2,0)),0,VLOOKUP(LOWER(F1153)&amp;H1153,Prices!A:C,2,0))</f>
        <v>16.309999999999999</v>
      </c>
      <c r="W1153" s="49">
        <f t="shared" si="604"/>
        <v>3612.9743000000012</v>
      </c>
      <c r="X1153" s="24">
        <f t="shared" si="605"/>
        <v>65.000000000001279</v>
      </c>
      <c r="Y1153" s="43">
        <f t="shared" si="606"/>
        <v>0.30657397539244813</v>
      </c>
      <c r="Z1153" s="49"/>
      <c r="AA1153" s="24"/>
    </row>
    <row r="1154" spans="1:27" s="13" customFormat="1" hidden="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9.69</v>
      </c>
      <c r="V1154" s="16">
        <f>IF(ISNA(VLOOKUP(LOWER(F1154)&amp;H1154,Prices!A:C,2,0)),0,VLOOKUP(LOWER(F1154)&amp;H1154,Prices!A:C,2,0))</f>
        <v>9.4499999999999993</v>
      </c>
      <c r="W1154" s="49">
        <f t="shared" si="604"/>
        <v>-1626.5934000000009</v>
      </c>
      <c r="X1154" s="24">
        <f t="shared" si="605"/>
        <v>-720.00000000000068</v>
      </c>
      <c r="Y1154" s="43">
        <f t="shared" si="606"/>
        <v>-5.4274054054054083E-2</v>
      </c>
      <c r="Z1154" s="49"/>
      <c r="AA1154" s="24"/>
    </row>
    <row r="1155" spans="1:27" s="13" customFormat="1" hidden="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9.69</v>
      </c>
      <c r="V1155" s="16">
        <f>IF(ISNA(VLOOKUP(LOWER(F1155)&amp;H1155,Prices!A:C,2,0)),0,VLOOKUP(LOWER(F1155)&amp;H1155,Prices!A:C,2,0))</f>
        <v>9.4499999999999993</v>
      </c>
      <c r="W1155" s="49">
        <f t="shared" si="604"/>
        <v>-1656.6000000000026</v>
      </c>
      <c r="X1155" s="24">
        <f t="shared" si="605"/>
        <v>-720.00000000000068</v>
      </c>
      <c r="Y1155" s="43">
        <f t="shared" si="606"/>
        <v>-5.5220000000000088E-2</v>
      </c>
      <c r="Z1155" s="49"/>
      <c r="AA1155" s="24"/>
    </row>
    <row r="1156" spans="1:27" s="13" customFormat="1" hidden="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14.92</v>
      </c>
      <c r="V1156" s="16">
        <f>IF(ISNA(VLOOKUP(LOWER(F1156)&amp;H1156,Prices!A:C,2,0)),0,VLOOKUP(LOWER(F1156)&amp;H1156,Prices!A:C,2,0))</f>
        <v>14.79</v>
      </c>
      <c r="W1156" s="49">
        <f t="shared" si="604"/>
        <v>-7968.2588000000078</v>
      </c>
      <c r="X1156" s="24">
        <f t="shared" si="605"/>
        <v>-260.00000000000159</v>
      </c>
      <c r="Y1156" s="43">
        <f t="shared" si="606"/>
        <v>-0.21226049014384676</v>
      </c>
      <c r="Z1156" s="49"/>
      <c r="AA1156" s="24"/>
    </row>
    <row r="1157" spans="1:27" s="13" customFormat="1" hidden="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14.92</v>
      </c>
      <c r="V1157" s="16">
        <f>IF(ISNA(VLOOKUP(LOWER(F1157)&amp;H1157,Prices!A:C,2,0)),0,VLOOKUP(LOWER(F1157)&amp;H1157,Prices!A:C,2,0))</f>
        <v>14.79</v>
      </c>
      <c r="W1157" s="49">
        <f t="shared" si="604"/>
        <v>-4005.375800000003</v>
      </c>
      <c r="X1157" s="24">
        <f t="shared" si="605"/>
        <v>-130.0000000000008</v>
      </c>
      <c r="Y1157" s="43">
        <f t="shared" si="606"/>
        <v>-0.21316529004789797</v>
      </c>
      <c r="Z1157" s="49"/>
      <c r="AA1157" s="24"/>
    </row>
    <row r="1158" spans="1:27" s="13" customFormat="1" hidden="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14.92</v>
      </c>
      <c r="V1158" s="16">
        <f>IF(ISNA(VLOOKUP(LOWER(F1158)&amp;H1158,Prices!A:C,2,0)),0,VLOOKUP(LOWER(F1158)&amp;H1158,Prices!A:C,2,0))</f>
        <v>14.79</v>
      </c>
      <c r="W1158" s="49">
        <f t="shared" si="604"/>
        <v>-8108.2895999999992</v>
      </c>
      <c r="X1158" s="24">
        <f t="shared" si="605"/>
        <v>-260.00000000000159</v>
      </c>
      <c r="Y1158" s="43">
        <f t="shared" si="606"/>
        <v>-0.21518815286624202</v>
      </c>
      <c r="Z1158" s="49"/>
      <c r="AA1158" s="24"/>
    </row>
    <row r="1159" spans="1:27" s="13" customFormat="1" hidden="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14.92</v>
      </c>
      <c r="V1159" s="16">
        <f>IF(ISNA(VLOOKUP(LOWER(F1159)&amp;H1159,Prices!A:C,2,0)),0,VLOOKUP(LOWER(F1159)&amp;H1159,Prices!A:C,2,0))</f>
        <v>14.79</v>
      </c>
      <c r="W1159" s="49">
        <f t="shared" si="604"/>
        <v>-8208.3115999999955</v>
      </c>
      <c r="X1159" s="24">
        <f t="shared" si="605"/>
        <v>-260.00000000000159</v>
      </c>
      <c r="Y1159" s="43">
        <f t="shared" si="606"/>
        <v>-0.2172660561143461</v>
      </c>
      <c r="Z1159" s="49"/>
      <c r="AA1159" s="24"/>
    </row>
    <row r="1160" spans="1:27" s="13" customFormat="1" hidden="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32.79</v>
      </c>
      <c r="V1160" s="16">
        <f>IF(ISNA(VLOOKUP(LOWER(F1160)&amp;H1160,Prices!A:C,2,0)),0,VLOOKUP(LOWER(F1160)&amp;H1160,Prices!A:C,2,0))</f>
        <v>34.03</v>
      </c>
      <c r="W1160" s="49">
        <f t="shared" si="604"/>
        <v>18337.06336</v>
      </c>
      <c r="X1160" s="24">
        <f t="shared" si="605"/>
        <v>2480.0000000000041</v>
      </c>
      <c r="Y1160" s="43">
        <f t="shared" si="606"/>
        <v>0.36886593498551656</v>
      </c>
      <c r="Z1160" s="49"/>
      <c r="AA1160" s="24"/>
    </row>
    <row r="1161" spans="1:27" s="13" customFormat="1" hidden="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32.79</v>
      </c>
      <c r="V1161" s="16">
        <f>IF(ISNA(VLOOKUP(LOWER(F1161)&amp;H1161,Prices!A:C,2,0)),0,VLOOKUP(LOWER(F1161)&amp;H1161,Prices!A:C,2,0))</f>
        <v>34.03</v>
      </c>
      <c r="W1161" s="49">
        <f t="shared" si="604"/>
        <v>18189.030800000004</v>
      </c>
      <c r="X1161" s="24">
        <f t="shared" si="605"/>
        <v>2480.0000000000041</v>
      </c>
      <c r="Y1161" s="43">
        <f t="shared" si="606"/>
        <v>0.36480206177296437</v>
      </c>
      <c r="Z1161" s="49"/>
      <c r="AA1161" s="24"/>
    </row>
    <row r="1162" spans="1:27" s="13" customFormat="1" hidden="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28.04</v>
      </c>
      <c r="V1162" s="16">
        <f>IF(ISNA(VLOOKUP(LOWER(F1162)&amp;H1162,Prices!A:C,2,0)),0,VLOOKUP(LOWER(F1162)&amp;H1162,Prices!A:C,2,0))</f>
        <v>27.94</v>
      </c>
      <c r="W1162" s="49">
        <f t="shared" si="604"/>
        <v>-2456.7606000000028</v>
      </c>
      <c r="X1162" s="24">
        <f t="shared" si="605"/>
        <v>49.999999999998934</v>
      </c>
      <c r="Y1162" s="43">
        <f t="shared" si="606"/>
        <v>-0.21307550737207309</v>
      </c>
      <c r="Z1162" s="49"/>
      <c r="AA1162" s="24"/>
    </row>
    <row r="1163" spans="1:27" s="13" customFormat="1" hidden="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67.11</v>
      </c>
      <c r="V1163" s="16">
        <f>IF(ISNA(VLOOKUP(LOWER(F1163)&amp;H1163,Prices!A:C,2,0)),0,VLOOKUP(LOWER(F1163)&amp;H1163,Prices!A:C,2,0))</f>
        <v>68.489999999999995</v>
      </c>
      <c r="W1163" s="49">
        <f t="shared" si="604"/>
        <v>-19703.924599999998</v>
      </c>
      <c r="X1163" s="24">
        <f t="shared" si="605"/>
        <v>-965.99999999999682</v>
      </c>
      <c r="Y1163" s="43">
        <f t="shared" si="606"/>
        <v>-0.69691665546634596</v>
      </c>
      <c r="Z1163" s="49"/>
      <c r="AA1163" s="24"/>
    </row>
    <row r="1164" spans="1:27" s="13" customFormat="1" hidden="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67.11</v>
      </c>
      <c r="V1164" s="16">
        <f>IF(ISNA(VLOOKUP(LOWER(F1164)&amp;H1164,Prices!A:C,2,0)),0,VLOOKUP(LOWER(F1164)&amp;H1164,Prices!A:C,2,0))</f>
        <v>68.489999999999995</v>
      </c>
      <c r="W1164" s="49">
        <f t="shared" si="604"/>
        <v>-22510.783999999996</v>
      </c>
      <c r="X1164" s="24">
        <f t="shared" si="605"/>
        <v>-1103.9999999999964</v>
      </c>
      <c r="Y1164" s="43">
        <f t="shared" si="606"/>
        <v>-0.69649702970297023</v>
      </c>
      <c r="Z1164" s="49"/>
      <c r="AA1164" s="24"/>
    </row>
    <row r="1165" spans="1:27" s="13" customFormat="1" hidden="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28.04</v>
      </c>
      <c r="V1165" s="13">
        <f>IF(ISNA(VLOOKUP(LOWER(F1165)&amp;H1165,Prices!A:C,2,0)),0,VLOOKUP(LOWER(F1165)&amp;H1165,Prices!A:C,2,0))</f>
        <v>27.94</v>
      </c>
      <c r="W1165" s="13">
        <f t="shared" ref="W1165" si="615">IF(I1165="B",(V1165+T1165)*K1165,(V1165+T1165)*K1165)</f>
        <v>-2341.8829000000014</v>
      </c>
      <c r="X1165" s="13">
        <f t="shared" ref="X1165" si="616">K1165*(V1165-U1165)</f>
        <v>49.999999999998934</v>
      </c>
      <c r="Y1165" s="43">
        <f t="shared" ref="Y1165" si="617">W1165/O1165</f>
        <v>-0.20110630313439257</v>
      </c>
      <c r="Z1165" s="49"/>
      <c r="AA1165" s="24"/>
    </row>
    <row r="1166" spans="1:27" s="13" customFormat="1" hidden="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32.79</v>
      </c>
      <c r="V1166" s="13">
        <f>IF(ISNA(VLOOKUP(LOWER(F1166)&amp;H1166,Prices!A:C,2,0)),0,VLOOKUP(LOWER(F1166)&amp;H1166,Prices!A:C,2,0))</f>
        <v>34.03</v>
      </c>
      <c r="W1166" s="13">
        <f t="shared" ref="W1166:W1201" si="622">IF(I1166="B",(V1166+T1166)*K1166,(V1166+T1166)*K1166)</f>
        <v>-9300.2552000000014</v>
      </c>
      <c r="X1166" s="13">
        <f t="shared" ref="X1166:X1201" si="623">K1166*(V1166-U1166)</f>
        <v>-1240.000000000002</v>
      </c>
      <c r="Y1166" s="43">
        <f t="shared" ref="Y1166:Y1201" si="624">W1166/O1166</f>
        <v>-0.37561612277867534</v>
      </c>
      <c r="Z1166" s="49"/>
      <c r="AA1166" s="24"/>
    </row>
    <row r="1167" spans="1:27" s="13" customFormat="1" hidden="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71.150000000000006</v>
      </c>
      <c r="V1167" s="13">
        <f>IF(ISNA(VLOOKUP(LOWER(F1167)&amp;H1167,Prices!A:C,2,0)),0,VLOOKUP(LOWER(F1167)&amp;H1167,Prices!A:C,2,0))</f>
        <v>74.599999999999994</v>
      </c>
      <c r="W1167" s="13">
        <f t="shared" si="622"/>
        <v>-6743.1899999999969</v>
      </c>
      <c r="X1167" s="13">
        <f t="shared" si="623"/>
        <v>-689.99999999999773</v>
      </c>
      <c r="Y1167" s="43">
        <f t="shared" si="624"/>
        <v>-0.82334432234432187</v>
      </c>
      <c r="Z1167" s="49"/>
      <c r="AA1167" s="24"/>
    </row>
    <row r="1168" spans="1:27" s="13" customFormat="1" hidden="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40.83</v>
      </c>
      <c r="V1168" s="13">
        <f>IF(ISNA(VLOOKUP(LOWER(F1168)&amp;H1168,Prices!A:C,2,0)),0,VLOOKUP(LOWER(F1168)&amp;H1168,Prices!A:C,2,0))</f>
        <v>42.32</v>
      </c>
      <c r="W1168" s="13">
        <f t="shared" si="622"/>
        <v>-5124.7316799999999</v>
      </c>
      <c r="X1168" s="13">
        <f t="shared" si="623"/>
        <v>-447.00000000000057</v>
      </c>
      <c r="Y1168" s="43">
        <f t="shared" si="624"/>
        <v>-0.67572938818565398</v>
      </c>
      <c r="Z1168" s="49"/>
      <c r="AA1168" s="24"/>
    </row>
    <row r="1169" spans="1:27" s="13" customFormat="1" hidden="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37.229999999999997</v>
      </c>
      <c r="V1169" s="13">
        <f>IF(ISNA(VLOOKUP(LOWER(F1169)&amp;H1169,Prices!A:C,2,0)),0,VLOOKUP(LOWER(F1169)&amp;H1169,Prices!A:C,2,0))</f>
        <v>36.74</v>
      </c>
      <c r="W1169" s="13">
        <f t="shared" si="622"/>
        <v>-5450.6958600000016</v>
      </c>
      <c r="X1169" s="13">
        <f t="shared" si="623"/>
        <v>342.99999999999642</v>
      </c>
      <c r="Y1169" s="43">
        <f t="shared" si="624"/>
        <v>-0.26859980584437992</v>
      </c>
      <c r="Z1169" s="49"/>
      <c r="AA1169" s="24"/>
    </row>
    <row r="1170" spans="1:27" s="13" customFormat="1" hidden="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hidden="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61.83</v>
      </c>
      <c r="V1171" s="13">
        <f>IF(ISNA(VLOOKUP(LOWER(F1171)&amp;H1171,Prices!A:C,2,0)),0,VLOOKUP(LOWER(F1171)&amp;H1171,Prices!A:C,2,0))</f>
        <v>67.349999999999994</v>
      </c>
      <c r="W1171" s="13">
        <f t="shared" si="622"/>
        <v>-50642.675199999983</v>
      </c>
      <c r="X1171" s="13">
        <f t="shared" si="623"/>
        <v>-11039.999999999993</v>
      </c>
      <c r="Y1171" s="43">
        <f t="shared" si="624"/>
        <v>-0.6017428136882127</v>
      </c>
      <c r="Z1171" s="49"/>
      <c r="AA1171" s="24"/>
    </row>
    <row r="1172" spans="1:27" s="13" customFormat="1" hidden="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6.88</v>
      </c>
      <c r="V1172" s="13">
        <f>IF(ISNA(VLOOKUP(LOWER(F1172)&amp;H1172,Prices!A:C,2,0)),0,VLOOKUP(LOWER(F1172)&amp;H1172,Prices!A:C,2,0))</f>
        <v>6.76</v>
      </c>
      <c r="W1172" s="13">
        <f t="shared" si="622"/>
        <v>-6322.7071999999998</v>
      </c>
      <c r="X1172" s="13">
        <f t="shared" si="623"/>
        <v>420.0000000000004</v>
      </c>
      <c r="Y1172" s="43">
        <f t="shared" si="624"/>
        <v>-0.3642112442396313</v>
      </c>
      <c r="Z1172" s="49"/>
      <c r="AA1172" s="24"/>
    </row>
    <row r="1173" spans="1:27" s="13" customFormat="1" hidden="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hidden="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9.69</v>
      </c>
      <c r="V1174" s="13">
        <f>IF(ISNA(VLOOKUP(LOWER(F1174)&amp;H1174,Prices!A:C,2,0)),0,VLOOKUP(LOWER(F1174)&amp;H1174,Prices!A:C,2,0))</f>
        <v>9.4499999999999993</v>
      </c>
      <c r="W1174" s="13">
        <f t="shared" si="622"/>
        <v>1374.1186000000027</v>
      </c>
      <c r="X1174" s="13">
        <f t="shared" si="623"/>
        <v>360.00000000000034</v>
      </c>
      <c r="Y1174" s="43">
        <f t="shared" si="624"/>
        <v>8.8254245343609677E-2</v>
      </c>
      <c r="Z1174" s="49"/>
      <c r="AA1174" s="24"/>
    </row>
    <row r="1175" spans="1:27" s="13" customFormat="1" hidden="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4.5599999999999996</v>
      </c>
      <c r="V1175" s="13">
        <f>IF(ISNA(VLOOKUP(LOWER(F1175)&amp;H1175,Prices!A:C,2,0)),0,VLOOKUP(LOWER(F1175)&amp;H1175,Prices!A:C,2,0))</f>
        <v>4.57</v>
      </c>
      <c r="W1175" s="13">
        <f t="shared" si="622"/>
        <v>489.82860000000005</v>
      </c>
      <c r="X1175" s="13">
        <f t="shared" si="623"/>
        <v>-10.000000000000675</v>
      </c>
      <c r="Y1175" s="43">
        <f t="shared" si="624"/>
        <v>9.6613136094674562E-2</v>
      </c>
      <c r="Z1175" s="49"/>
      <c r="AA1175" s="24"/>
    </row>
    <row r="1176" spans="1:27" s="13" customFormat="1" hidden="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19.510000000000002</v>
      </c>
      <c r="V1176" s="13">
        <f>IF(ISNA(VLOOKUP(LOWER(F1176)&amp;H1176,Prices!A:C,2,0)),0,VLOOKUP(LOWER(F1176)&amp;H1176,Prices!A:C,2,0))</f>
        <v>19.61</v>
      </c>
      <c r="W1176" s="13">
        <f t="shared" si="622"/>
        <v>-7511.9299999999994</v>
      </c>
      <c r="X1176" s="13">
        <f t="shared" si="623"/>
        <v>-149.99999999999682</v>
      </c>
      <c r="Y1176" s="43">
        <f t="shared" si="624"/>
        <v>-0.3425412676698586</v>
      </c>
      <c r="Z1176" s="49"/>
      <c r="AA1176" s="24"/>
    </row>
    <row r="1177" spans="1:27" s="13" customFormat="1" hidden="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14.92</v>
      </c>
      <c r="V1177" s="13">
        <f>IF(ISNA(VLOOKUP(LOWER(F1177)&amp;H1177,Prices!A:C,2,0)),0,VLOOKUP(LOWER(F1177)&amp;H1177,Prices!A:C,2,0))</f>
        <v>14.79</v>
      </c>
      <c r="W1177" s="13">
        <f t="shared" si="622"/>
        <v>10242.3195</v>
      </c>
      <c r="X1177" s="13">
        <f t="shared" si="623"/>
        <v>325.00000000000193</v>
      </c>
      <c r="Y1177" s="43">
        <f t="shared" si="624"/>
        <v>0.21665403490216817</v>
      </c>
      <c r="Z1177" s="49"/>
      <c r="AA1177" s="24"/>
    </row>
    <row r="1178" spans="1:27" s="13" customFormat="1" hidden="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35.799999999999997</v>
      </c>
      <c r="V1178" s="13">
        <f>IF(ISNA(VLOOKUP(LOWER(F1178)&amp;H1178,Prices!A:C,2,0)),0,VLOOKUP(LOWER(F1178)&amp;H1178,Prices!A:C,2,0))</f>
        <v>38.49</v>
      </c>
      <c r="W1178" s="13">
        <f t="shared" si="622"/>
        <v>-3053.3983800000001</v>
      </c>
      <c r="X1178" s="13">
        <f t="shared" si="623"/>
        <v>-1883.0000000000034</v>
      </c>
      <c r="Y1178" s="43">
        <f t="shared" si="624"/>
        <v>-0.12765577072620093</v>
      </c>
      <c r="Z1178" s="49"/>
      <c r="AA1178" s="24"/>
    </row>
    <row r="1179" spans="1:27" s="13" customFormat="1" hidden="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6.88</v>
      </c>
      <c r="V1179" s="13">
        <f>IF(ISNA(VLOOKUP(LOWER(F1179)&amp;H1179,Prices!A:C,2,0)),0,VLOOKUP(LOWER(F1179)&amp;H1179,Prices!A:C,2,0))</f>
        <v>6.76</v>
      </c>
      <c r="W1179" s="13">
        <f t="shared" si="622"/>
        <v>-6322.7071999999998</v>
      </c>
      <c r="X1179" s="13">
        <f t="shared" si="623"/>
        <v>420.0000000000004</v>
      </c>
      <c r="Y1179" s="43">
        <f t="shared" si="624"/>
        <v>-0.3642112442396313</v>
      </c>
      <c r="Z1179" s="49"/>
      <c r="AA1179" s="24"/>
    </row>
    <row r="1180" spans="1:27" s="13" customFormat="1" hidden="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13.08</v>
      </c>
      <c r="V1180" s="13">
        <f>IF(ISNA(VLOOKUP(LOWER(F1180)&amp;H1180,Prices!A:C,2,0)),0,VLOOKUP(LOWER(F1180)&amp;H1180,Prices!A:C,2,0))</f>
        <v>12.94</v>
      </c>
      <c r="W1180" s="13">
        <f t="shared" si="622"/>
        <v>973.67449999999974</v>
      </c>
      <c r="X1180" s="13">
        <f t="shared" si="623"/>
        <v>14.000000000000057</v>
      </c>
      <c r="Y1180" s="43">
        <f t="shared" si="624"/>
        <v>0.42798879120879108</v>
      </c>
      <c r="Z1180" s="49"/>
      <c r="AA1180" s="24"/>
    </row>
    <row r="1181" spans="1:27" s="13" customFormat="1" hidden="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32.79</v>
      </c>
      <c r="V1181" s="13">
        <f>IF(ISNA(VLOOKUP(LOWER(F1181)&amp;H1181,Prices!A:C,2,0)),0,VLOOKUP(LOWER(F1181)&amp;H1181,Prices!A:C,2,0))</f>
        <v>34.03</v>
      </c>
      <c r="W1181" s="13">
        <f t="shared" si="622"/>
        <v>-9300.2552000000014</v>
      </c>
      <c r="X1181" s="13">
        <f t="shared" si="623"/>
        <v>-1240.000000000002</v>
      </c>
      <c r="Y1181" s="43">
        <f t="shared" si="624"/>
        <v>-0.37561612277867534</v>
      </c>
      <c r="Z1181" s="49"/>
      <c r="AA1181" s="24"/>
    </row>
    <row r="1182" spans="1:27" s="13" customFormat="1" hidden="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32.79</v>
      </c>
      <c r="V1182" s="13">
        <f>IF(ISNA(VLOOKUP(LOWER(F1182)&amp;H1182,Prices!A:C,2,0)),0,VLOOKUP(LOWER(F1182)&amp;H1182,Prices!A:C,2,0))</f>
        <v>34.03</v>
      </c>
      <c r="W1182" s="13">
        <f t="shared" si="622"/>
        <v>-18610.402200000004</v>
      </c>
      <c r="X1182" s="13">
        <f t="shared" si="623"/>
        <v>-2480.0000000000041</v>
      </c>
      <c r="Y1182" s="43">
        <f t="shared" si="624"/>
        <v>-0.37589178347808533</v>
      </c>
      <c r="Z1182" s="49"/>
      <c r="AA1182" s="24"/>
    </row>
    <row r="1183" spans="1:27" s="13" customFormat="1" hidden="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14.92</v>
      </c>
      <c r="V1183" s="13">
        <f>IF(ISNA(VLOOKUP(LOWER(F1183)&amp;H1183,Prices!A:C,2,0)),0,VLOOKUP(LOWER(F1183)&amp;H1183,Prices!A:C,2,0))</f>
        <v>14.79</v>
      </c>
      <c r="W1183" s="13">
        <f t="shared" si="622"/>
        <v>14618.907699999994</v>
      </c>
      <c r="X1183" s="13">
        <f t="shared" si="623"/>
        <v>455.00000000000273</v>
      </c>
      <c r="Y1183" s="43">
        <f t="shared" si="624"/>
        <v>0.21994896110734966</v>
      </c>
      <c r="Z1183" s="49"/>
      <c r="AA1183" s="24"/>
    </row>
    <row r="1184" spans="1:27" s="13" customFormat="1" hidden="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10.51</v>
      </c>
      <c r="V1184" s="13">
        <f>IF(ISNA(VLOOKUP(LOWER(F1184)&amp;H1184,Prices!A:C,2,0)),0,VLOOKUP(LOWER(F1184)&amp;H1184,Prices!A:C,2,0))</f>
        <v>11.12</v>
      </c>
      <c r="W1184" s="13">
        <f t="shared" si="622"/>
        <v>393.2393999999988</v>
      </c>
      <c r="X1184" s="13">
        <f t="shared" si="623"/>
        <v>-609.99999999999943</v>
      </c>
      <c r="Y1184" s="43">
        <f t="shared" si="624"/>
        <v>3.4105758889852456E-2</v>
      </c>
      <c r="Z1184" s="49"/>
      <c r="AA1184" s="24"/>
    </row>
    <row r="1185" spans="1:27" s="13" customFormat="1" hidden="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6.88</v>
      </c>
      <c r="V1185" s="13">
        <f>IF(ISNA(VLOOKUP(LOWER(F1185)&amp;H1185,Prices!A:C,2,0)),0,VLOOKUP(LOWER(F1185)&amp;H1185,Prices!A:C,2,0))</f>
        <v>6.76</v>
      </c>
      <c r="W1185" s="13">
        <f t="shared" si="622"/>
        <v>3674.8031999999994</v>
      </c>
      <c r="X1185" s="13">
        <f t="shared" si="623"/>
        <v>-240.00000000000023</v>
      </c>
      <c r="Y1185" s="43">
        <f t="shared" si="624"/>
        <v>0.37345560975609748</v>
      </c>
      <c r="Z1185" s="49"/>
      <c r="AA1185" s="24"/>
    </row>
    <row r="1186" spans="1:27" s="13" customFormat="1" hidden="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13.08</v>
      </c>
      <c r="V1186" s="13">
        <f>IF(ISNA(VLOOKUP(LOWER(F1186)&amp;H1186,Prices!A:C,2,0)),0,VLOOKUP(LOWER(F1186)&amp;H1186,Prices!A:C,2,0))</f>
        <v>12.94</v>
      </c>
      <c r="W1186" s="13">
        <f t="shared" si="622"/>
        <v>-18229.702000000001</v>
      </c>
      <c r="X1186" s="13">
        <f t="shared" si="623"/>
        <v>-280.00000000000114</v>
      </c>
      <c r="Y1186" s="43">
        <f t="shared" si="624"/>
        <v>-0.41337192743764173</v>
      </c>
      <c r="Z1186" s="49"/>
      <c r="AA1186" s="24"/>
    </row>
    <row r="1187" spans="1:27" s="13" customFormat="1" hidden="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8.92</v>
      </c>
      <c r="V1187" s="13">
        <f>IF(ISNA(VLOOKUP(LOWER(F1187)&amp;H1187,Prices!A:C,2,0)),0,VLOOKUP(LOWER(F1187)&amp;H1187,Prices!A:C,2,0))</f>
        <v>8.84</v>
      </c>
      <c r="W1187" s="13">
        <f t="shared" si="622"/>
        <v>5929.6379999999972</v>
      </c>
      <c r="X1187" s="13">
        <f t="shared" si="623"/>
        <v>-480.00000000000045</v>
      </c>
      <c r="Y1187" s="43">
        <f t="shared" si="624"/>
        <v>0.12589464968152861</v>
      </c>
      <c r="Z1187" s="49"/>
      <c r="AA1187" s="24"/>
    </row>
    <row r="1188" spans="1:27" s="13" customFormat="1" hidden="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10.28</v>
      </c>
      <c r="V1188" s="13">
        <f>IF(ISNA(VLOOKUP(LOWER(F1188)&amp;H1188,Prices!A:C,2,0)),0,VLOOKUP(LOWER(F1188)&amp;H1188,Prices!A:C,2,0))</f>
        <v>10.4</v>
      </c>
      <c r="W1188" s="13">
        <f t="shared" si="622"/>
        <v>-2016.642000000001</v>
      </c>
      <c r="X1188" s="13">
        <f t="shared" si="623"/>
        <v>360.00000000000296</v>
      </c>
      <c r="Y1188" s="43">
        <f t="shared" si="624"/>
        <v>-6.0723938572719093E-2</v>
      </c>
      <c r="Z1188" s="49"/>
      <c r="AA1188" s="24"/>
    </row>
    <row r="1189" spans="1:27" s="13" customFormat="1" hidden="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14.6</v>
      </c>
      <c r="V1189" s="13">
        <f>IF(ISNA(VLOOKUP(LOWER(F1189)&amp;H1189,Prices!A:C,2,0)),0,VLOOKUP(LOWER(F1189)&amp;H1189,Prices!A:C,2,0))</f>
        <v>14.54</v>
      </c>
      <c r="W1189" s="13">
        <f t="shared" si="622"/>
        <v>249.5688999999972</v>
      </c>
      <c r="X1189" s="13">
        <f t="shared" si="623"/>
        <v>-90.000000000000739</v>
      </c>
      <c r="Y1189" s="43">
        <f t="shared" si="624"/>
        <v>1.1578237067965539E-2</v>
      </c>
      <c r="Z1189" s="49"/>
      <c r="AA1189" s="24"/>
    </row>
    <row r="1190" spans="1:27" s="13" customFormat="1" hidden="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13.94</v>
      </c>
      <c r="V1190" s="13">
        <f>IF(ISNA(VLOOKUP(LOWER(F1190)&amp;H1190,Prices!A:C,2,0)),0,VLOOKUP(LOWER(F1190)&amp;H1190,Prices!A:C,2,0))</f>
        <v>13.77</v>
      </c>
      <c r="W1190" s="13">
        <f t="shared" si="622"/>
        <v>921.92399999999702</v>
      </c>
      <c r="X1190" s="13">
        <f t="shared" si="623"/>
        <v>-509.99999999999977</v>
      </c>
      <c r="Y1190" s="43">
        <f t="shared" si="624"/>
        <v>2.2831203566121769E-2</v>
      </c>
      <c r="Z1190" s="49"/>
      <c r="AA1190" s="24"/>
    </row>
    <row r="1191" spans="1:27" s="13" customFormat="1" hidden="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14.6</v>
      </c>
      <c r="V1191" s="13">
        <f>IF(ISNA(VLOOKUP(LOWER(F1191)&amp;H1191,Prices!A:C,2,0)),0,VLOOKUP(LOWER(F1191)&amp;H1191,Prices!A:C,2,0))</f>
        <v>14.54</v>
      </c>
      <c r="W1191" s="13">
        <f t="shared" si="622"/>
        <v>584.13800000000288</v>
      </c>
      <c r="X1191" s="13">
        <f t="shared" si="623"/>
        <v>-300.0000000000025</v>
      </c>
      <c r="Y1191" s="43">
        <f t="shared" si="624"/>
        <v>8.1017753120666142E-3</v>
      </c>
      <c r="Z1191" s="49"/>
      <c r="AA1191" s="24"/>
    </row>
    <row r="1192" spans="1:27" s="13" customFormat="1" hidden="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12.9</v>
      </c>
      <c r="V1192" s="13">
        <f>IF(ISNA(VLOOKUP(LOWER(F1192)&amp;H1192,Prices!A:C,2,0)),0,VLOOKUP(LOWER(F1192)&amp;H1192,Prices!A:C,2,0))</f>
        <v>12.8</v>
      </c>
      <c r="W1192" s="13">
        <f t="shared" si="622"/>
        <v>-5486.2159999999985</v>
      </c>
      <c r="X1192" s="13">
        <f t="shared" si="623"/>
        <v>-199.99999999999929</v>
      </c>
      <c r="Y1192" s="43">
        <f t="shared" si="624"/>
        <v>-0.17651917631917627</v>
      </c>
      <c r="Z1192" s="49"/>
      <c r="AA1192" s="24"/>
    </row>
    <row r="1193" spans="1:27" s="13" customFormat="1" hidden="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28.37</v>
      </c>
      <c r="V1193" s="13">
        <f>IF(ISNA(VLOOKUP(LOWER(F1193)&amp;H1193,Prices!A:C,2,0)),0,VLOOKUP(LOWER(F1193)&amp;H1193,Prices!A:C,2,0))</f>
        <v>28.09</v>
      </c>
      <c r="W1193" s="13">
        <f t="shared" si="622"/>
        <v>15351.019600000001</v>
      </c>
      <c r="X1193" s="13">
        <f t="shared" si="623"/>
        <v>-560.00000000000227</v>
      </c>
      <c r="Y1193" s="43">
        <f t="shared" si="624"/>
        <v>0.37606613424791774</v>
      </c>
      <c r="Z1193" s="49"/>
      <c r="AA1193" s="24"/>
    </row>
    <row r="1194" spans="1:27" s="13" customFormat="1" hidden="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67.540000000000006</v>
      </c>
      <c r="V1194" s="13">
        <f>IF(ISNA(VLOOKUP(LOWER(F1194)&amp;H1194,Prices!A:C,2,0)),0,VLOOKUP(LOWER(F1194)&amp;H1194,Prices!A:C,2,0))</f>
        <v>68.209999999999994</v>
      </c>
      <c r="W1194" s="13">
        <f t="shared" si="622"/>
        <v>13647.998999999991</v>
      </c>
      <c r="X1194" s="13">
        <f t="shared" si="623"/>
        <v>669.99999999998749</v>
      </c>
      <c r="Y1194" s="43">
        <f t="shared" si="624"/>
        <v>0.25019246562786418</v>
      </c>
      <c r="Z1194" s="49"/>
      <c r="AA1194" s="24"/>
    </row>
    <row r="1195" spans="1:27" s="13" customFormat="1" hidden="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73.09</v>
      </c>
      <c r="V1195" s="13">
        <f>IF(ISNA(VLOOKUP(LOWER(F1195)&amp;H1195,Prices!A:C,2,0)),0,VLOOKUP(LOWER(F1195)&amp;H1195,Prices!A:C,2,0))</f>
        <v>73.459999999999994</v>
      </c>
      <c r="W1195" s="13">
        <f t="shared" si="622"/>
        <v>23449.999999999996</v>
      </c>
      <c r="X1195" s="13">
        <f t="shared" si="623"/>
        <v>369.99999999999034</v>
      </c>
      <c r="Y1195" s="43">
        <f t="shared" si="624"/>
        <v>0.46899999999999992</v>
      </c>
      <c r="Z1195" s="49"/>
      <c r="AA1195" s="24"/>
    </row>
    <row r="1196" spans="1:27" s="13" customFormat="1" hidden="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37.229999999999997</v>
      </c>
      <c r="V1196" s="13">
        <f>IF(ISNA(VLOOKUP(LOWER(F1196)&amp;H1196,Prices!A:C,2,0)),0,VLOOKUP(LOWER(F1196)&amp;H1196,Prices!A:C,2,0))</f>
        <v>36.74</v>
      </c>
      <c r="W1196" s="13">
        <f t="shared" si="622"/>
        <v>-6092.7965600000052</v>
      </c>
      <c r="X1196" s="13">
        <f t="shared" si="623"/>
        <v>391.99999999999591</v>
      </c>
      <c r="Y1196" s="43">
        <f t="shared" si="624"/>
        <v>-0.26117955075445837</v>
      </c>
      <c r="Z1196" s="49"/>
      <c r="AA1196" s="24"/>
    </row>
    <row r="1197" spans="1:27" s="13" customFormat="1" hidden="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10.78</v>
      </c>
      <c r="V1197" s="13">
        <f>IF(ISNA(VLOOKUP(LOWER(F1197)&amp;H1197,Prices!A:C,2,0)),0,VLOOKUP(LOWER(F1197)&amp;H1197,Prices!A:C,2,0))</f>
        <v>10.91</v>
      </c>
      <c r="W1197" s="13">
        <f t="shared" si="622"/>
        <v>983.09000000000071</v>
      </c>
      <c r="X1197" s="13">
        <f t="shared" si="623"/>
        <v>-130.0000000000008</v>
      </c>
      <c r="Y1197" s="43">
        <f t="shared" si="624"/>
        <v>8.2543240973971518E-2</v>
      </c>
      <c r="Z1197" s="49"/>
      <c r="AA1197" s="24"/>
    </row>
    <row r="1198" spans="1:27" s="13" customFormat="1" hidden="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37.5</v>
      </c>
      <c r="V1198" s="13">
        <f>IF(ISNA(VLOOKUP(LOWER(F1198)&amp;H1198,Prices!A:C,2,0)),0,VLOOKUP(LOWER(F1198)&amp;H1198,Prices!A:C,2,0))</f>
        <v>38.25</v>
      </c>
      <c r="W1198" s="13">
        <f t="shared" si="622"/>
        <v>2999.1600000000008</v>
      </c>
      <c r="X1198" s="13">
        <f t="shared" si="623"/>
        <v>-75</v>
      </c>
      <c r="Y1198" s="43">
        <f t="shared" si="624"/>
        <v>0.43873025160912826</v>
      </c>
      <c r="Z1198" s="49"/>
      <c r="AA1198" s="24"/>
    </row>
    <row r="1199" spans="1:27" s="13" customFormat="1" hidden="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9.69</v>
      </c>
      <c r="V1199" s="13">
        <f>IF(ISNA(VLOOKUP(LOWER(F1199)&amp;H1199,Prices!A:C,2,0)),0,VLOOKUP(LOWER(F1199)&amp;H1199,Prices!A:C,2,0))</f>
        <v>9.4499999999999993</v>
      </c>
      <c r="W1199" s="13">
        <f t="shared" si="622"/>
        <v>2542.265399999998</v>
      </c>
      <c r="X1199" s="13">
        <f t="shared" si="623"/>
        <v>720.00000000000068</v>
      </c>
      <c r="Y1199" s="43">
        <f t="shared" si="624"/>
        <v>8.2194161008729325E-2</v>
      </c>
      <c r="Z1199" s="49"/>
      <c r="AA1199" s="24"/>
    </row>
    <row r="1200" spans="1:27" s="13" customFormat="1" hidden="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6.18</v>
      </c>
      <c r="V1200" s="13">
        <f>IF(ISNA(VLOOKUP(LOWER(F1200)&amp;H1200,Prices!A:C,2,0)),0,VLOOKUP(LOWER(F1200)&amp;H1200,Prices!A:C,2,0))</f>
        <v>6.1</v>
      </c>
      <c r="W1200" s="13">
        <f t="shared" si="622"/>
        <v>3132.7000000000007</v>
      </c>
      <c r="X1200" s="13">
        <f t="shared" si="623"/>
        <v>120.00000000000011</v>
      </c>
      <c r="Y1200" s="43">
        <f t="shared" si="624"/>
        <v>0.2546910569105692</v>
      </c>
      <c r="Z1200" s="49"/>
      <c r="AA1200" s="24"/>
    </row>
    <row r="1201" spans="1:27" s="13" customFormat="1" hidden="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6.18</v>
      </c>
      <c r="V1201" s="13">
        <f>IF(ISNA(VLOOKUP(LOWER(F1201)&amp;H1201,Prices!A:C,2,0)),0,VLOOKUP(LOWER(F1201)&amp;H1201,Prices!A:C,2,0))</f>
        <v>6.1</v>
      </c>
      <c r="W1201" s="13">
        <f t="shared" si="622"/>
        <v>5491.180000000003</v>
      </c>
      <c r="X1201" s="13">
        <f t="shared" si="623"/>
        <v>240.00000000000023</v>
      </c>
      <c r="Y1201" s="43">
        <f t="shared" si="624"/>
        <v>0.23052812762384564</v>
      </c>
      <c r="Z1201" s="49"/>
      <c r="AA1201" s="24"/>
    </row>
    <row r="1202" spans="1:27" s="13" customFormat="1" hidden="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23.9</v>
      </c>
      <c r="V1202" s="13">
        <f>IF(ISNA(VLOOKUP(LOWER(F1202)&amp;H1202,Prices!A:C,2,0)),0,VLOOKUP(LOWER(F1202)&amp;H1202,Prices!A:C,2,0))</f>
        <v>24.41</v>
      </c>
      <c r="W1202" s="13">
        <f t="shared" ref="W1202:W1248" si="629">IF(I1202="B",(V1202+T1202)*K1202,(V1202+T1202)*K1202)</f>
        <v>1127.4200000000003</v>
      </c>
      <c r="X1202" s="13">
        <f t="shared" ref="X1202:X1248" si="630">K1202*(V1202-U1202)</f>
        <v>-51.000000000000156</v>
      </c>
      <c r="Y1202" s="43">
        <f t="shared" ref="Y1202:Y1248" si="631">W1202/O1202</f>
        <v>0.31518590998043056</v>
      </c>
      <c r="Z1202" s="49"/>
      <c r="AA1202" s="24"/>
    </row>
    <row r="1203" spans="1:27" s="13" customFormat="1" hidden="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6.88</v>
      </c>
      <c r="V1203" s="13">
        <f>IF(ISNA(VLOOKUP(LOWER(F1203)&amp;H1203,Prices!A:C,2,0)),0,VLOOKUP(LOWER(F1203)&amp;H1203,Prices!A:C,2,0))</f>
        <v>6.76</v>
      </c>
      <c r="W1203" s="13">
        <f t="shared" si="629"/>
        <v>-1750.1204000000002</v>
      </c>
      <c r="X1203" s="13">
        <f t="shared" si="630"/>
        <v>120.00000000000011</v>
      </c>
      <c r="Y1203" s="43">
        <f t="shared" si="631"/>
        <v>-0.34862956175298809</v>
      </c>
      <c r="Z1203" s="49"/>
      <c r="AA1203" s="24"/>
    </row>
    <row r="1204" spans="1:27" s="13" customFormat="1" hidden="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8.92</v>
      </c>
      <c r="V1204" s="13">
        <f>IF(ISNA(VLOOKUP(LOWER(F1204)&amp;H1204,Prices!A:C,2,0)),0,VLOOKUP(LOWER(F1204)&amp;H1204,Prices!A:C,2,0))</f>
        <v>8.84</v>
      </c>
      <c r="W1204" s="13">
        <f t="shared" si="629"/>
        <v>-675.63046000000008</v>
      </c>
      <c r="X1204" s="13">
        <f t="shared" si="630"/>
        <v>56.00000000000005</v>
      </c>
      <c r="Y1204" s="43">
        <f t="shared" si="631"/>
        <v>-0.12233033858410286</v>
      </c>
      <c r="Z1204" s="49"/>
      <c r="AA1204" s="24"/>
    </row>
    <row r="1205" spans="1:27" s="13" customFormat="1" hidden="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16.440000000000001</v>
      </c>
      <c r="V1205" s="13">
        <f>IF(ISNA(VLOOKUP(LOWER(F1205)&amp;H1205,Prices!A:C,2,0)),0,VLOOKUP(LOWER(F1205)&amp;H1205,Prices!A:C,2,0))</f>
        <v>16.309999999999999</v>
      </c>
      <c r="W1205" s="13">
        <f t="shared" si="629"/>
        <v>3607.9843999999994</v>
      </c>
      <c r="X1205" s="13">
        <f t="shared" si="630"/>
        <v>65.000000000001279</v>
      </c>
      <c r="Y1205" s="43">
        <f t="shared" si="631"/>
        <v>0.30628050933786072</v>
      </c>
      <c r="Z1205" s="49"/>
      <c r="AA1205" s="24"/>
    </row>
    <row r="1206" spans="1:27" s="13" customFormat="1" hidden="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9.69</v>
      </c>
      <c r="V1206" s="13">
        <f>IF(ISNA(VLOOKUP(LOWER(F1206)&amp;H1206,Prices!A:C,2,0)),0,VLOOKUP(LOWER(F1206)&amp;H1206,Prices!A:C,2,0))</f>
        <v>9.4499999999999993</v>
      </c>
      <c r="W1206" s="13">
        <f t="shared" si="629"/>
        <v>1164.3328000000004</v>
      </c>
      <c r="X1206" s="13">
        <f t="shared" si="630"/>
        <v>360.00000000000034</v>
      </c>
      <c r="Y1206" s="43">
        <f t="shared" si="631"/>
        <v>7.5802916666666692E-2</v>
      </c>
      <c r="Z1206" s="49"/>
      <c r="AA1206" s="24"/>
    </row>
    <row r="1207" spans="1:27" s="13" customFormat="1" hidden="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14.92</v>
      </c>
      <c r="V1207" s="13">
        <f>IF(ISNA(VLOOKUP(LOWER(F1207)&amp;H1207,Prices!A:C,2,0)),0,VLOOKUP(LOWER(F1207)&amp;H1207,Prices!A:C,2,0))</f>
        <v>14.79</v>
      </c>
      <c r="W1207" s="13">
        <f t="shared" si="629"/>
        <v>3616.2013999999976</v>
      </c>
      <c r="X1207" s="13">
        <f t="shared" si="630"/>
        <v>130.0000000000008</v>
      </c>
      <c r="Y1207" s="43">
        <f t="shared" si="631"/>
        <v>0.19621277265328257</v>
      </c>
      <c r="Z1207" s="49"/>
      <c r="AA1207" s="24"/>
    </row>
    <row r="1208" spans="1:27" s="13" customFormat="1" hidden="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13.94</v>
      </c>
      <c r="V1208" s="13">
        <f>IF(ISNA(VLOOKUP(LOWER(F1208)&amp;H1208,Prices!A:C,2,0)),0,VLOOKUP(LOWER(F1208)&amp;H1208,Prices!A:C,2,0))</f>
        <v>13.77</v>
      </c>
      <c r="W1208" s="13">
        <f t="shared" si="629"/>
        <v>-804.87999999999977</v>
      </c>
      <c r="X1208" s="13">
        <f t="shared" si="630"/>
        <v>254.99999999999989</v>
      </c>
      <c r="Y1208" s="43">
        <f t="shared" si="631"/>
        <v>-4.0497106918238983E-2</v>
      </c>
      <c r="Z1208" s="49"/>
      <c r="AA1208" s="24"/>
    </row>
    <row r="1209" spans="1:27" s="13" customFormat="1" hidden="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27.59</v>
      </c>
      <c r="V1209" s="13">
        <f>IF(ISNA(VLOOKUP(LOWER(F1209)&amp;H1209,Prices!A:C,2,0)),0,VLOOKUP(LOWER(F1209)&amp;H1209,Prices!A:C,2,0))</f>
        <v>28.05</v>
      </c>
      <c r="W1209" s="13">
        <f t="shared" si="629"/>
        <v>-1886.6707999999996</v>
      </c>
      <c r="X1209" s="13">
        <f t="shared" si="630"/>
        <v>-138.00000000000026</v>
      </c>
      <c r="Y1209" s="43">
        <f t="shared" si="631"/>
        <v>-0.28848177370030575</v>
      </c>
      <c r="Z1209" s="49"/>
      <c r="AA1209" s="24"/>
    </row>
    <row r="1210" spans="1:27" s="13" customFormat="1" hidden="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47.03</v>
      </c>
      <c r="V1210" s="13">
        <f>IF(ISNA(VLOOKUP(LOWER(F1210)&amp;H1210,Prices!A:C,2,0)),0,VLOOKUP(LOWER(F1210)&amp;H1210,Prices!A:C,2,0))</f>
        <v>45.1</v>
      </c>
      <c r="W1210" s="13">
        <f t="shared" si="629"/>
        <v>-6949.4563799999951</v>
      </c>
      <c r="X1210" s="13">
        <f t="shared" si="630"/>
        <v>-1736.9999999999998</v>
      </c>
      <c r="Y1210" s="43">
        <f t="shared" si="631"/>
        <v>-0.14621507669002073</v>
      </c>
      <c r="Z1210" s="49"/>
      <c r="AA1210" s="24"/>
    </row>
    <row r="1211" spans="1:27" s="13" customFormat="1" hidden="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5.05</v>
      </c>
      <c r="V1211" s="13">
        <f>IF(ISNA(VLOOKUP(LOWER(F1211)&amp;H1211,Prices!A:C,2,0)),0,VLOOKUP(LOWER(F1211)&amp;H1211,Prices!A:C,2,0))</f>
        <v>5.04</v>
      </c>
      <c r="W1211" s="13">
        <f t="shared" si="629"/>
        <v>-4905.9452199999978</v>
      </c>
      <c r="X1211" s="13">
        <f t="shared" si="630"/>
        <v>-88.999999999998096</v>
      </c>
      <c r="Y1211" s="43">
        <f t="shared" si="631"/>
        <v>-9.8609982110912306E-2</v>
      </c>
      <c r="Z1211" s="49"/>
      <c r="AA1211" s="24"/>
    </row>
    <row r="1212" spans="1:27" s="13" customFormat="1" hidden="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hidden="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11.15</v>
      </c>
      <c r="V1213" s="13">
        <f>IF(ISNA(VLOOKUP(LOWER(F1213)&amp;H1213,Prices!A:C,2,0)),0,VLOOKUP(LOWER(F1213)&amp;H1213,Prices!A:C,2,0))</f>
        <v>10.99</v>
      </c>
      <c r="W1213" s="13">
        <f t="shared" si="629"/>
        <v>-20367.786400000001</v>
      </c>
      <c r="X1213" s="13">
        <f t="shared" si="630"/>
        <v>-416.00000000000034</v>
      </c>
      <c r="Y1213" s="43">
        <f t="shared" si="631"/>
        <v>-0.41624675876726885</v>
      </c>
      <c r="Z1213" s="49"/>
      <c r="AA1213" s="24"/>
    </row>
    <row r="1214" spans="1:27" s="13" customFormat="1" hidden="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5.05</v>
      </c>
      <c r="V1214" s="13">
        <f>IF(ISNA(VLOOKUP(LOWER(F1214)&amp;H1214,Prices!A:C,2,0)),0,VLOOKUP(LOWER(F1214)&amp;H1214,Prices!A:C,2,0))</f>
        <v>5.04</v>
      </c>
      <c r="W1214" s="13">
        <f t="shared" si="629"/>
        <v>-2285.4487999999974</v>
      </c>
      <c r="X1214" s="13">
        <f t="shared" si="630"/>
        <v>-39.999999999999147</v>
      </c>
      <c r="Y1214" s="43">
        <f t="shared" si="631"/>
        <v>-0.10184709447415319</v>
      </c>
      <c r="Z1214" s="49"/>
      <c r="AA1214" s="24"/>
    </row>
    <row r="1215" spans="1:27" s="13" customFormat="1" hidden="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37.5</v>
      </c>
      <c r="V1215" s="13">
        <f>IF(ISNA(VLOOKUP(LOWER(F1215)&amp;H1215,Prices!A:C,2,0)),0,VLOOKUP(LOWER(F1215)&amp;H1215,Prices!A:C,2,0))</f>
        <v>38.25</v>
      </c>
      <c r="W1215" s="13">
        <f t="shared" si="629"/>
        <v>-11377.334400000002</v>
      </c>
      <c r="X1215" s="13">
        <f t="shared" si="630"/>
        <v>300</v>
      </c>
      <c r="Y1215" s="43">
        <f t="shared" si="631"/>
        <v>-0.42656472705458909</v>
      </c>
      <c r="Z1215" s="49"/>
      <c r="AA1215" s="24"/>
    </row>
    <row r="1216" spans="1:27" s="13" customFormat="1" hidden="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5.05</v>
      </c>
      <c r="V1216" s="13">
        <f>IF(ISNA(VLOOKUP(LOWER(F1216)&amp;H1216,Prices!A:C,2,0)),0,VLOOKUP(LOWER(F1216)&amp;H1216,Prices!A:C,2,0))</f>
        <v>5.04</v>
      </c>
      <c r="W1216" s="13">
        <f t="shared" si="629"/>
        <v>-2601.495439999997</v>
      </c>
      <c r="X1216" s="13">
        <f t="shared" si="630"/>
        <v>-43.999999999999062</v>
      </c>
      <c r="Y1216" s="43">
        <f t="shared" si="631"/>
        <v>-0.10501757791054404</v>
      </c>
      <c r="Z1216" s="49"/>
      <c r="AA1216" s="24"/>
    </row>
    <row r="1217" spans="1:27" s="13" customFormat="1" hidden="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37.5</v>
      </c>
      <c r="V1217" s="13">
        <f>IF(ISNA(VLOOKUP(LOWER(F1217)&amp;H1217,Prices!A:C,2,0)),0,VLOOKUP(LOWER(F1217)&amp;H1217,Prices!A:C,2,0))</f>
        <v>38.25</v>
      </c>
      <c r="W1217" s="13">
        <f t="shared" si="629"/>
        <v>-11345.327999999994</v>
      </c>
      <c r="X1217" s="13">
        <f t="shared" si="630"/>
        <v>300</v>
      </c>
      <c r="Y1217" s="43">
        <f t="shared" si="631"/>
        <v>-0.42587567567567552</v>
      </c>
      <c r="Z1217" s="49"/>
      <c r="AA1217" s="24"/>
    </row>
    <row r="1218" spans="1:27" s="13" customFormat="1" hidden="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hidden="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37.5</v>
      </c>
      <c r="V1219" s="13">
        <f>IF(ISNA(VLOOKUP(LOWER(F1219)&amp;H1219,Prices!A:C,2,0)),0,VLOOKUP(LOWER(F1219)&amp;H1219,Prices!A:C,2,0))</f>
        <v>38.25</v>
      </c>
      <c r="W1219" s="13">
        <f t="shared" si="629"/>
        <v>-20001.353400000004</v>
      </c>
      <c r="X1219" s="13">
        <f t="shared" si="630"/>
        <v>525</v>
      </c>
      <c r="Y1219" s="43">
        <f t="shared" si="631"/>
        <v>-0.42768091603053443</v>
      </c>
      <c r="Z1219" s="49"/>
      <c r="AA1219" s="24"/>
    </row>
    <row r="1220" spans="1:27" s="13" customFormat="1" hidden="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47.03</v>
      </c>
      <c r="V1220" s="13">
        <f>IF(ISNA(VLOOKUP(LOWER(F1220)&amp;H1220,Prices!A:C,2,0)),0,VLOOKUP(LOWER(F1220)&amp;H1220,Prices!A:C,2,0))</f>
        <v>45.1</v>
      </c>
      <c r="W1220" s="13">
        <f t="shared" si="629"/>
        <v>-7219.5157800000025</v>
      </c>
      <c r="X1220" s="13">
        <f t="shared" si="630"/>
        <v>-1736.9999999999998</v>
      </c>
      <c r="Y1220" s="43">
        <f t="shared" si="631"/>
        <v>-0.1510390547919413</v>
      </c>
      <c r="Z1220" s="49"/>
      <c r="AA1220" s="24"/>
    </row>
    <row r="1221" spans="1:27" s="13" customFormat="1" hidden="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5.05</v>
      </c>
      <c r="V1221" s="13">
        <f>IF(ISNA(VLOOKUP(LOWER(F1221)&amp;H1221,Prices!A:C,2,0)),0,VLOOKUP(LOWER(F1221)&amp;H1221,Prices!A:C,2,0))</f>
        <v>5.04</v>
      </c>
      <c r="W1221" s="13">
        <f t="shared" si="629"/>
        <v>-377.06792000000002</v>
      </c>
      <c r="X1221" s="13">
        <f t="shared" si="630"/>
        <v>-5.9999999999998721</v>
      </c>
      <c r="Y1221" s="43">
        <f t="shared" si="631"/>
        <v>-0.11103295641931685</v>
      </c>
      <c r="Z1221" s="49"/>
      <c r="AA1221" s="24"/>
    </row>
    <row r="1222" spans="1:27" s="13" customFormat="1" hidden="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11.64</v>
      </c>
      <c r="V1222" s="13">
        <f>IF(ISNA(VLOOKUP(LOWER(F1222)&amp;H1222,Prices!A:C,2,0)),0,VLOOKUP(LOWER(F1222)&amp;H1222,Prices!A:C,2,0))</f>
        <v>11.76</v>
      </c>
      <c r="W1222" s="13">
        <f t="shared" si="629"/>
        <v>-12099.709199999998</v>
      </c>
      <c r="X1222" s="13">
        <f t="shared" si="630"/>
        <v>371.99999999999756</v>
      </c>
      <c r="Y1222" s="43">
        <f t="shared" si="631"/>
        <v>-0.24924214559386967</v>
      </c>
      <c r="Z1222" s="49"/>
      <c r="AA1222" s="24"/>
    </row>
    <row r="1223" spans="1:27" s="13" customFormat="1" hidden="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37.5</v>
      </c>
      <c r="V1223" s="13">
        <f>IF(ISNA(VLOOKUP(LOWER(F1223)&amp;H1223,Prices!A:C,2,0)),0,VLOOKUP(LOWER(F1223)&amp;H1223,Prices!A:C,2,0))</f>
        <v>38.25</v>
      </c>
      <c r="W1223" s="13">
        <f t="shared" si="629"/>
        <v>-20106.374399999993</v>
      </c>
      <c r="X1223" s="13">
        <f t="shared" si="630"/>
        <v>525</v>
      </c>
      <c r="Y1223" s="43">
        <f t="shared" si="631"/>
        <v>-0.42896344086021498</v>
      </c>
      <c r="Z1223" s="49"/>
      <c r="AA1223" s="24"/>
    </row>
    <row r="1224" spans="1:27" s="13" customFormat="1" hidden="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35.799999999999997</v>
      </c>
      <c r="V1224" s="13">
        <f>IF(ISNA(VLOOKUP(LOWER(F1224)&amp;H1224,Prices!A:C,2,0)),0,VLOOKUP(LOWER(F1224)&amp;H1224,Prices!A:C,2,0))</f>
        <v>38.49</v>
      </c>
      <c r="W1224" s="13">
        <f t="shared" si="629"/>
        <v>-2863.6651199999988</v>
      </c>
      <c r="X1224" s="13">
        <f t="shared" si="630"/>
        <v>-1614.000000000003</v>
      </c>
      <c r="Y1224" s="43">
        <f t="shared" si="631"/>
        <v>-0.14137367298578193</v>
      </c>
      <c r="Z1224" s="49"/>
      <c r="AA1224" s="24"/>
    </row>
    <row r="1225" spans="1:27" s="13" customFormat="1" hidden="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67.540000000000006</v>
      </c>
      <c r="V1225" s="13">
        <f>IF(ISNA(VLOOKUP(LOWER(F1225)&amp;H1225,Prices!A:C,2,0)),0,VLOOKUP(LOWER(F1225)&amp;H1225,Prices!A:C,2,0))</f>
        <v>68.209999999999994</v>
      </c>
      <c r="W1225" s="13">
        <f t="shared" si="629"/>
        <v>-7137.9400000000005</v>
      </c>
      <c r="X1225" s="13">
        <f t="shared" si="630"/>
        <v>-334.99999999999375</v>
      </c>
      <c r="Y1225" s="43">
        <f t="shared" si="631"/>
        <v>-0.26436814814814819</v>
      </c>
      <c r="Z1225" s="49"/>
      <c r="AA1225" s="24"/>
    </row>
    <row r="1226" spans="1:27" s="13" customFormat="1" hidden="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6.88</v>
      </c>
      <c r="V1226" s="13">
        <f>IF(ISNA(VLOOKUP(LOWER(F1226)&amp;H1226,Prices!A:C,2,0)),0,VLOOKUP(LOWER(F1226)&amp;H1226,Prices!A:C,2,0))</f>
        <v>6.76</v>
      </c>
      <c r="W1226" s="13">
        <f t="shared" si="629"/>
        <v>-1740.1305999999997</v>
      </c>
      <c r="X1226" s="13">
        <f t="shared" si="630"/>
        <v>120.00000000000011</v>
      </c>
      <c r="Y1226" s="43">
        <f t="shared" si="631"/>
        <v>-0.34595041749502975</v>
      </c>
      <c r="Z1226" s="49"/>
      <c r="AA1226" s="24"/>
    </row>
    <row r="1227" spans="1:27" s="13" customFormat="1" hidden="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8.92</v>
      </c>
      <c r="V1227" s="13">
        <f>IF(ISNA(VLOOKUP(LOWER(F1227)&amp;H1227,Prices!A:C,2,0)),0,VLOOKUP(LOWER(F1227)&amp;H1227,Prices!A:C,2,0))</f>
        <v>8.84</v>
      </c>
      <c r="W1227" s="13">
        <f t="shared" si="629"/>
        <v>-787.42592000000047</v>
      </c>
      <c r="X1227" s="13">
        <f t="shared" si="630"/>
        <v>64.000000000000057</v>
      </c>
      <c r="Y1227" s="43">
        <f t="shared" si="631"/>
        <v>-0.12506764930114367</v>
      </c>
      <c r="Z1227" s="49"/>
      <c r="AA1227" s="24"/>
    </row>
    <row r="1228" spans="1:27" s="13" customFormat="1" hidden="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19.510000000000002</v>
      </c>
      <c r="V1228" s="13">
        <f>IF(ISNA(VLOOKUP(LOWER(F1228)&amp;H1228,Prices!A:C,2,0)),0,VLOOKUP(LOWER(F1228)&amp;H1228,Prices!A:C,2,0))</f>
        <v>19.61</v>
      </c>
      <c r="W1228" s="13">
        <f t="shared" si="629"/>
        <v>-4600.0300000000007</v>
      </c>
      <c r="X1228" s="13">
        <f t="shared" si="630"/>
        <v>-99.999999999997868</v>
      </c>
      <c r="Y1228" s="43">
        <f t="shared" si="631"/>
        <v>-0.30605655355954764</v>
      </c>
      <c r="Z1228" s="49"/>
      <c r="AA1228" s="24"/>
    </row>
    <row r="1229" spans="1:27" s="13" customFormat="1" hidden="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hidden="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8.92</v>
      </c>
      <c r="V1230" s="13">
        <f>IF(ISNA(VLOOKUP(LOWER(F1230)&amp;H1230,Prices!A:C,2,0)),0,VLOOKUP(LOWER(F1230)&amp;H1230,Prices!A:C,2,0))</f>
        <v>8.84</v>
      </c>
      <c r="W1230" s="13">
        <f t="shared" si="629"/>
        <v>-1472.0460999999991</v>
      </c>
      <c r="X1230" s="13">
        <f t="shared" si="630"/>
        <v>120.00000000000011</v>
      </c>
      <c r="Y1230" s="43">
        <f t="shared" si="631"/>
        <v>-0.12469683185091056</v>
      </c>
      <c r="Z1230" s="49"/>
      <c r="AA1230" s="24"/>
    </row>
    <row r="1231" spans="1:27" s="13" customFormat="1" hidden="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73.09</v>
      </c>
      <c r="V1231" s="13">
        <f>IF(ISNA(VLOOKUP(LOWER(F1231)&amp;H1231,Prices!A:C,2,0)),0,VLOOKUP(LOWER(F1231)&amp;H1231,Prices!A:C,2,0))</f>
        <v>73.459999999999994</v>
      </c>
      <c r="W1231" s="13">
        <f t="shared" si="629"/>
        <v>-11485.334999999995</v>
      </c>
      <c r="X1231" s="13">
        <f t="shared" si="630"/>
        <v>-184.99999999999517</v>
      </c>
      <c r="Y1231" s="43">
        <f t="shared" si="631"/>
        <v>-0.45441483679525202</v>
      </c>
      <c r="Z1231" s="49"/>
      <c r="AA1231" s="24"/>
    </row>
    <row r="1232" spans="1:27" s="13" customFormat="1" hidden="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14.6</v>
      </c>
      <c r="V1232" s="13">
        <f>IF(ISNA(VLOOKUP(LOWER(F1232)&amp;H1232,Prices!A:C,2,0)),0,VLOOKUP(LOWER(F1232)&amp;H1232,Prices!A:C,2,0))</f>
        <v>14.54</v>
      </c>
      <c r="W1232" s="13">
        <f t="shared" si="629"/>
        <v>-175.75615999999917</v>
      </c>
      <c r="X1232" s="13">
        <f t="shared" si="630"/>
        <v>108.0000000000009</v>
      </c>
      <c r="Y1232" s="43">
        <f t="shared" si="631"/>
        <v>-6.7525802981404318E-3</v>
      </c>
      <c r="Z1232" s="49"/>
      <c r="AA1232" s="24"/>
    </row>
    <row r="1233" spans="1:27" s="13" customFormat="1" hidden="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13.94</v>
      </c>
      <c r="V1233" s="13">
        <f>IF(ISNA(VLOOKUP(LOWER(F1233)&amp;H1233,Prices!A:C,2,0)),0,VLOOKUP(LOWER(F1233)&amp;H1233,Prices!A:C,2,0))</f>
        <v>13.77</v>
      </c>
      <c r="W1233" s="13">
        <f t="shared" si="629"/>
        <v>-565.11999999999853</v>
      </c>
      <c r="X1233" s="13">
        <f t="shared" si="630"/>
        <v>254.99999999999989</v>
      </c>
      <c r="Y1233" s="43">
        <f t="shared" si="631"/>
        <v>-2.8094456872980289E-2</v>
      </c>
      <c r="Z1233" s="49"/>
      <c r="AA1233" s="24"/>
    </row>
    <row r="1234" spans="1:27" s="13" customFormat="1" hidden="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67.540000000000006</v>
      </c>
      <c r="V1234" s="13">
        <f>IF(ISNA(VLOOKUP(LOWER(F1234)&amp;H1234,Prices!A:C,2,0)),0,VLOOKUP(LOWER(F1234)&amp;H1234,Prices!A:C,2,0))</f>
        <v>68.209999999999994</v>
      </c>
      <c r="W1234" s="13">
        <f t="shared" si="629"/>
        <v>-7137.9400000000005</v>
      </c>
      <c r="X1234" s="13">
        <f t="shared" si="630"/>
        <v>-334.99999999999375</v>
      </c>
      <c r="Y1234" s="43">
        <f t="shared" si="631"/>
        <v>-0.26436814814814819</v>
      </c>
      <c r="Z1234" s="49"/>
      <c r="AA1234" s="24"/>
    </row>
    <row r="1235" spans="1:27" s="13" customFormat="1" hidden="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10.28</v>
      </c>
      <c r="V1235" s="13">
        <f>IF(ISNA(VLOOKUP(LOWER(F1235)&amp;H1235,Prices!A:C,2,0)),0,VLOOKUP(LOWER(F1235)&amp;H1235,Prices!A:C,2,0))</f>
        <v>10.4</v>
      </c>
      <c r="W1235" s="13">
        <f t="shared" si="629"/>
        <v>1088.2900000000006</v>
      </c>
      <c r="X1235" s="13">
        <f t="shared" si="630"/>
        <v>-180.00000000000148</v>
      </c>
      <c r="Y1235" s="43">
        <f t="shared" si="631"/>
        <v>6.5128067025733136E-2</v>
      </c>
      <c r="Z1235" s="49"/>
      <c r="AA1235" s="24"/>
    </row>
    <row r="1236" spans="1:27" s="13" customFormat="1" hidden="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6.18</v>
      </c>
      <c r="V1236" s="13">
        <f>IF(ISNA(VLOOKUP(LOWER(F1236)&amp;H1236,Prices!A:C,2,0)),0,VLOOKUP(LOWER(F1236)&amp;H1236,Prices!A:C,2,0))</f>
        <v>6.1</v>
      </c>
      <c r="W1236" s="13">
        <f t="shared" si="629"/>
        <v>2128.7000000000007</v>
      </c>
      <c r="X1236" s="13">
        <f t="shared" si="630"/>
        <v>120.00000000000011</v>
      </c>
      <c r="Y1236" s="43">
        <f t="shared" si="631"/>
        <v>0.18846392208942017</v>
      </c>
      <c r="Z1236" s="49"/>
      <c r="AA1236" s="24"/>
    </row>
    <row r="1237" spans="1:27" s="13" customFormat="1" hidden="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8.92</v>
      </c>
      <c r="V1237" s="13">
        <f>IF(ISNA(VLOOKUP(LOWER(F1237)&amp;H1237,Prices!A:C,2,0)),0,VLOOKUP(LOWER(F1237)&amp;H1237,Prices!A:C,2,0))</f>
        <v>8.84</v>
      </c>
      <c r="W1237" s="13">
        <f t="shared" si="629"/>
        <v>-3058.9597999999992</v>
      </c>
      <c r="X1237" s="13">
        <f t="shared" si="630"/>
        <v>240.00000000000023</v>
      </c>
      <c r="Y1237" s="43">
        <f t="shared" si="631"/>
        <v>-0.13022391656023835</v>
      </c>
      <c r="Z1237" s="49"/>
      <c r="AA1237" s="24"/>
    </row>
    <row r="1238" spans="1:27" s="13" customFormat="1" hidden="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14.6</v>
      </c>
      <c r="V1238" s="13">
        <f>IF(ISNA(VLOOKUP(LOWER(F1238)&amp;H1238,Prices!A:C,2,0)),0,VLOOKUP(LOWER(F1238)&amp;H1238,Prices!A:C,2,0))</f>
        <v>14.54</v>
      </c>
      <c r="W1238" s="13">
        <f t="shared" si="629"/>
        <v>-132.14409999999521</v>
      </c>
      <c r="X1238" s="13">
        <f t="shared" si="630"/>
        <v>90.000000000000739</v>
      </c>
      <c r="Y1238" s="43">
        <f t="shared" si="631"/>
        <v>-6.088187053674048E-3</v>
      </c>
      <c r="Z1238" s="49"/>
      <c r="AA1238" s="24"/>
    </row>
    <row r="1239" spans="1:27" s="13" customFormat="1" hidden="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hidden="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13.08</v>
      </c>
      <c r="V1240" s="13">
        <f>IF(ISNA(VLOOKUP(LOWER(F1240)&amp;H1240,Prices!A:C,2,0)),0,VLOOKUP(LOWER(F1240)&amp;H1240,Prices!A:C,2,0))</f>
        <v>12.94</v>
      </c>
      <c r="W1240" s="13">
        <f t="shared" si="629"/>
        <v>9552.0295999999998</v>
      </c>
      <c r="X1240" s="13">
        <f t="shared" si="630"/>
        <v>140.00000000000057</v>
      </c>
      <c r="Y1240" s="43">
        <f t="shared" si="631"/>
        <v>0.42415761989342804</v>
      </c>
      <c r="Z1240" s="49"/>
      <c r="AA1240" s="24"/>
    </row>
    <row r="1241" spans="1:27" s="13" customFormat="1" hidden="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73.09</v>
      </c>
      <c r="V1241" s="13">
        <f>IF(ISNA(VLOOKUP(LOWER(F1241)&amp;H1241,Prices!A:C,2,0)),0,VLOOKUP(LOWER(F1241)&amp;H1241,Prices!A:C,2,0))</f>
        <v>73.459999999999994</v>
      </c>
      <c r="W1241" s="13">
        <f t="shared" si="629"/>
        <v>-12094.669999999993</v>
      </c>
      <c r="X1241" s="13">
        <f t="shared" si="630"/>
        <v>-184.99999999999517</v>
      </c>
      <c r="Y1241" s="43">
        <f t="shared" si="631"/>
        <v>-0.49035759172917059</v>
      </c>
      <c r="Z1241" s="49"/>
      <c r="AA1241" s="24"/>
    </row>
    <row r="1242" spans="1:27" s="13" customFormat="1" hidden="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41.35</v>
      </c>
      <c r="V1242" s="13">
        <f>IF(ISNA(VLOOKUP(LOWER(F1242)&amp;H1242,Prices!A:C,2,0)),0,VLOOKUP(LOWER(F1242)&amp;H1242,Prices!A:C,2,0))</f>
        <v>42.03</v>
      </c>
      <c r="W1242" s="13">
        <f t="shared" si="629"/>
        <v>-665.3800000000025</v>
      </c>
      <c r="X1242" s="13">
        <f t="shared" si="630"/>
        <v>-339.99999999999989</v>
      </c>
      <c r="Y1242" s="43">
        <f t="shared" si="631"/>
        <v>-3.2656687116564539E-2</v>
      </c>
      <c r="Z1242" s="49"/>
      <c r="AA1242" s="24"/>
    </row>
    <row r="1243" spans="1:27" s="13" customFormat="1" hidden="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28.37</v>
      </c>
      <c r="V1243" s="13">
        <f>IF(ISNA(VLOOKUP(LOWER(F1243)&amp;H1243,Prices!A:C,2,0)),0,VLOOKUP(LOWER(F1243)&amp;H1243,Prices!A:C,2,0))</f>
        <v>28.09</v>
      </c>
      <c r="W1243" s="13">
        <f t="shared" si="629"/>
        <v>-7625.8998000000029</v>
      </c>
      <c r="X1243" s="13">
        <f t="shared" si="630"/>
        <v>280.00000000000114</v>
      </c>
      <c r="Y1243" s="43">
        <f t="shared" si="631"/>
        <v>-0.37217666178623732</v>
      </c>
      <c r="Z1243" s="49"/>
      <c r="AA1243" s="24"/>
    </row>
    <row r="1244" spans="1:27" s="13" customFormat="1" hidden="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12.9</v>
      </c>
      <c r="V1244" s="13">
        <f>IF(ISNA(VLOOKUP(LOWER(F1244)&amp;H1244,Prices!A:C,2,0)),0,VLOOKUP(LOWER(F1244)&amp;H1244,Prices!A:C,2,0))</f>
        <v>12.8</v>
      </c>
      <c r="W1244" s="13">
        <f t="shared" si="629"/>
        <v>5742.3439999999955</v>
      </c>
      <c r="X1244" s="13">
        <f t="shared" si="630"/>
        <v>199.99999999999929</v>
      </c>
      <c r="Y1244" s="43">
        <f t="shared" si="631"/>
        <v>0.18299375398342879</v>
      </c>
      <c r="Z1244" s="49"/>
      <c r="AA1244" s="24"/>
    </row>
    <row r="1245" spans="1:27" s="13" customFormat="1" hidden="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10.28</v>
      </c>
      <c r="V1245" s="13">
        <f>IF(ISNA(VLOOKUP(LOWER(F1245)&amp;H1245,Prices!A:C,2,0)),0,VLOOKUP(LOWER(F1245)&amp;H1245,Prices!A:C,2,0))</f>
        <v>10.4</v>
      </c>
      <c r="W1245" s="13">
        <f t="shared" si="629"/>
        <v>1163.2099999999984</v>
      </c>
      <c r="X1245" s="13">
        <f t="shared" si="630"/>
        <v>-180.00000000000148</v>
      </c>
      <c r="Y1245" s="43">
        <f t="shared" si="631"/>
        <v>6.9300565981531032E-2</v>
      </c>
      <c r="Z1245" s="49"/>
      <c r="AA1245" s="24"/>
    </row>
    <row r="1246" spans="1:27" s="13" customFormat="1" hidden="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28.37</v>
      </c>
      <c r="V1246" s="13">
        <f>IF(ISNA(VLOOKUP(LOWER(F1246)&amp;H1246,Prices!A:C,2,0)),0,VLOOKUP(LOWER(F1246)&amp;H1246,Prices!A:C,2,0))</f>
        <v>28.09</v>
      </c>
      <c r="W1246" s="13">
        <f t="shared" si="629"/>
        <v>-7675.8488000000007</v>
      </c>
      <c r="X1246" s="13">
        <f t="shared" si="630"/>
        <v>280.00000000000114</v>
      </c>
      <c r="Y1246" s="43">
        <f t="shared" si="631"/>
        <v>-0.37553076320939338</v>
      </c>
      <c r="Z1246" s="49"/>
      <c r="AA1246" s="24"/>
    </row>
    <row r="1247" spans="1:27" s="13" customFormat="1" hidden="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14.6</v>
      </c>
      <c r="V1247" s="13">
        <f>IF(ISNA(VLOOKUP(LOWER(F1247)&amp;H1247,Prices!A:C,2,0)),0,VLOOKUP(LOWER(F1247)&amp;H1247,Prices!A:C,2,0))</f>
        <v>14.54</v>
      </c>
      <c r="W1247" s="13">
        <f t="shared" si="629"/>
        <v>-280.48687999999515</v>
      </c>
      <c r="X1247" s="13">
        <f t="shared" si="630"/>
        <v>192.00000000000159</v>
      </c>
      <c r="Y1247" s="43">
        <f t="shared" si="631"/>
        <v>-6.0575086385624387E-3</v>
      </c>
      <c r="Z1247" s="49"/>
      <c r="AA1247" s="24"/>
    </row>
    <row r="1248" spans="1:27" s="13" customFormat="1" hidden="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10.51</v>
      </c>
      <c r="V1248" s="13">
        <f>IF(ISNA(VLOOKUP(LOWER(F1248)&amp;H1248,Prices!A:C,2,0)),0,VLOOKUP(LOWER(F1248)&amp;H1248,Prices!A:C,2,0))</f>
        <v>11.12</v>
      </c>
      <c r="W1248" s="13">
        <f t="shared" si="629"/>
        <v>305.59568000000041</v>
      </c>
      <c r="X1248" s="13">
        <f t="shared" si="630"/>
        <v>-487.99999999999955</v>
      </c>
      <c r="Y1248" s="43">
        <f t="shared" si="631"/>
        <v>3.3159253472222268E-2</v>
      </c>
      <c r="Z1248" s="49"/>
      <c r="AA1248" s="24"/>
    </row>
    <row r="1249" spans="1:27" s="13" customFormat="1" hidden="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47.03</v>
      </c>
      <c r="V1249" s="13">
        <f>IF(ISNA(VLOOKUP(LOWER(F1249)&amp;H1249,Prices!A:C,2,0)),0,VLOOKUP(LOWER(F1249)&amp;H1249,Prices!A:C,2,0))</f>
        <v>45.1</v>
      </c>
      <c r="W1249" s="13">
        <f t="shared" ref="W1249" si="640">IF(I1249="B",(V1249+T1249)*K1249,(V1249+T1249)*K1249)</f>
        <v>5739.4050800000059</v>
      </c>
      <c r="X1249" s="13">
        <f t="shared" ref="X1249" si="641">K1249*(V1249-U1249)</f>
        <v>1736.9999999999998</v>
      </c>
      <c r="Y1249" s="43">
        <f t="shared" ref="Y1249" si="642">W1249/O1249</f>
        <v>0.12373140775233919</v>
      </c>
      <c r="Z1249" s="49"/>
      <c r="AA1249" s="24"/>
    </row>
    <row r="1250" spans="1:27" s="13" customFormat="1" hidden="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5.05</v>
      </c>
      <c r="V1250" s="13">
        <f>IF(ISNA(VLOOKUP(LOWER(F1250)&amp;H1250,Prices!A:C,2,0)),0,VLOOKUP(LOWER(F1250)&amp;H1250,Prices!A:C,2,0))</f>
        <v>5.04</v>
      </c>
      <c r="W1250" s="13">
        <f t="shared" ref="W1250:W1273" si="647">IF(I1250="B",(V1250+T1250)*K1250,(V1250+T1250)*K1250)</f>
        <v>2416.2669999999985</v>
      </c>
      <c r="X1250" s="13">
        <f t="shared" ref="X1250:X1273" si="648">K1250*(V1250-U1250)</f>
        <v>49.999999999998934</v>
      </c>
      <c r="Y1250" s="43">
        <f t="shared" ref="Y1250:Y1273" si="649">W1250/O1250</f>
        <v>8.7387594936708807E-2</v>
      </c>
      <c r="Z1250" s="49"/>
      <c r="AA1250" s="24"/>
    </row>
    <row r="1251" spans="1:27" s="13" customFormat="1" hidden="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36.950000000000003</v>
      </c>
      <c r="V1251" s="13">
        <f>IF(ISNA(VLOOKUP(LOWER(F1251)&amp;H1251,Prices!A:C,2,0)),0,VLOOKUP(LOWER(F1251)&amp;H1251,Prices!A:C,2,0))</f>
        <v>37.200000000000003</v>
      </c>
      <c r="W1251" s="13">
        <f t="shared" si="647"/>
        <v>17108.031600000006</v>
      </c>
      <c r="X1251" s="13">
        <f t="shared" si="648"/>
        <v>450</v>
      </c>
      <c r="Y1251" s="43">
        <f t="shared" si="649"/>
        <v>0.34324528710725905</v>
      </c>
      <c r="Z1251" s="49"/>
      <c r="AA1251" s="24"/>
    </row>
    <row r="1252" spans="1:27" s="13" customFormat="1" hidden="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20.79</v>
      </c>
      <c r="V1252" s="13">
        <f>IF(ISNA(VLOOKUP(LOWER(F1252)&amp;H1252,Prices!A:C,2,0)),0,VLOOKUP(LOWER(F1252)&amp;H1252,Prices!A:C,2,0))</f>
        <v>20.27</v>
      </c>
      <c r="W1252" s="13">
        <f t="shared" si="647"/>
        <v>5687.1935999999996</v>
      </c>
      <c r="X1252" s="13">
        <f t="shared" si="648"/>
        <v>-1403.9999999999989</v>
      </c>
      <c r="Y1252" s="43">
        <f t="shared" si="649"/>
        <v>0.11598942731277533</v>
      </c>
      <c r="Z1252" s="49"/>
      <c r="AA1252" s="24"/>
    </row>
    <row r="1253" spans="1:27" s="13" customFormat="1" hidden="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20.79</v>
      </c>
      <c r="V1253" s="13">
        <f>IF(ISNA(VLOOKUP(LOWER(F1253)&amp;H1253,Prices!A:C,2,0)),0,VLOOKUP(LOWER(F1253)&amp;H1253,Prices!A:C,2,0))</f>
        <v>20.27</v>
      </c>
      <c r="W1253" s="13">
        <f t="shared" si="647"/>
        <v>5795.2152000000006</v>
      </c>
      <c r="X1253" s="13">
        <f t="shared" si="648"/>
        <v>-1403.9999999999989</v>
      </c>
      <c r="Y1253" s="43">
        <f t="shared" si="649"/>
        <v>0.1184534216335541</v>
      </c>
      <c r="Z1253" s="49"/>
      <c r="AA1253" s="24"/>
    </row>
    <row r="1254" spans="1:27" s="13" customFormat="1" hidden="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hidden="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5.05</v>
      </c>
      <c r="V1255" s="13">
        <f>IF(ISNA(VLOOKUP(LOWER(F1255)&amp;H1255,Prices!A:C,2,0)),0,VLOOKUP(LOWER(F1255)&amp;H1255,Prices!A:C,2,0))</f>
        <v>5.04</v>
      </c>
      <c r="W1255" s="13">
        <f t="shared" si="647"/>
        <v>2416.8778799999986</v>
      </c>
      <c r="X1255" s="13">
        <f t="shared" si="648"/>
        <v>48.999999999998956</v>
      </c>
      <c r="Y1255" s="43">
        <f t="shared" si="649"/>
        <v>8.9032560229868066E-2</v>
      </c>
      <c r="Z1255" s="49"/>
      <c r="AA1255" s="24"/>
    </row>
    <row r="1256" spans="1:27" s="13" customFormat="1" hidden="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11.15</v>
      </c>
      <c r="V1256" s="13">
        <f>IF(ISNA(VLOOKUP(LOWER(F1256)&amp;H1256,Prices!A:C,2,0)),0,VLOOKUP(LOWER(F1256)&amp;H1256,Prices!A:C,2,0))</f>
        <v>10.99</v>
      </c>
      <c r="W1256" s="13">
        <f t="shared" si="647"/>
        <v>4561.8300000000008</v>
      </c>
      <c r="X1256" s="13">
        <f t="shared" si="648"/>
        <v>96.000000000000085</v>
      </c>
      <c r="Y1256" s="43">
        <f t="shared" si="649"/>
        <v>0.40832706766917298</v>
      </c>
      <c r="Z1256" s="49"/>
      <c r="AA1256" s="24"/>
    </row>
    <row r="1257" spans="1:27" s="13" customFormat="1" hidden="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47.03</v>
      </c>
      <c r="V1257" s="13">
        <f>IF(ISNA(VLOOKUP(LOWER(F1257)&amp;H1257,Prices!A:C,2,0)),0,VLOOKUP(LOWER(F1257)&amp;H1257,Prices!A:C,2,0))</f>
        <v>45.1</v>
      </c>
      <c r="W1257" s="13">
        <f t="shared" si="647"/>
        <v>2537.9879200000032</v>
      </c>
      <c r="X1257" s="13">
        <f t="shared" si="648"/>
        <v>771.99999999999989</v>
      </c>
      <c r="Y1257" s="43">
        <f t="shared" si="649"/>
        <v>0.12317937876140571</v>
      </c>
      <c r="Z1257" s="49"/>
      <c r="AA1257" s="24"/>
    </row>
    <row r="1258" spans="1:27" s="13" customFormat="1" hidden="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11.64</v>
      </c>
      <c r="V1258" s="13">
        <f>IF(ISNA(VLOOKUP(LOWER(F1258)&amp;H1258,Prices!A:C,2,0)),0,VLOOKUP(LOWER(F1258)&amp;H1258,Prices!A:C,2,0))</f>
        <v>11.76</v>
      </c>
      <c r="W1258" s="13">
        <f t="shared" si="647"/>
        <v>368.45</v>
      </c>
      <c r="X1258" s="13">
        <f t="shared" si="648"/>
        <v>-11.999999999999922</v>
      </c>
      <c r="Y1258" s="43">
        <f t="shared" si="649"/>
        <v>0.23755641521598966</v>
      </c>
      <c r="Z1258" s="49"/>
      <c r="AA1258" s="24"/>
    </row>
    <row r="1259" spans="1:27" s="13" customFormat="1" hidden="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36.950000000000003</v>
      </c>
      <c r="V1259" s="13">
        <f>IF(ISNA(VLOOKUP(LOWER(F1259)&amp;H1259,Prices!A:C,2,0)),0,VLOOKUP(LOWER(F1259)&amp;H1259,Prices!A:C,2,0))</f>
        <v>37.200000000000003</v>
      </c>
      <c r="W1259" s="13">
        <f t="shared" si="647"/>
        <v>17216.053200000006</v>
      </c>
      <c r="X1259" s="13">
        <f t="shared" si="648"/>
        <v>450</v>
      </c>
      <c r="Y1259" s="43">
        <f t="shared" si="649"/>
        <v>0.34616264929424551</v>
      </c>
      <c r="Z1259" s="49"/>
      <c r="AA1259" s="24"/>
    </row>
    <row r="1260" spans="1:27" s="13" customFormat="1" hidden="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13.08</v>
      </c>
      <c r="V1260" s="13">
        <f>IF(ISNA(VLOOKUP(LOWER(F1260)&amp;H1260,Prices!A:C,2,0)),0,VLOOKUP(LOWER(F1260)&amp;H1260,Prices!A:C,2,0))</f>
        <v>12.94</v>
      </c>
      <c r="W1260" s="13">
        <f t="shared" si="647"/>
        <v>4423.8718000000017</v>
      </c>
      <c r="X1260" s="13">
        <f t="shared" si="648"/>
        <v>70.000000000000284</v>
      </c>
      <c r="Y1260" s="43">
        <f t="shared" si="649"/>
        <v>0.40548779101741539</v>
      </c>
      <c r="Z1260" s="49"/>
      <c r="AA1260" s="24"/>
    </row>
    <row r="1261" spans="1:27" s="13" customFormat="1" hidden="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47.03</v>
      </c>
      <c r="V1261" s="13">
        <f>IF(ISNA(VLOOKUP(LOWER(F1261)&amp;H1261,Prices!A:C,2,0)),0,VLOOKUP(LOWER(F1261)&amp;H1261,Prices!A:C,2,0))</f>
        <v>45.1</v>
      </c>
      <c r="W1261" s="13">
        <f t="shared" si="647"/>
        <v>3138.6215999999968</v>
      </c>
      <c r="X1261" s="13">
        <f t="shared" si="648"/>
        <v>964.99999999999989</v>
      </c>
      <c r="Y1261" s="43">
        <f t="shared" si="649"/>
        <v>0.1220303888024882</v>
      </c>
      <c r="Z1261" s="49"/>
      <c r="AA1261" s="24"/>
    </row>
    <row r="1262" spans="1:27" s="13" customFormat="1" hidden="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11.64</v>
      </c>
      <c r="V1262" s="13">
        <f>IF(ISNA(VLOOKUP(LOWER(F1262)&amp;H1262,Prices!A:C,2,0)),0,VLOOKUP(LOWER(F1262)&amp;H1262,Prices!A:C,2,0))</f>
        <v>11.76</v>
      </c>
      <c r="W1262" s="13">
        <f t="shared" si="647"/>
        <v>2910.66</v>
      </c>
      <c r="X1262" s="13">
        <f t="shared" si="648"/>
        <v>-95.999999999999375</v>
      </c>
      <c r="Y1262" s="43">
        <f t="shared" si="649"/>
        <v>0.23594844357976652</v>
      </c>
      <c r="Z1262" s="49"/>
      <c r="AA1262" s="24"/>
    </row>
    <row r="1263" spans="1:27" s="13" customFormat="1" hidden="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hidden="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4.71</v>
      </c>
      <c r="V1264" s="13">
        <f>IF(ISNA(VLOOKUP(LOWER(F1264)&amp;H1264,Prices!A:C,2,0)),0,VLOOKUP(LOWER(F1264)&amp;H1264,Prices!A:C,2,0))</f>
        <v>4.68</v>
      </c>
      <c r="W1264" s="13">
        <f t="shared" si="647"/>
        <v>279.78000000000003</v>
      </c>
      <c r="X1264" s="13">
        <f t="shared" si="648"/>
        <v>6.0000000000000497</v>
      </c>
      <c r="Y1264" s="43">
        <f t="shared" si="649"/>
        <v>0.22895253682487726</v>
      </c>
      <c r="Z1264" s="49"/>
      <c r="AA1264" s="24"/>
    </row>
    <row r="1265" spans="1:27" s="13" customFormat="1" hidden="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11.15</v>
      </c>
      <c r="V1265" s="13">
        <f>IF(ISNA(VLOOKUP(LOWER(F1265)&amp;H1265,Prices!A:C,2,0)),0,VLOOKUP(LOWER(F1265)&amp;H1265,Prices!A:C,2,0))</f>
        <v>10.99</v>
      </c>
      <c r="W1265" s="13">
        <f t="shared" si="647"/>
        <v>5281.0100000000011</v>
      </c>
      <c r="X1265" s="13">
        <f t="shared" si="648"/>
        <v>112.0000000000001</v>
      </c>
      <c r="Y1265" s="43">
        <f t="shared" si="649"/>
        <v>0.40648168103448284</v>
      </c>
      <c r="Z1265" s="49"/>
      <c r="AA1265" s="24"/>
    </row>
    <row r="1266" spans="1:27" s="13" customFormat="1" hidden="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37.5</v>
      </c>
      <c r="V1266" s="13">
        <f>IF(ISNA(VLOOKUP(LOWER(F1266)&amp;H1266,Prices!A:C,2,0)),0,VLOOKUP(LOWER(F1266)&amp;H1266,Prices!A:C,2,0))</f>
        <v>38.25</v>
      </c>
      <c r="W1266" s="13">
        <f t="shared" si="647"/>
        <v>33547.147399999987</v>
      </c>
      <c r="X1266" s="13">
        <f t="shared" si="648"/>
        <v>-825</v>
      </c>
      <c r="Y1266" s="43">
        <f t="shared" si="649"/>
        <v>0.44308305575000312</v>
      </c>
      <c r="Z1266" s="49"/>
      <c r="AA1266" s="24"/>
    </row>
    <row r="1267" spans="1:27" s="13" customFormat="1" hidden="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42.69</v>
      </c>
      <c r="V1267" s="13">
        <f>IF(ISNA(VLOOKUP(LOWER(F1267)&amp;H1267,Prices!A:C,2,0)),0,VLOOKUP(LOWER(F1267)&amp;H1267,Prices!A:C,2,0))</f>
        <v>43.84</v>
      </c>
      <c r="W1267" s="13">
        <f t="shared" si="647"/>
        <v>-7165.2544200000029</v>
      </c>
      <c r="X1267" s="13">
        <f t="shared" si="648"/>
        <v>1035.000000000005</v>
      </c>
      <c r="Y1267" s="43">
        <f t="shared" si="649"/>
        <v>-0.15372453755551271</v>
      </c>
      <c r="Z1267" s="49"/>
      <c r="AA1267" s="24"/>
    </row>
    <row r="1268" spans="1:27" s="13" customFormat="1" hidden="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4.71</v>
      </c>
      <c r="V1268" s="13">
        <f>IF(ISNA(VLOOKUP(LOWER(F1268)&amp;H1268,Prices!A:C,2,0)),0,VLOOKUP(LOWER(F1268)&amp;H1268,Prices!A:C,2,0))</f>
        <v>4.68</v>
      </c>
      <c r="W1268" s="13">
        <f t="shared" si="647"/>
        <v>458.13000000000051</v>
      </c>
      <c r="X1268" s="13">
        <f t="shared" si="648"/>
        <v>9.0000000000000746</v>
      </c>
      <c r="Y1268" s="43">
        <f t="shared" si="649"/>
        <v>0.24512038523274501</v>
      </c>
      <c r="Z1268" s="49"/>
      <c r="AA1268" s="24"/>
    </row>
    <row r="1269" spans="1:27" s="13" customFormat="1" hidden="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13.08</v>
      </c>
      <c r="V1269" s="13">
        <f>IF(ISNA(VLOOKUP(LOWER(F1269)&amp;H1269,Prices!A:C,2,0)),0,VLOOKUP(LOWER(F1269)&amp;H1269,Prices!A:C,2,0))</f>
        <v>12.94</v>
      </c>
      <c r="W1269" s="13">
        <f t="shared" si="647"/>
        <v>4628.6577000000007</v>
      </c>
      <c r="X1269" s="13">
        <f t="shared" si="648"/>
        <v>70.000000000000284</v>
      </c>
      <c r="Y1269" s="43">
        <f t="shared" si="649"/>
        <v>0.4164334412955466</v>
      </c>
      <c r="Z1269" s="49"/>
      <c r="AA1269" s="24"/>
    </row>
    <row r="1270" spans="1:27" s="13" customFormat="1" hidden="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11.15</v>
      </c>
      <c r="V1270" s="13">
        <f>IF(ISNA(VLOOKUP(LOWER(F1270)&amp;H1270,Prices!A:C,2,0)),0,VLOOKUP(LOWER(F1270)&amp;H1270,Prices!A:C,2,0))</f>
        <v>10.99</v>
      </c>
      <c r="W1270" s="13">
        <f t="shared" si="647"/>
        <v>10071.610000000004</v>
      </c>
      <c r="X1270" s="13">
        <f t="shared" si="648"/>
        <v>208.00000000000017</v>
      </c>
      <c r="Y1270" s="43">
        <f t="shared" si="649"/>
        <v>0.41297400360833209</v>
      </c>
      <c r="Z1270" s="49"/>
      <c r="AA1270" s="24"/>
    </row>
    <row r="1271" spans="1:27" s="13" customFormat="1" hidden="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5.05</v>
      </c>
      <c r="V1271" s="13">
        <f>IF(ISNA(VLOOKUP(LOWER(F1271)&amp;H1271,Prices!A:C,2,0)),0,VLOOKUP(LOWER(F1271)&amp;H1271,Prices!A:C,2,0))</f>
        <v>5.04</v>
      </c>
      <c r="W1271" s="13">
        <f t="shared" si="647"/>
        <v>3706.2224000000015</v>
      </c>
      <c r="X1271" s="13">
        <f t="shared" si="648"/>
        <v>79.999999999998295</v>
      </c>
      <c r="Y1271" s="43">
        <f t="shared" si="649"/>
        <v>8.407945553539023E-2</v>
      </c>
      <c r="Z1271" s="49"/>
      <c r="AA1271" s="24"/>
    </row>
    <row r="1272" spans="1:27" s="13" customFormat="1" hidden="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hidden="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37.5</v>
      </c>
      <c r="V1273" s="13">
        <f>IF(ISNA(VLOOKUP(LOWER(F1273)&amp;H1273,Prices!A:C,2,0)),0,VLOOKUP(LOWER(F1273)&amp;H1273,Prices!A:C,2,0))</f>
        <v>38.25</v>
      </c>
      <c r="W1273" s="13">
        <f t="shared" si="647"/>
        <v>32338.599400000003</v>
      </c>
      <c r="X1273" s="13">
        <f t="shared" si="648"/>
        <v>-825</v>
      </c>
      <c r="Y1273" s="43">
        <f t="shared" si="649"/>
        <v>0.43405768089875579</v>
      </c>
      <c r="Z1273" s="49"/>
      <c r="AA1273" s="24"/>
    </row>
    <row r="1274" spans="1:27" s="13" customFormat="1" hidden="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36.950000000000003</v>
      </c>
      <c r="V1274" s="13">
        <f>IF(ISNA(VLOOKUP(LOWER(F1274)&amp;H1274,Prices!A:C,2,0)),0,VLOOKUP(LOWER(F1274)&amp;H1274,Prices!A:C,2,0))</f>
        <v>37.200000000000003</v>
      </c>
      <c r="W1274" s="13">
        <f t="shared" ref="W1274:W1287" si="654">IF(I1274="B",(V1274+T1274)*K1274,(V1274+T1274)*K1274)</f>
        <v>-8148.4324000000051</v>
      </c>
      <c r="X1274" s="13">
        <f t="shared" ref="X1274:X1287" si="655">K1274*(V1274-U1274)</f>
        <v>-225</v>
      </c>
      <c r="Y1274" s="43">
        <f t="shared" ref="Y1274:Y1287" si="656">W1274/O1274</f>
        <v>-0.32128508792681987</v>
      </c>
      <c r="Z1274" s="49"/>
      <c r="AA1274" s="24"/>
    </row>
    <row r="1275" spans="1:27" s="13" customFormat="1" hidden="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42.69</v>
      </c>
      <c r="V1275" s="13">
        <f>IF(ISNA(VLOOKUP(LOWER(F1275)&amp;H1275,Prices!A:C,2,0)),0,VLOOKUP(LOWER(F1275)&amp;H1275,Prices!A:C,2,0))</f>
        <v>43.84</v>
      </c>
      <c r="W1275" s="13">
        <f t="shared" si="654"/>
        <v>2690.3449599999958</v>
      </c>
      <c r="X1275" s="13">
        <f t="shared" si="655"/>
        <v>-460.00000000000227</v>
      </c>
      <c r="Y1275" s="43">
        <f t="shared" si="656"/>
        <v>0.13284342089670134</v>
      </c>
      <c r="Z1275" s="49"/>
      <c r="AA1275" s="24"/>
    </row>
    <row r="1276" spans="1:27" s="13" customFormat="1" hidden="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11.64</v>
      </c>
      <c r="V1276" s="13">
        <f>IF(ISNA(VLOOKUP(LOWER(F1276)&amp;H1276,Prices!A:C,2,0)),0,VLOOKUP(LOWER(F1276)&amp;H1276,Prices!A:C,2,0))</f>
        <v>11.76</v>
      </c>
      <c r="W1276" s="13">
        <f t="shared" si="654"/>
        <v>3828.2099999999987</v>
      </c>
      <c r="X1276" s="13">
        <f t="shared" si="655"/>
        <v>-131.99999999999915</v>
      </c>
      <c r="Y1276" s="43">
        <f t="shared" si="656"/>
        <v>0.22805969260097692</v>
      </c>
      <c r="Z1276" s="49"/>
      <c r="AA1276" s="24"/>
    </row>
    <row r="1277" spans="1:27" s="13" customFormat="1" hidden="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20.79</v>
      </c>
      <c r="V1277" s="13">
        <f>IF(ISNA(VLOOKUP(LOWER(F1277)&amp;H1277,Prices!A:C,2,0)),0,VLOOKUP(LOWER(F1277)&amp;H1277,Prices!A:C,2,0))</f>
        <v>20.27</v>
      </c>
      <c r="W1277" s="13">
        <f t="shared" si="654"/>
        <v>-2420.96</v>
      </c>
      <c r="X1277" s="13">
        <f t="shared" si="655"/>
        <v>675.99999999999943</v>
      </c>
      <c r="Y1277" s="43">
        <f t="shared" si="656"/>
        <v>-0.1010459535039025</v>
      </c>
      <c r="Z1277" s="49"/>
      <c r="AA1277" s="24"/>
    </row>
    <row r="1278" spans="1:27" s="13" customFormat="1" hidden="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20.79</v>
      </c>
      <c r="V1278" s="13">
        <f>IF(ISNA(VLOOKUP(LOWER(F1278)&amp;H1278,Prices!A:C,2,0)),0,VLOOKUP(LOWER(F1278)&amp;H1278,Prices!A:C,2,0))</f>
        <v>20.27</v>
      </c>
      <c r="W1278" s="13">
        <f t="shared" si="654"/>
        <v>-2648.9119999999998</v>
      </c>
      <c r="X1278" s="13">
        <f t="shared" si="655"/>
        <v>727.99999999999943</v>
      </c>
      <c r="Y1278" s="43">
        <f t="shared" si="656"/>
        <v>-0.1028304347826087</v>
      </c>
      <c r="Z1278" s="49"/>
      <c r="AA1278" s="24"/>
    </row>
    <row r="1279" spans="1:27" s="13" customFormat="1" hidden="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42.69</v>
      </c>
      <c r="V1279" s="13">
        <f>IF(ISNA(VLOOKUP(LOWER(F1279)&amp;H1279,Prices!A:C,2,0)),0,VLOOKUP(LOWER(F1279)&amp;H1279,Prices!A:C,2,0))</f>
        <v>43.84</v>
      </c>
      <c r="W1279" s="13">
        <f t="shared" si="654"/>
        <v>3299.1949999999974</v>
      </c>
      <c r="X1279" s="13">
        <f t="shared" si="655"/>
        <v>-575.00000000000284</v>
      </c>
      <c r="Y1279" s="43">
        <f t="shared" si="656"/>
        <v>0.13066118811881178</v>
      </c>
      <c r="Z1279" s="49"/>
      <c r="AA1279" s="24"/>
    </row>
    <row r="1280" spans="1:27" s="13" customFormat="1" hidden="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11.64</v>
      </c>
      <c r="V1280" s="13">
        <f>IF(ISNA(VLOOKUP(LOWER(F1280)&amp;H1280,Prices!A:C,2,0)),0,VLOOKUP(LOWER(F1280)&amp;H1280,Prices!A:C,2,0))</f>
        <v>11.76</v>
      </c>
      <c r="W1280" s="13">
        <f t="shared" si="654"/>
        <v>3817.2200000000021</v>
      </c>
      <c r="X1280" s="13">
        <f t="shared" si="655"/>
        <v>-131.99999999999915</v>
      </c>
      <c r="Y1280" s="43">
        <f t="shared" si="656"/>
        <v>0.22755409836065585</v>
      </c>
      <c r="Z1280" s="49"/>
      <c r="AA1280" s="24"/>
    </row>
    <row r="1281" spans="1:27" s="13" customFormat="1" hidden="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36.950000000000003</v>
      </c>
      <c r="V1281" s="13">
        <f>IF(ISNA(VLOOKUP(LOWER(F1281)&amp;H1281,Prices!A:C,2,0)),0,VLOOKUP(LOWER(F1281)&amp;H1281,Prices!A:C,2,0))</f>
        <v>37.200000000000003</v>
      </c>
      <c r="W1281" s="13">
        <f t="shared" si="654"/>
        <v>-8139.4442000000017</v>
      </c>
      <c r="X1281" s="13">
        <f t="shared" si="655"/>
        <v>-225</v>
      </c>
      <c r="Y1281" s="43">
        <f t="shared" si="656"/>
        <v>-0.32081684600528171</v>
      </c>
      <c r="Z1281" s="49"/>
      <c r="AA1281" s="24"/>
    </row>
    <row r="1282" spans="1:27" s="13" customFormat="1" hidden="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20.79</v>
      </c>
      <c r="V1282" s="13">
        <f>IF(ISNA(VLOOKUP(LOWER(F1282)&amp;H1282,Prices!A:C,2,0)),0,VLOOKUP(LOWER(F1282)&amp;H1282,Prices!A:C,2,0))</f>
        <v>20.27</v>
      </c>
      <c r="W1282" s="13">
        <f t="shared" si="654"/>
        <v>5363.1287999999977</v>
      </c>
      <c r="X1282" s="13">
        <f t="shared" si="655"/>
        <v>-1403.9999999999989</v>
      </c>
      <c r="Y1282" s="43">
        <f t="shared" si="656"/>
        <v>0.10866214442013124</v>
      </c>
      <c r="Z1282" s="49"/>
      <c r="AA1282" s="24"/>
    </row>
    <row r="1283" spans="1:27" s="13" customFormat="1" hidden="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8.91</v>
      </c>
      <c r="V1283" s="13">
        <f>IF(ISNA(VLOOKUP(LOWER(F1283)&amp;H1283,Prices!A:C,2,0)),0,VLOOKUP(LOWER(F1283)&amp;H1283,Prices!A:C,2,0))</f>
        <v>9.01</v>
      </c>
      <c r="W1283" s="13">
        <f t="shared" si="654"/>
        <v>1054.121599999999</v>
      </c>
      <c r="X1283" s="13">
        <f t="shared" si="655"/>
        <v>559.99999999999795</v>
      </c>
      <c r="Y1283" s="43">
        <f t="shared" si="656"/>
        <v>2.1341950113378666E-2</v>
      </c>
      <c r="Z1283" s="49"/>
      <c r="AA1283" s="24"/>
    </row>
    <row r="1284" spans="1:27" s="13" customFormat="1" hidden="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8.91</v>
      </c>
      <c r="V1284" s="13">
        <f>IF(ISNA(VLOOKUP(LOWER(F1284)&amp;H1284,Prices!A:C,2,0)),0,VLOOKUP(LOWER(F1284)&amp;H1284,Prices!A:C,2,0))</f>
        <v>9.01</v>
      </c>
      <c r="W1284" s="13">
        <f t="shared" si="654"/>
        <v>998.11039999999878</v>
      </c>
      <c r="X1284" s="13">
        <f t="shared" si="655"/>
        <v>559.99999999999795</v>
      </c>
      <c r="Y1284" s="43">
        <f t="shared" si="656"/>
        <v>2.018505096262738E-2</v>
      </c>
      <c r="Z1284" s="49"/>
      <c r="AA1284" s="24"/>
    </row>
    <row r="1285" spans="1:27" s="13" customFormat="1" hidden="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8.91</v>
      </c>
      <c r="V1285" s="13">
        <f>IF(ISNA(VLOOKUP(LOWER(F1285)&amp;H1285,Prices!A:C,2,0)),0,VLOOKUP(LOWER(F1285)&amp;H1285,Prices!A:C,2,0))</f>
        <v>9.01</v>
      </c>
      <c r="W1285" s="13">
        <f t="shared" si="654"/>
        <v>830.07679999999766</v>
      </c>
      <c r="X1285" s="13">
        <f t="shared" si="655"/>
        <v>559.99999999999795</v>
      </c>
      <c r="Y1285" s="43">
        <f t="shared" si="656"/>
        <v>1.6730022573363385E-2</v>
      </c>
      <c r="Z1285" s="49"/>
      <c r="AA1285" s="24"/>
    </row>
    <row r="1286" spans="1:27" s="13" customFormat="1" hidden="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20.79</v>
      </c>
      <c r="V1286" s="13">
        <f>IF(ISNA(VLOOKUP(LOWER(F1286)&amp;H1286,Prices!A:C,2,0)),0,VLOOKUP(LOWER(F1286)&amp;H1286,Prices!A:C,2,0))</f>
        <v>20.27</v>
      </c>
      <c r="W1286" s="13">
        <f t="shared" si="654"/>
        <v>-5135.5806000000011</v>
      </c>
      <c r="X1286" s="13">
        <f t="shared" si="655"/>
        <v>1403.9999999999989</v>
      </c>
      <c r="Y1286" s="43">
        <f t="shared" si="656"/>
        <v>-0.10342941212011361</v>
      </c>
      <c r="Z1286" s="49"/>
      <c r="AA1286" s="24"/>
    </row>
    <row r="1287" spans="1:27" s="13" customFormat="1" hidden="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36.950000000000003</v>
      </c>
      <c r="V1287" s="13">
        <f>IF(ISNA(VLOOKUP(LOWER(F1287)&amp;H1287,Prices!A:C,2,0)),0,VLOOKUP(LOWER(F1287)&amp;H1287,Prices!A:C,2,0))</f>
        <v>37.200000000000003</v>
      </c>
      <c r="W1287" s="13">
        <f t="shared" si="654"/>
        <v>-16656.432800000006</v>
      </c>
      <c r="X1287" s="13">
        <f t="shared" si="655"/>
        <v>-450</v>
      </c>
      <c r="Y1287" s="43">
        <f t="shared" si="656"/>
        <v>-0.33072100706854113</v>
      </c>
      <c r="Z1287" s="49"/>
      <c r="AA1287" s="24"/>
    </row>
    <row r="1288" spans="1:27" s="13" customFormat="1" hidden="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8.91</v>
      </c>
      <c r="V1288" s="13">
        <f>IF(ISNA(VLOOKUP(LOWER(F1288)&amp;H1288,Prices!A:C,2,0)),0,VLOOKUP(LOWER(F1288)&amp;H1288,Prices!A:C,2,0))</f>
        <v>9.01</v>
      </c>
      <c r="W1288" s="13">
        <f>IF(I1288="B",(V1288+T1288)*K1288,(V1288+T1288)*K1288)</f>
        <v>-1237.7688000000062</v>
      </c>
      <c r="X1288" s="13">
        <f t="shared" ref="X1288" si="664">K1288*(V1288-U1288)</f>
        <v>-879.99999999999682</v>
      </c>
      <c r="Y1288" s="43">
        <f t="shared" ref="Y1288" si="665">W1288/O1288</f>
        <v>-1.5839588452088531E-2</v>
      </c>
      <c r="Z1288" s="49"/>
      <c r="AA1288" s="24"/>
    </row>
    <row r="1289" spans="1:27" s="13" customFormat="1" hidden="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9.86</v>
      </c>
      <c r="V1289" s="13">
        <f>IF(ISNA(VLOOKUP(LOWER(F1289)&amp;H1289,Prices!A:C,2,0)),0,VLOOKUP(LOWER(F1289)&amp;H1289,Prices!A:C,2,0))</f>
        <v>9.75</v>
      </c>
      <c r="W1289" s="13">
        <f t="shared" ref="W1289:W1308" si="670">IF(I1289="B",(V1289+T1289)*K1289,(V1289+T1289)*K1289)</f>
        <v>-8051.9925200000025</v>
      </c>
      <c r="X1289" s="13">
        <f t="shared" ref="X1289:X1308" si="671">K1289*(V1289-U1289)</f>
        <v>-472.99999999999756</v>
      </c>
      <c r="Y1289" s="43">
        <f t="shared" ref="Y1289:Y1308" si="672">W1289/O1289</f>
        <v>-0.16114943201376941</v>
      </c>
      <c r="Z1289" s="49"/>
      <c r="AA1289" s="24"/>
    </row>
    <row r="1290" spans="1:27" s="13" customFormat="1" hidden="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20.79</v>
      </c>
      <c r="V1290" s="13">
        <f>IF(ISNA(VLOOKUP(LOWER(F1290)&amp;H1290,Prices!A:C,2,0)),0,VLOOKUP(LOWER(F1290)&amp;H1290,Prices!A:C,2,0))</f>
        <v>20.27</v>
      </c>
      <c r="W1290" s="13">
        <f t="shared" si="670"/>
        <v>-4811.975399999993</v>
      </c>
      <c r="X1290" s="13">
        <f t="shared" si="671"/>
        <v>1403.9999999999989</v>
      </c>
      <c r="Y1290" s="43">
        <f t="shared" si="672"/>
        <v>-9.6283798547331614E-2</v>
      </c>
      <c r="Z1290" s="49"/>
      <c r="AA1290" s="24"/>
    </row>
    <row r="1291" spans="1:27" s="13" customFormat="1" hidden="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9.86</v>
      </c>
      <c r="V1291" s="13">
        <f>IF(ISNA(VLOOKUP(LOWER(F1291)&amp;H1291,Prices!A:C,2,0)),0,VLOOKUP(LOWER(F1291)&amp;H1291,Prices!A:C,2,0))</f>
        <v>9.75</v>
      </c>
      <c r="W1291" s="13">
        <f t="shared" si="670"/>
        <v>-3925.4684000000034</v>
      </c>
      <c r="X1291" s="13">
        <f t="shared" si="671"/>
        <v>-219.99999999999886</v>
      </c>
      <c r="Y1291" s="43">
        <f t="shared" si="672"/>
        <v>-0.16761180187873626</v>
      </c>
      <c r="Z1291" s="49"/>
      <c r="AA1291" s="24"/>
    </row>
    <row r="1292" spans="1:27" s="13" customFormat="1" hidden="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9.86</v>
      </c>
      <c r="V1292" s="13">
        <f>IF(ISNA(VLOOKUP(LOWER(F1292)&amp;H1292,Prices!A:C,2,0)),0,VLOOKUP(LOWER(F1292)&amp;H1292,Prices!A:C,2,0))</f>
        <v>9.75</v>
      </c>
      <c r="W1292" s="13">
        <f t="shared" si="670"/>
        <v>-3965.4692000000014</v>
      </c>
      <c r="X1292" s="13">
        <f t="shared" si="671"/>
        <v>-219.99999999999886</v>
      </c>
      <c r="Y1292" s="43">
        <f t="shared" si="672"/>
        <v>-0.1690310826939472</v>
      </c>
      <c r="Z1292" s="49"/>
      <c r="AA1292" s="24"/>
    </row>
    <row r="1293" spans="1:27" s="13" customFormat="1" hidden="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9.86</v>
      </c>
      <c r="V1293" s="13">
        <f>IF(ISNA(VLOOKUP(LOWER(F1293)&amp;H1293,Prices!A:C,2,0)),0,VLOOKUP(LOWER(F1293)&amp;H1293,Prices!A:C,2,0))</f>
        <v>9.75</v>
      </c>
      <c r="W1293" s="13">
        <f t="shared" si="670"/>
        <v>-8494.8754800000042</v>
      </c>
      <c r="X1293" s="13">
        <f t="shared" si="671"/>
        <v>-461.99999999999761</v>
      </c>
      <c r="Y1293" s="43">
        <f t="shared" si="672"/>
        <v>-0.17184276975361096</v>
      </c>
      <c r="Z1293" s="49"/>
      <c r="AA1293" s="24"/>
    </row>
    <row r="1294" spans="1:27" s="13" customFormat="1" hidden="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8.91</v>
      </c>
      <c r="V1294" s="13">
        <f>IF(ISNA(VLOOKUP(LOWER(F1294)&amp;H1294,Prices!A:C,2,0)),0,VLOOKUP(LOWER(F1294)&amp;H1294,Prices!A:C,2,0))</f>
        <v>9.01</v>
      </c>
      <c r="W1294" s="13">
        <f t="shared" si="670"/>
        <v>394.99999999999955</v>
      </c>
      <c r="X1294" s="13">
        <f t="shared" si="671"/>
        <v>199.99999999999929</v>
      </c>
      <c r="Y1294" s="43">
        <f t="shared" si="672"/>
        <v>2.2417707150964788E-2</v>
      </c>
      <c r="Z1294" s="49"/>
      <c r="AA1294" s="24"/>
    </row>
    <row r="1295" spans="1:27" s="13" customFormat="1" hidden="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9.86</v>
      </c>
      <c r="V1295" s="13">
        <f>IF(ISNA(VLOOKUP(LOWER(F1295)&amp;H1295,Prices!A:C,2,0)),0,VLOOKUP(LOWER(F1295)&amp;H1295,Prices!A:C,2,0))</f>
        <v>9.75</v>
      </c>
      <c r="W1295" s="13">
        <f t="shared" si="670"/>
        <v>-8452.8662400000012</v>
      </c>
      <c r="X1295" s="13">
        <f t="shared" si="671"/>
        <v>-461.99999999999761</v>
      </c>
      <c r="Y1295" s="43">
        <f t="shared" si="672"/>
        <v>-0.1711383673469388</v>
      </c>
      <c r="Z1295" s="49"/>
      <c r="AA1295" s="24"/>
    </row>
    <row r="1296" spans="1:27" s="13" customFormat="1" hidden="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9.86</v>
      </c>
      <c r="V1296" s="13">
        <f>IF(ISNA(VLOOKUP(LOWER(F1296)&amp;H1296,Prices!A:C,2,0)),0,VLOOKUP(LOWER(F1296)&amp;H1296,Prices!A:C,2,0))</f>
        <v>9.75</v>
      </c>
      <c r="W1296" s="13">
        <f t="shared" si="670"/>
        <v>-8452.8662400000012</v>
      </c>
      <c r="X1296" s="13">
        <f t="shared" si="671"/>
        <v>-461.99999999999761</v>
      </c>
      <c r="Y1296" s="43">
        <f t="shared" si="672"/>
        <v>-0.1711383673469388</v>
      </c>
      <c r="Z1296" s="49"/>
      <c r="AA1296" s="24"/>
    </row>
    <row r="1297" spans="1:27" s="13" customFormat="1" hidden="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76.64</v>
      </c>
      <c r="V1297" s="13">
        <f>IF(ISNA(VLOOKUP(LOWER(F1297)&amp;H1297,Prices!A:C,2,0)),0,VLOOKUP(LOWER(F1297)&amp;H1297,Prices!A:C,2,0))</f>
        <v>76.8</v>
      </c>
      <c r="W1297" s="13">
        <f t="shared" si="670"/>
        <v>27410.124000000003</v>
      </c>
      <c r="X1297" s="13">
        <f t="shared" si="671"/>
        <v>159.99999999999659</v>
      </c>
      <c r="Y1297" s="43">
        <f t="shared" si="672"/>
        <v>0.55508554070473881</v>
      </c>
      <c r="Z1297" s="49"/>
      <c r="AA1297" s="24"/>
    </row>
    <row r="1298" spans="1:27" s="13" customFormat="1" hidden="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76.64</v>
      </c>
      <c r="V1298" s="13">
        <f>IF(ISNA(VLOOKUP(LOWER(F1298)&amp;H1298,Prices!A:C,2,0)),0,VLOOKUP(LOWER(F1298)&amp;H1298,Prices!A:C,2,0))</f>
        <v>76.8</v>
      </c>
      <c r="W1298" s="13">
        <f t="shared" si="670"/>
        <v>27400.122000000003</v>
      </c>
      <c r="X1298" s="13">
        <f t="shared" si="671"/>
        <v>159.99999999999659</v>
      </c>
      <c r="Y1298" s="43">
        <f t="shared" si="672"/>
        <v>0.55477064183033009</v>
      </c>
      <c r="Z1298" s="49"/>
      <c r="AA1298" s="24"/>
    </row>
    <row r="1299" spans="1:27" s="13" customFormat="1" hidden="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9.86</v>
      </c>
      <c r="V1299" s="13">
        <f>IF(ISNA(VLOOKUP(LOWER(F1299)&amp;H1299,Prices!A:C,2,0)),0,VLOOKUP(LOWER(F1299)&amp;H1299,Prices!A:C,2,0))</f>
        <v>9.75</v>
      </c>
      <c r="W1299" s="13">
        <f t="shared" si="670"/>
        <v>-8452.8662400000012</v>
      </c>
      <c r="X1299" s="13">
        <f t="shared" si="671"/>
        <v>-461.99999999999761</v>
      </c>
      <c r="Y1299" s="43">
        <f t="shared" si="672"/>
        <v>-0.1711383673469388</v>
      </c>
      <c r="Z1299" s="49"/>
      <c r="AA1299" s="24"/>
    </row>
    <row r="1300" spans="1:27" s="13" customFormat="1" hidden="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8.91</v>
      </c>
      <c r="V1300" s="13">
        <f>IF(ISNA(VLOOKUP(LOWER(F1300)&amp;H1300,Prices!A:C,2,0)),0,VLOOKUP(LOWER(F1300)&amp;H1300,Prices!A:C,2,0))</f>
        <v>9.01</v>
      </c>
      <c r="W1300" s="13">
        <f t="shared" si="670"/>
        <v>205.00000000000006</v>
      </c>
      <c r="X1300" s="13">
        <f t="shared" si="671"/>
        <v>99.999999999999645</v>
      </c>
      <c r="Y1300" s="43">
        <f t="shared" si="672"/>
        <v>2.3295454545454553E-2</v>
      </c>
      <c r="Z1300" s="49"/>
      <c r="AA1300" s="24"/>
    </row>
    <row r="1301" spans="1:27" s="13" customFormat="1" hidden="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76.64</v>
      </c>
      <c r="V1301" s="13">
        <f>IF(ISNA(VLOOKUP(LOWER(F1301)&amp;H1301,Prices!A:C,2,0)),0,VLOOKUP(LOWER(F1301)&amp;H1301,Prices!A:C,2,0))</f>
        <v>76.8</v>
      </c>
      <c r="W1301" s="13">
        <f t="shared" si="670"/>
        <v>8191</v>
      </c>
      <c r="X1301" s="13">
        <f t="shared" si="671"/>
        <v>47.999999999998977</v>
      </c>
      <c r="Y1301" s="43">
        <f t="shared" si="672"/>
        <v>0.55180544327674486</v>
      </c>
      <c r="Z1301" s="49"/>
      <c r="AA1301" s="24"/>
    </row>
    <row r="1302" spans="1:27" s="13" customFormat="1" hidden="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8.91</v>
      </c>
      <c r="V1302" s="13">
        <f>IF(ISNA(VLOOKUP(LOWER(F1302)&amp;H1302,Prices!A:C,2,0)),0,VLOOKUP(LOWER(F1302)&amp;H1302,Prices!A:C,2,0))</f>
        <v>9.01</v>
      </c>
      <c r="W1302" s="13">
        <f t="shared" si="670"/>
        <v>520.00000000000045</v>
      </c>
      <c r="X1302" s="13">
        <f t="shared" si="671"/>
        <v>249.99999999999912</v>
      </c>
      <c r="Y1302" s="43">
        <f t="shared" si="672"/>
        <v>2.3636363636363657E-2</v>
      </c>
      <c r="Z1302" s="49"/>
      <c r="AA1302" s="24"/>
    </row>
    <row r="1303" spans="1:27" s="13" customFormat="1" hidden="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76.64</v>
      </c>
      <c r="V1303" s="13">
        <f>IF(ISNA(VLOOKUP(LOWER(F1303)&amp;H1303,Prices!A:C,2,0)),0,VLOOKUP(LOWER(F1303)&amp;H1303,Prices!A:C,2,0))</f>
        <v>76.8</v>
      </c>
      <c r="W1303" s="13">
        <f t="shared" si="670"/>
        <v>13669.999999999998</v>
      </c>
      <c r="X1303" s="13">
        <f t="shared" si="671"/>
        <v>79.999999999998295</v>
      </c>
      <c r="Y1303" s="43">
        <f t="shared" si="672"/>
        <v>0.55288169868554082</v>
      </c>
      <c r="Z1303" s="49"/>
      <c r="AA1303" s="24"/>
    </row>
    <row r="1304" spans="1:27" s="13" customFormat="1" hidden="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85.9</v>
      </c>
      <c r="V1304" s="13">
        <f>IF(ISNA(VLOOKUP(LOWER(F1304)&amp;H1304,Prices!A:C,2,0)),0,VLOOKUP(LOWER(F1304)&amp;H1304,Prices!A:C,2,0))</f>
        <v>85.18</v>
      </c>
      <c r="W1304" s="13">
        <f t="shared" si="670"/>
        <v>47422.746800000008</v>
      </c>
      <c r="X1304" s="13">
        <f t="shared" si="671"/>
        <v>-791.99999999999875</v>
      </c>
      <c r="Y1304" s="43">
        <f t="shared" si="672"/>
        <v>1.0250020922491681</v>
      </c>
      <c r="Z1304" s="49"/>
      <c r="AA1304" s="24"/>
    </row>
    <row r="1305" spans="1:27" s="13" customFormat="1" hidden="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9.86</v>
      </c>
      <c r="V1305" s="13">
        <f>IF(ISNA(VLOOKUP(LOWER(F1305)&amp;H1305,Prices!A:C,2,0)),0,VLOOKUP(LOWER(F1305)&amp;H1305,Prices!A:C,2,0))</f>
        <v>9.75</v>
      </c>
      <c r="W1305" s="13">
        <f t="shared" si="670"/>
        <v>-8620.9031999999897</v>
      </c>
      <c r="X1305" s="13">
        <f t="shared" si="671"/>
        <v>-461.99999999999761</v>
      </c>
      <c r="Y1305" s="43">
        <f t="shared" si="672"/>
        <v>-0.17394881355932182</v>
      </c>
      <c r="Z1305" s="49"/>
      <c r="AA1305" s="24"/>
    </row>
    <row r="1306" spans="1:27" s="13" customFormat="1" hidden="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76.64</v>
      </c>
      <c r="V1306" s="13">
        <f>IF(ISNA(VLOOKUP(LOWER(F1306)&amp;H1306,Prices!A:C,2,0)),0,VLOOKUP(LOWER(F1306)&amp;H1306,Prices!A:C,2,0))</f>
        <v>76.8</v>
      </c>
      <c r="W1306" s="13">
        <f t="shared" si="670"/>
        <v>26930.027999999991</v>
      </c>
      <c r="X1306" s="13">
        <f t="shared" si="671"/>
        <v>159.99999999999659</v>
      </c>
      <c r="Y1306" s="43">
        <f t="shared" si="672"/>
        <v>0.54011287605294811</v>
      </c>
      <c r="Z1306" s="49"/>
      <c r="AA1306" s="24"/>
    </row>
    <row r="1307" spans="1:27" s="13" customFormat="1" hidden="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20.79</v>
      </c>
      <c r="V1307" s="13">
        <f>IF(ISNA(VLOOKUP(LOWER(F1307)&amp;H1307,Prices!A:C,2,0)),0,VLOOKUP(LOWER(F1307)&amp;H1307,Prices!A:C,2,0))</f>
        <v>20.27</v>
      </c>
      <c r="W1307" s="13">
        <f t="shared" si="670"/>
        <v>4877.0316000000039</v>
      </c>
      <c r="X1307" s="13">
        <f t="shared" si="671"/>
        <v>-1403.9999999999989</v>
      </c>
      <c r="Y1307" s="43">
        <f t="shared" si="672"/>
        <v>9.7849837486457286E-2</v>
      </c>
      <c r="Z1307" s="49"/>
      <c r="AA1307" s="24"/>
    </row>
    <row r="1308" spans="1:27" s="13" customFormat="1" hidden="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8.91</v>
      </c>
      <c r="V1308" s="13">
        <f>IF(ISNA(VLOOKUP(LOWER(F1308)&amp;H1308,Prices!A:C,2,0)),0,VLOOKUP(LOWER(F1308)&amp;H1308,Prices!A:C,2,0))</f>
        <v>9.01</v>
      </c>
      <c r="W1308" s="13">
        <f t="shared" si="670"/>
        <v>998.11039999999878</v>
      </c>
      <c r="X1308" s="13">
        <f t="shared" si="671"/>
        <v>559.99999999999795</v>
      </c>
      <c r="Y1308" s="43">
        <f t="shared" si="672"/>
        <v>2.018505096262738E-2</v>
      </c>
      <c r="Z1308" s="49"/>
      <c r="AA1308" s="24"/>
    </row>
    <row r="1309" spans="1:27" s="13" customFormat="1" hidden="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76.64</v>
      </c>
      <c r="V1309" s="13">
        <f>IF(ISNA(VLOOKUP(LOWER(F1309)&amp;H1309,Prices!A:C,2,0)),0,VLOOKUP(LOWER(F1309)&amp;H1309,Prices!A:C,2,0))</f>
        <v>76.8</v>
      </c>
      <c r="W1309" s="13">
        <f t="shared" ref="W1309:W1326" si="678">IF(I1309="B",(V1309+T1309)*K1309,(V1309+T1309)*K1309)</f>
        <v>-50521.612599999993</v>
      </c>
      <c r="X1309" s="13">
        <f t="shared" ref="X1309:X1326" si="679">K1309*(V1309-U1309)</f>
        <v>-303.99999999999352</v>
      </c>
      <c r="Y1309" s="43">
        <f t="shared" ref="Y1309:Y1326" si="680">W1309/O1309</f>
        <v>-0.52895011778501344</v>
      </c>
      <c r="Z1309" s="49"/>
      <c r="AA1309" s="24"/>
    </row>
    <row r="1310" spans="1:27" s="13" customFormat="1" hidden="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9.86</v>
      </c>
      <c r="V1310" s="13">
        <f>IF(ISNA(VLOOKUP(LOWER(F1310)&amp;H1310,Prices!A:C,2,0)),0,VLOOKUP(LOWER(F1310)&amp;H1310,Prices!A:C,2,0))</f>
        <v>9.75</v>
      </c>
      <c r="W1310" s="13">
        <f t="shared" si="678"/>
        <v>20863.843859999979</v>
      </c>
      <c r="X1310" s="13">
        <f t="shared" si="679"/>
        <v>1132.9999999999941</v>
      </c>
      <c r="Y1310" s="43">
        <f t="shared" si="680"/>
        <v>0.17180796511771521</v>
      </c>
      <c r="Z1310" s="49"/>
      <c r="AA1310" s="24"/>
    </row>
    <row r="1311" spans="1:27" s="13" customFormat="1" hidden="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76.64</v>
      </c>
      <c r="V1311" s="13">
        <f>IF(ISNA(VLOOKUP(LOWER(F1311)&amp;H1311,Prices!A:C,2,0)),0,VLOOKUP(LOWER(F1311)&amp;H1311,Prices!A:C,2,0))</f>
        <v>76.8</v>
      </c>
      <c r="W1311" s="13">
        <f t="shared" si="678"/>
        <v>-2661.0299999999997</v>
      </c>
      <c r="X1311" s="13">
        <f t="shared" si="679"/>
        <v>-15.999999999999659</v>
      </c>
      <c r="Y1311" s="43">
        <f t="shared" si="680"/>
        <v>-0.52913700536886055</v>
      </c>
      <c r="Z1311" s="49"/>
      <c r="AA1311" s="24"/>
    </row>
    <row r="1312" spans="1:27" s="13" customFormat="1" hidden="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9.86</v>
      </c>
      <c r="V1312" s="13">
        <f>IF(ISNA(VLOOKUP(LOWER(F1312)&amp;H1312,Prices!A:C,2,0)),0,VLOOKUP(LOWER(F1312)&amp;H1312,Prices!A:C,2,0))</f>
        <v>9.75</v>
      </c>
      <c r="W1312" s="13">
        <f t="shared" si="678"/>
        <v>18230.5458</v>
      </c>
      <c r="X1312" s="13">
        <f t="shared" si="679"/>
        <v>989.99999999999488</v>
      </c>
      <c r="Y1312" s="43">
        <f t="shared" si="680"/>
        <v>0.17180798982188297</v>
      </c>
      <c r="Z1312" s="49"/>
      <c r="AA1312" s="24"/>
    </row>
    <row r="1313" spans="1:27" s="13" customFormat="1" hidden="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20.79</v>
      </c>
      <c r="V1313" s="13">
        <f>IF(ISNA(VLOOKUP(LOWER(F1313)&amp;H1313,Prices!A:C,2,0)),0,VLOOKUP(LOWER(F1313)&amp;H1313,Prices!A:C,2,0))</f>
        <v>20.27</v>
      </c>
      <c r="W1313" s="13">
        <f t="shared" si="678"/>
        <v>-2159.5000000000005</v>
      </c>
      <c r="X1313" s="13">
        <f t="shared" si="679"/>
        <v>727.99999999999943</v>
      </c>
      <c r="Y1313" s="43">
        <f t="shared" si="680"/>
        <v>-8.2266666666666682E-2</v>
      </c>
      <c r="Z1313" s="49"/>
      <c r="AA1313" s="24"/>
    </row>
    <row r="1314" spans="1:27" s="13" customFormat="1" hidden="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30.66</v>
      </c>
      <c r="V1314" s="13">
        <f>IF(ISNA(VLOOKUP(LOWER(F1314)&amp;H1314,Prices!A:C,2,0)),0,VLOOKUP(LOWER(F1314)&amp;H1314,Prices!A:C,2,0))</f>
        <v>30.27</v>
      </c>
      <c r="W1314" s="13">
        <f t="shared" si="678"/>
        <v>-9500.7450200000003</v>
      </c>
      <c r="X1314" s="13">
        <f t="shared" si="679"/>
        <v>-507.00000000000074</v>
      </c>
      <c r="Y1314" s="43">
        <f t="shared" si="680"/>
        <v>-0.19452396593026353</v>
      </c>
      <c r="Z1314" s="49"/>
      <c r="AA1314" s="24"/>
    </row>
    <row r="1315" spans="1:27" s="13" customFormat="1" hidden="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18.11</v>
      </c>
      <c r="V1315" s="13">
        <f>IF(ISNA(VLOOKUP(LOWER(F1315)&amp;H1315,Prices!A:C,2,0)),0,VLOOKUP(LOWER(F1315)&amp;H1315,Prices!A:C,2,0))</f>
        <v>18.18</v>
      </c>
      <c r="W1315" s="13">
        <f t="shared" si="678"/>
        <v>-5760.2764800000041</v>
      </c>
      <c r="X1315" s="13">
        <f t="shared" si="679"/>
        <v>168.00000000000068</v>
      </c>
      <c r="Y1315" s="43">
        <f t="shared" si="680"/>
        <v>-0.11664634525660972</v>
      </c>
      <c r="Z1315" s="49"/>
      <c r="AA1315" s="24"/>
    </row>
    <row r="1316" spans="1:27" s="13" customFormat="1" hidden="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18.11</v>
      </c>
      <c r="V1316" s="13">
        <f>IF(ISNA(VLOOKUP(LOWER(F1316)&amp;H1316,Prices!A:C,2,0)),0,VLOOKUP(LOWER(F1316)&amp;H1316,Prices!A:C,2,0))</f>
        <v>18.18</v>
      </c>
      <c r="W1316" s="13">
        <f t="shared" si="678"/>
        <v>-5889.9023999999972</v>
      </c>
      <c r="X1316" s="13">
        <f t="shared" si="679"/>
        <v>168.00000000000068</v>
      </c>
      <c r="Y1316" s="43">
        <f t="shared" si="680"/>
        <v>-0.11895908870576824</v>
      </c>
      <c r="Z1316" s="49"/>
      <c r="AA1316" s="24"/>
    </row>
    <row r="1317" spans="1:27" s="13" customFormat="1" hidden="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18.11</v>
      </c>
      <c r="V1317" s="13">
        <f>IF(ISNA(VLOOKUP(LOWER(F1317)&amp;H1317,Prices!A:C,2,0)),0,VLOOKUP(LOWER(F1317)&amp;H1317,Prices!A:C,2,0))</f>
        <v>18.18</v>
      </c>
      <c r="W1317" s="13">
        <f t="shared" si="678"/>
        <v>-5937.9119999999975</v>
      </c>
      <c r="X1317" s="13">
        <f t="shared" si="679"/>
        <v>168.00000000000068</v>
      </c>
      <c r="Y1317" s="43">
        <f t="shared" si="680"/>
        <v>-0.11981259079903142</v>
      </c>
      <c r="Z1317" s="49"/>
      <c r="AA1317" s="24"/>
    </row>
    <row r="1318" spans="1:27" s="13" customFormat="1" hidden="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18.11</v>
      </c>
      <c r="V1318" s="13">
        <f>IF(ISNA(VLOOKUP(LOWER(F1318)&amp;H1318,Prices!A:C,2,0)),0,VLOOKUP(LOWER(F1318)&amp;H1318,Prices!A:C,2,0))</f>
        <v>18.18</v>
      </c>
      <c r="W1318" s="13">
        <f t="shared" si="678"/>
        <v>-5889.9023999999972</v>
      </c>
      <c r="X1318" s="13">
        <f t="shared" si="679"/>
        <v>168.00000000000068</v>
      </c>
      <c r="Y1318" s="43">
        <f t="shared" si="680"/>
        <v>-0.11895908870576824</v>
      </c>
      <c r="Z1318" s="49"/>
      <c r="AA1318" s="24"/>
    </row>
    <row r="1319" spans="1:27" s="13" customFormat="1" hidden="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18.11</v>
      </c>
      <c r="V1319" s="13">
        <f>IF(ISNA(VLOOKUP(LOWER(F1319)&amp;H1319,Prices!A:C,2,0)),0,VLOOKUP(LOWER(F1319)&amp;H1319,Prices!A:C,2,0))</f>
        <v>18.18</v>
      </c>
      <c r="W1319" s="13">
        <f t="shared" si="678"/>
        <v>-3125.0000000000014</v>
      </c>
      <c r="X1319" s="13">
        <f t="shared" si="679"/>
        <v>84.000000000000341</v>
      </c>
      <c r="Y1319" s="43">
        <f t="shared" si="680"/>
        <v>-0.12532082130253455</v>
      </c>
      <c r="Z1319" s="49"/>
      <c r="AA1319" s="24"/>
    </row>
    <row r="1320" spans="1:27" s="13" customFormat="1" hidden="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18.11</v>
      </c>
      <c r="V1320" s="13">
        <f>IF(ISNA(VLOOKUP(LOWER(F1320)&amp;H1320,Prices!A:C,2,0)),0,VLOOKUP(LOWER(F1320)&amp;H1320,Prices!A:C,2,0))</f>
        <v>18.18</v>
      </c>
      <c r="W1320" s="13">
        <f t="shared" si="678"/>
        <v>-6297.9839999999995</v>
      </c>
      <c r="X1320" s="13">
        <f t="shared" si="679"/>
        <v>168.00000000000068</v>
      </c>
      <c r="Y1320" s="43">
        <f t="shared" si="680"/>
        <v>-0.12616153846153846</v>
      </c>
      <c r="Z1320" s="49"/>
      <c r="AA1320" s="24"/>
    </row>
    <row r="1321" spans="1:27" s="13" customFormat="1" hidden="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18.11</v>
      </c>
      <c r="V1321" s="13">
        <f>IF(ISNA(VLOOKUP(LOWER(F1321)&amp;H1321,Prices!A:C,2,0)),0,VLOOKUP(LOWER(F1321)&amp;H1321,Prices!A:C,2,0))</f>
        <v>18.18</v>
      </c>
      <c r="W1321" s="13">
        <f t="shared" si="678"/>
        <v>-6249.9743999999992</v>
      </c>
      <c r="X1321" s="13">
        <f t="shared" si="679"/>
        <v>168.00000000000068</v>
      </c>
      <c r="Y1321" s="43">
        <f t="shared" si="680"/>
        <v>-0.12532030798845042</v>
      </c>
      <c r="Z1321" s="49"/>
      <c r="AA1321" s="24"/>
    </row>
    <row r="1322" spans="1:27" s="13" customFormat="1" hidden="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hidden="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9.86</v>
      </c>
      <c r="V1323" s="13">
        <f>IF(ISNA(VLOOKUP(LOWER(F1323)&amp;H1323,Prices!A:C,2,0)),0,VLOOKUP(LOWER(F1323)&amp;H1323,Prices!A:C,2,0))</f>
        <v>9.75</v>
      </c>
      <c r="W1323" s="13">
        <f t="shared" si="678"/>
        <v>21055.18599999998</v>
      </c>
      <c r="X1323" s="13">
        <f t="shared" si="679"/>
        <v>1099.9999999999943</v>
      </c>
      <c r="Y1323" s="43">
        <f t="shared" si="680"/>
        <v>0.17738151642796951</v>
      </c>
      <c r="Z1323" s="49"/>
      <c r="AA1323" s="24"/>
    </row>
    <row r="1324" spans="1:27" s="13" customFormat="1" hidden="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hidden="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hidden="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hidden="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18.11</v>
      </c>
      <c r="V1327" s="13">
        <f>IF(ISNA(VLOOKUP(LOWER(F1327)&amp;H1327,Prices!A:C,2,0)),0,VLOOKUP(LOWER(F1327)&amp;H1327,Prices!A:C,2,0))</f>
        <v>18.18</v>
      </c>
      <c r="W1327" s="13">
        <f t="shared" ref="W1327:W1341" si="685">IF(I1327="B",(V1327+T1327)*K1327,(V1327+T1327)*K1327)</f>
        <v>7647.1280000000024</v>
      </c>
      <c r="X1327" s="13">
        <f t="shared" ref="X1327:X1341" si="686">K1327*(V1327-U1327)</f>
        <v>-140.00000000000057</v>
      </c>
      <c r="Y1327" s="43">
        <f t="shared" ref="Y1327:Y1341" si="687">W1327/O1327</f>
        <v>0.1735616886064458</v>
      </c>
      <c r="Z1327" s="49"/>
      <c r="AA1327" s="24"/>
    </row>
    <row r="1328" spans="1:27" s="13" customFormat="1" hidden="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8.91</v>
      </c>
      <c r="V1328" s="13">
        <f>IF(ISNA(VLOOKUP(LOWER(F1328)&amp;H1328,Prices!A:C,2,0)),0,VLOOKUP(LOWER(F1328)&amp;H1328,Prices!A:C,2,0))</f>
        <v>9.01</v>
      </c>
      <c r="W1328" s="13">
        <f t="shared" si="685"/>
        <v>-807.64999999999816</v>
      </c>
      <c r="X1328" s="13">
        <f t="shared" si="686"/>
        <v>-259.99999999999909</v>
      </c>
      <c r="Y1328" s="43">
        <f t="shared" si="687"/>
        <v>-3.5664134946568844E-2</v>
      </c>
      <c r="Z1328" s="49"/>
      <c r="AA1328" s="24"/>
    </row>
    <row r="1329" spans="1:27" s="13" customFormat="1" hidden="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8.91</v>
      </c>
      <c r="V1329" s="13">
        <f>IF(ISNA(VLOOKUP(LOWER(F1329)&amp;H1329,Prices!A:C,2,0)),0,VLOOKUP(LOWER(F1329)&amp;H1329,Prices!A:C,2,0))</f>
        <v>9.01</v>
      </c>
      <c r="W1329" s="13">
        <f t="shared" si="685"/>
        <v>-1552.2599999999898</v>
      </c>
      <c r="X1329" s="13">
        <f t="shared" si="686"/>
        <v>-499.99999999999824</v>
      </c>
      <c r="Y1329" s="43">
        <f t="shared" si="687"/>
        <v>-3.5643168771526741E-2</v>
      </c>
      <c r="Z1329" s="49"/>
      <c r="AA1329" s="24"/>
    </row>
    <row r="1330" spans="1:27" s="13" customFormat="1" hidden="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20.79</v>
      </c>
      <c r="V1330" s="13">
        <f>IF(ISNA(VLOOKUP(LOWER(F1330)&amp;H1330,Prices!A:C,2,0)),0,VLOOKUP(LOWER(F1330)&amp;H1330,Prices!A:C,2,0))</f>
        <v>20.27</v>
      </c>
      <c r="W1330" s="13">
        <f t="shared" si="685"/>
        <v>-982.20000000000027</v>
      </c>
      <c r="X1330" s="13">
        <f t="shared" si="686"/>
        <v>311.99999999999977</v>
      </c>
      <c r="Y1330" s="43">
        <f t="shared" si="687"/>
        <v>-8.7727759914255118E-2</v>
      </c>
      <c r="Z1330" s="49"/>
      <c r="AA1330" s="24"/>
    </row>
    <row r="1331" spans="1:27" s="13" customFormat="1" hidden="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8.91</v>
      </c>
      <c r="V1331" s="13">
        <f>IF(ISNA(VLOOKUP(LOWER(F1331)&amp;H1331,Prices!A:C,2,0)),0,VLOOKUP(LOWER(F1331)&amp;H1331,Prices!A:C,2,0))</f>
        <v>9.01</v>
      </c>
      <c r="W1331" s="13">
        <f t="shared" si="685"/>
        <v>-2794.0679999999816</v>
      </c>
      <c r="X1331" s="13">
        <f t="shared" si="686"/>
        <v>-899.99999999999682</v>
      </c>
      <c r="Y1331" s="43">
        <f t="shared" si="687"/>
        <v>-3.5643168771526741E-2</v>
      </c>
      <c r="Z1331" s="49"/>
      <c r="AA1331" s="24"/>
    </row>
    <row r="1332" spans="1:27" s="13" customFormat="1" hidden="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76.64</v>
      </c>
      <c r="V1332" s="13">
        <f>IF(ISNA(VLOOKUP(LOWER(F1332)&amp;H1332,Prices!A:C,2,0)),0,VLOOKUP(LOWER(F1332)&amp;H1332,Prices!A:C,2,0))</f>
        <v>76.8</v>
      </c>
      <c r="W1332" s="13">
        <f t="shared" si="685"/>
        <v>-24075.1198</v>
      </c>
      <c r="X1332" s="13">
        <f t="shared" si="686"/>
        <v>-143.99999999999693</v>
      </c>
      <c r="Y1332" s="43">
        <f t="shared" si="687"/>
        <v>-0.53382824009401542</v>
      </c>
      <c r="Z1332" s="49"/>
      <c r="AA1332" s="24"/>
    </row>
    <row r="1333" spans="1:27" s="13" customFormat="1" hidden="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18.11</v>
      </c>
      <c r="V1333" s="13">
        <f>IF(ISNA(VLOOKUP(LOWER(F1333)&amp;H1333,Prices!A:C,2,0)),0,VLOOKUP(LOWER(F1333)&amp;H1333,Prices!A:C,2,0))</f>
        <v>18.18</v>
      </c>
      <c r="W1333" s="13">
        <f t="shared" si="685"/>
        <v>14295.456000000002</v>
      </c>
      <c r="X1333" s="13">
        <f t="shared" si="686"/>
        <v>-280.00000000000114</v>
      </c>
      <c r="Y1333" s="43">
        <f t="shared" si="687"/>
        <v>0.16408925619834713</v>
      </c>
      <c r="Z1333" s="49"/>
      <c r="AA1333" s="24"/>
    </row>
    <row r="1334" spans="1:27" s="13" customFormat="1" hidden="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hidden="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30.66</v>
      </c>
      <c r="V1335" s="13">
        <f>IF(ISNA(VLOOKUP(LOWER(F1335)&amp;H1335,Prices!A:C,2,0)),0,VLOOKUP(LOWER(F1335)&amp;H1335,Prices!A:C,2,0))</f>
        <v>30.27</v>
      </c>
      <c r="W1335" s="13">
        <f t="shared" si="685"/>
        <v>5676.6526399999993</v>
      </c>
      <c r="X1335" s="13">
        <f t="shared" si="686"/>
        <v>234.00000000000034</v>
      </c>
      <c r="Y1335" s="43">
        <f t="shared" si="687"/>
        <v>0.23783528741411092</v>
      </c>
      <c r="Z1335" s="49"/>
      <c r="AA1335" s="24"/>
    </row>
    <row r="1336" spans="1:27" s="13" customFormat="1" hidden="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85.9</v>
      </c>
      <c r="V1336" s="13">
        <f>IF(ISNA(VLOOKUP(LOWER(F1336)&amp;H1336,Prices!A:C,2,0)),0,VLOOKUP(LOWER(F1336)&amp;H1336,Prices!A:C,2,0))</f>
        <v>85.18</v>
      </c>
      <c r="W1336" s="13">
        <f t="shared" si="685"/>
        <v>-48190.672400000003</v>
      </c>
      <c r="X1336" s="13">
        <f t="shared" si="686"/>
        <v>791.99999999999875</v>
      </c>
      <c r="Y1336" s="43">
        <f t="shared" si="687"/>
        <v>-1.0576944032307625</v>
      </c>
      <c r="Z1336" s="49"/>
      <c r="AA1336" s="24"/>
    </row>
    <row r="1337" spans="1:27" s="13" customFormat="1" hidden="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hidden="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30.66</v>
      </c>
      <c r="V1338" s="13">
        <f>IF(ISNA(VLOOKUP(LOWER(F1338)&amp;H1338,Prices!A:C,2,0)),0,VLOOKUP(LOWER(F1338)&amp;H1338,Prices!A:C,2,0))</f>
        <v>30.27</v>
      </c>
      <c r="W1338" s="13">
        <f t="shared" si="685"/>
        <v>6993.572259999999</v>
      </c>
      <c r="X1338" s="13">
        <f t="shared" si="686"/>
        <v>273.0000000000004</v>
      </c>
      <c r="Y1338" s="43">
        <f t="shared" si="687"/>
        <v>0.24784960343055601</v>
      </c>
      <c r="Z1338" s="49"/>
      <c r="AA1338" s="24"/>
    </row>
    <row r="1339" spans="1:27" s="13" customFormat="1" hidden="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20.79</v>
      </c>
      <c r="V1339" s="13">
        <f>IF(ISNA(VLOOKUP(LOWER(F1339)&amp;H1339,Prices!A:C,2,0)),0,VLOOKUP(LOWER(F1339)&amp;H1339,Prices!A:C,2,0))</f>
        <v>20.27</v>
      </c>
      <c r="W1339" s="13">
        <f t="shared" si="685"/>
        <v>-1263.9400000000019</v>
      </c>
      <c r="X1339" s="13">
        <f t="shared" si="686"/>
        <v>363.99999999999972</v>
      </c>
      <c r="Y1339" s="43">
        <f t="shared" si="687"/>
        <v>-9.7654330526153285E-2</v>
      </c>
      <c r="Z1339" s="49"/>
      <c r="AA1339" s="24"/>
    </row>
    <row r="1340" spans="1:27" s="13" customFormat="1" hidden="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76.64</v>
      </c>
      <c r="V1340" s="13">
        <f>IF(ISNA(VLOOKUP(LOWER(F1340)&amp;H1340,Prices!A:C,2,0)),0,VLOOKUP(LOWER(F1340)&amp;H1340,Prices!A:C,2,0))</f>
        <v>76.8</v>
      </c>
      <c r="W1340" s="13">
        <f t="shared" si="685"/>
        <v>-24605.4836</v>
      </c>
      <c r="X1340" s="13">
        <f t="shared" si="686"/>
        <v>-143.99999999999693</v>
      </c>
      <c r="Y1340" s="43">
        <f t="shared" si="687"/>
        <v>-0.55208857476216122</v>
      </c>
      <c r="Z1340" s="49"/>
      <c r="AA1340" s="24"/>
    </row>
    <row r="1341" spans="1:27" s="13" customFormat="1" hidden="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18.11</v>
      </c>
      <c r="V1341" s="13">
        <f>IF(ISNA(VLOOKUP(LOWER(F1341)&amp;H1341,Prices!A:C,2,0)),0,VLOOKUP(LOWER(F1341)&amp;H1341,Prices!A:C,2,0))</f>
        <v>18.18</v>
      </c>
      <c r="W1341" s="13">
        <f t="shared" si="685"/>
        <v>22910.475600000016</v>
      </c>
      <c r="X1341" s="13">
        <f t="shared" si="686"/>
        <v>-532.00000000000216</v>
      </c>
      <c r="Y1341" s="43">
        <f t="shared" si="687"/>
        <v>0.14206108685946733</v>
      </c>
      <c r="Z1341" s="49"/>
      <c r="AA1341" s="24"/>
    </row>
    <row r="1342" spans="1:27" s="13" customFormat="1" hidden="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42.69</v>
      </c>
      <c r="V1342" s="13">
        <f>IF(ISNA(VLOOKUP(LOWER(F1342)&amp;H1342,Prices!A:C,2,0)),0,VLOOKUP(LOWER(F1342)&amp;H1342,Prices!A:C,2,0))</f>
        <v>43.84</v>
      </c>
      <c r="W1342" s="13">
        <f t="shared" ref="W1342:W1356" si="692">IF(I1342="B",(V1342+T1342)*K1342,(V1342+T1342)*K1342)</f>
        <v>-8101.4603400000042</v>
      </c>
      <c r="X1342" s="13">
        <f t="shared" ref="X1342:X1356" si="693">K1342*(V1342-U1342)</f>
        <v>1035.000000000005</v>
      </c>
      <c r="Y1342" s="43">
        <f t="shared" ref="Y1342:Y1356" si="694">W1342/O1342</f>
        <v>-0.17038846488737469</v>
      </c>
      <c r="Z1342" s="49"/>
      <c r="AA1342" s="24"/>
    </row>
    <row r="1343" spans="1:27" s="13" customFormat="1" hidden="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21.81</v>
      </c>
      <c r="V1343" s="13">
        <f>IF(ISNA(VLOOKUP(LOWER(F1343)&amp;H1343,Prices!A:C,2,0)),0,VLOOKUP(LOWER(F1343)&amp;H1343,Prices!A:C,2,0))</f>
        <v>21.88</v>
      </c>
      <c r="W1343" s="13">
        <f t="shared" si="692"/>
        <v>-23553.96</v>
      </c>
      <c r="X1343" s="13">
        <f t="shared" si="693"/>
        <v>84.000000000000341</v>
      </c>
      <c r="Y1343" s="43">
        <f t="shared" si="694"/>
        <v>-0.47297108433734936</v>
      </c>
      <c r="Z1343" s="49"/>
      <c r="AA1343" s="24"/>
    </row>
    <row r="1344" spans="1:27" s="13" customFormat="1" hidden="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hidden="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29.6</v>
      </c>
      <c r="V1345" s="13">
        <f>IF(ISNA(VLOOKUP(LOWER(F1345)&amp;H1345,Prices!A:C,2,0)),0,VLOOKUP(LOWER(F1345)&amp;H1345,Prices!A:C,2,0))</f>
        <v>30.47</v>
      </c>
      <c r="W1345" s="13">
        <f t="shared" si="692"/>
        <v>16181.440799999993</v>
      </c>
      <c r="X1345" s="13">
        <f t="shared" si="693"/>
        <v>1826.9999999999945</v>
      </c>
      <c r="Y1345" s="43">
        <f t="shared" si="694"/>
        <v>0.33855219683655524</v>
      </c>
      <c r="Z1345" s="49"/>
      <c r="AA1345" s="24"/>
    </row>
    <row r="1346" spans="1:27" s="13" customFormat="1" hidden="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29.6</v>
      </c>
      <c r="V1346" s="13">
        <f>IF(ISNA(VLOOKUP(LOWER(F1346)&amp;H1346,Prices!A:C,2,0)),0,VLOOKUP(LOWER(F1346)&amp;H1346,Prices!A:C,2,0))</f>
        <v>30.47</v>
      </c>
      <c r="W1346" s="13">
        <f t="shared" si="692"/>
        <v>16181.440799999993</v>
      </c>
      <c r="X1346" s="13">
        <f t="shared" si="693"/>
        <v>1826.9999999999945</v>
      </c>
      <c r="Y1346" s="43">
        <f t="shared" si="694"/>
        <v>0.33855219683655524</v>
      </c>
      <c r="Z1346" s="49"/>
      <c r="AA1346" s="24"/>
    </row>
    <row r="1347" spans="1:27" s="13" customFormat="1" hidden="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29.6</v>
      </c>
      <c r="V1347" s="13">
        <f>IF(ISNA(VLOOKUP(LOWER(F1347)&amp;H1347,Prices!A:C,2,0)),0,VLOOKUP(LOWER(F1347)&amp;H1347,Prices!A:C,2,0))</f>
        <v>30.47</v>
      </c>
      <c r="W1347" s="13">
        <f t="shared" si="692"/>
        <v>16076.4198</v>
      </c>
      <c r="X1347" s="13">
        <f t="shared" si="693"/>
        <v>1826.9999999999945</v>
      </c>
      <c r="Y1347" s="43">
        <f t="shared" si="694"/>
        <v>0.33561762384918897</v>
      </c>
      <c r="Z1347" s="49"/>
      <c r="AA1347" s="24"/>
    </row>
    <row r="1348" spans="1:27" s="13" customFormat="1" hidden="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29.6</v>
      </c>
      <c r="V1348" s="13">
        <f>IF(ISNA(VLOOKUP(LOWER(F1348)&amp;H1348,Prices!A:C,2,0)),0,VLOOKUP(LOWER(F1348)&amp;H1348,Prices!A:C,2,0))</f>
        <v>30.47</v>
      </c>
      <c r="W1348" s="13">
        <f t="shared" si="692"/>
        <v>15929.390399999991</v>
      </c>
      <c r="X1348" s="13">
        <f t="shared" si="693"/>
        <v>1826.9999999999945</v>
      </c>
      <c r="Y1348" s="43">
        <f t="shared" si="694"/>
        <v>0.33153076923076907</v>
      </c>
      <c r="Z1348" s="49"/>
      <c r="AA1348" s="24"/>
    </row>
    <row r="1349" spans="1:27" s="13" customFormat="1" hidden="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29.6</v>
      </c>
      <c r="V1349" s="13">
        <f>IF(ISNA(VLOOKUP(LOWER(F1349)&amp;H1349,Prices!A:C,2,0)),0,VLOOKUP(LOWER(F1349)&amp;H1349,Prices!A:C,2,0))</f>
        <v>30.47</v>
      </c>
      <c r="W1349" s="13">
        <f t="shared" si="692"/>
        <v>15908.386199999999</v>
      </c>
      <c r="X1349" s="13">
        <f t="shared" si="693"/>
        <v>1826.9999999999945</v>
      </c>
      <c r="Y1349" s="43">
        <f t="shared" si="694"/>
        <v>0.3309489733508082</v>
      </c>
      <c r="Z1349" s="49"/>
      <c r="AA1349" s="24"/>
    </row>
    <row r="1350" spans="1:27" s="13" customFormat="1" hidden="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29.6</v>
      </c>
      <c r="V1350" s="13">
        <f>IF(ISNA(VLOOKUP(LOWER(F1350)&amp;H1350,Prices!A:C,2,0)),0,VLOOKUP(LOWER(F1350)&amp;H1350,Prices!A:C,2,0))</f>
        <v>30.47</v>
      </c>
      <c r="W1350" s="13">
        <f t="shared" si="692"/>
        <v>15908.386199999999</v>
      </c>
      <c r="X1350" s="13">
        <f t="shared" si="693"/>
        <v>1826.9999999999945</v>
      </c>
      <c r="Y1350" s="43">
        <f t="shared" si="694"/>
        <v>0.3309489733508082</v>
      </c>
      <c r="Z1350" s="49"/>
      <c r="AA1350" s="24"/>
    </row>
    <row r="1351" spans="1:27" s="13" customFormat="1" hidden="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29.6</v>
      </c>
      <c r="V1351" s="13">
        <f>IF(ISNA(VLOOKUP(LOWER(F1351)&amp;H1351,Prices!A:C,2,0)),0,VLOOKUP(LOWER(F1351)&amp;H1351,Prices!A:C,2,0))</f>
        <v>30.47</v>
      </c>
      <c r="W1351" s="13">
        <f t="shared" si="692"/>
        <v>15635.331599999998</v>
      </c>
      <c r="X1351" s="13">
        <f t="shared" si="693"/>
        <v>1826.9999999999945</v>
      </c>
      <c r="Y1351" s="43">
        <f t="shared" si="694"/>
        <v>0.32343162467419628</v>
      </c>
      <c r="Z1351" s="49"/>
      <c r="AA1351" s="24"/>
    </row>
    <row r="1352" spans="1:27" s="13" customFormat="1" hidden="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19.510000000000002</v>
      </c>
      <c r="V1352" s="13">
        <f>IF(ISNA(VLOOKUP(LOWER(F1352)&amp;H1352,Prices!A:C,2,0)),0,VLOOKUP(LOWER(F1352)&amp;H1352,Prices!A:C,2,0))</f>
        <v>19.61</v>
      </c>
      <c r="W1352" s="13">
        <f t="shared" si="692"/>
        <v>16888.0448</v>
      </c>
      <c r="X1352" s="13">
        <f t="shared" si="693"/>
        <v>339.99999999999272</v>
      </c>
      <c r="Y1352" s="43">
        <f t="shared" si="694"/>
        <v>0.33928087431693987</v>
      </c>
      <c r="Z1352" s="49"/>
      <c r="AA1352" s="24"/>
    </row>
    <row r="1353" spans="1:27" s="13" customFormat="1" hidden="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19.510000000000002</v>
      </c>
      <c r="V1353" s="13">
        <f>IF(ISNA(VLOOKUP(LOWER(F1353)&amp;H1353,Prices!A:C,2,0)),0,VLOOKUP(LOWER(F1353)&amp;H1353,Prices!A:C,2,0))</f>
        <v>19.61</v>
      </c>
      <c r="W1353" s="13">
        <f t="shared" si="692"/>
        <v>16820.031199999994</v>
      </c>
      <c r="X1353" s="13">
        <f t="shared" si="693"/>
        <v>339.99999999999272</v>
      </c>
      <c r="Y1353" s="43">
        <f t="shared" si="694"/>
        <v>0.33745347885402444</v>
      </c>
      <c r="Z1353" s="49"/>
      <c r="AA1353" s="24"/>
    </row>
    <row r="1354" spans="1:27" s="13" customFormat="1" hidden="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13.96</v>
      </c>
      <c r="V1354" s="13">
        <f>IF(ISNA(VLOOKUP(LOWER(F1354)&amp;H1354,Prices!A:C,2,0)),0,VLOOKUP(LOWER(F1354)&amp;H1354,Prices!A:C,2,0))</f>
        <v>14.19</v>
      </c>
      <c r="W1354" s="13">
        <f t="shared" si="692"/>
        <v>13145.158400000002</v>
      </c>
      <c r="X1354" s="13">
        <f t="shared" si="693"/>
        <v>1011.9999999999941</v>
      </c>
      <c r="Y1354" s="43">
        <f t="shared" si="694"/>
        <v>0.26674428571428577</v>
      </c>
      <c r="Z1354" s="49"/>
      <c r="AA1354" s="24"/>
    </row>
    <row r="1355" spans="1:27" s="13" customFormat="1" hidden="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7.68</v>
      </c>
      <c r="V1355" s="13">
        <f>IF(ISNA(VLOOKUP(LOWER(F1355)&amp;H1355,Prices!A:C,2,0)),0,VLOOKUP(LOWER(F1355)&amp;H1355,Prices!A:C,2,0))</f>
        <v>7.74</v>
      </c>
      <c r="W1355" s="13">
        <f t="shared" si="692"/>
        <v>2535.1513600000026</v>
      </c>
      <c r="X1355" s="13">
        <f t="shared" si="693"/>
        <v>402.00000000000335</v>
      </c>
      <c r="Y1355" s="43">
        <f t="shared" si="694"/>
        <v>5.1410434782608747E-2</v>
      </c>
      <c r="Z1355" s="49"/>
      <c r="AA1355" s="24"/>
    </row>
    <row r="1356" spans="1:27" s="13" customFormat="1" hidden="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7.68</v>
      </c>
      <c r="V1356" s="13">
        <f>IF(ISNA(VLOOKUP(LOWER(F1356)&amp;H1356,Prices!A:C,2,0)),0,VLOOKUP(LOWER(F1356)&amp;H1356,Prices!A:C,2,0))</f>
        <v>7.74</v>
      </c>
      <c r="W1356" s="13">
        <f t="shared" si="692"/>
        <v>2641.0044000000012</v>
      </c>
      <c r="X1356" s="13">
        <f t="shared" si="693"/>
        <v>408.00000000000341</v>
      </c>
      <c r="Y1356" s="43">
        <f t="shared" si="694"/>
        <v>5.2841224489795939E-2</v>
      </c>
      <c r="Z1356" s="49"/>
      <c r="AA1356" s="24"/>
    </row>
    <row r="1357" spans="1:27" s="13" customFormat="1" hidden="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36.14</v>
      </c>
      <c r="V1357" s="13">
        <f>IF(ISNA(VLOOKUP(LOWER(F1357)&amp;H1357,Prices!A:C,2,0)),0,VLOOKUP(LOWER(F1357)&amp;H1357,Prices!A:C,2,0))</f>
        <v>36.01</v>
      </c>
      <c r="W1357" s="13">
        <f t="shared" ref="W1357:W1387" si="703">IF(I1357="B",(V1357+T1357)*K1357,(V1357+T1357)*K1357)</f>
        <v>-157.79200000000628</v>
      </c>
      <c r="X1357" s="13">
        <f t="shared" ref="X1357:X1387" si="704">K1357*(V1357-U1357)</f>
        <v>-104.00000000000205</v>
      </c>
      <c r="Y1357" s="43">
        <f t="shared" ref="Y1357:Y1387" si="705">W1357/O1357</f>
        <v>-5.4486187845306034E-3</v>
      </c>
      <c r="Z1357" s="49"/>
      <c r="AA1357" s="24"/>
    </row>
    <row r="1358" spans="1:27" s="13" customFormat="1" hidden="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hidden="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18.11</v>
      </c>
      <c r="V1359" s="13">
        <f>IF(ISNA(VLOOKUP(LOWER(F1359)&amp;H1359,Prices!A:C,2,0)),0,VLOOKUP(LOWER(F1359)&amp;H1359,Prices!A:C,2,0))</f>
        <v>18.18</v>
      </c>
      <c r="W1359" s="13">
        <f t="shared" si="703"/>
        <v>3123.6699999999969</v>
      </c>
      <c r="X1359" s="13">
        <f t="shared" si="704"/>
        <v>-70.000000000000284</v>
      </c>
      <c r="Y1359" s="43">
        <f t="shared" si="705"/>
        <v>0.14644491326769793</v>
      </c>
      <c r="Z1359" s="49"/>
      <c r="AA1359" s="24"/>
    </row>
    <row r="1360" spans="1:27" s="13" customFormat="1" hidden="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29.6</v>
      </c>
      <c r="V1360" s="13">
        <f>IF(ISNA(VLOOKUP(LOWER(F1360)&amp;H1360,Prices!A:C,2,0)),0,VLOOKUP(LOWER(F1360)&amp;H1360,Prices!A:C,2,0))</f>
        <v>30.47</v>
      </c>
      <c r="W1360" s="13">
        <f t="shared" si="703"/>
        <v>-25337.351199999997</v>
      </c>
      <c r="X1360" s="13">
        <f t="shared" si="704"/>
        <v>-3131.9999999999909</v>
      </c>
      <c r="Y1360" s="43">
        <f t="shared" si="705"/>
        <v>-0.30000652647532439</v>
      </c>
      <c r="Z1360" s="49"/>
      <c r="AA1360" s="24"/>
    </row>
    <row r="1361" spans="1:27" s="13" customFormat="1" hidden="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8.91</v>
      </c>
      <c r="V1361" s="13">
        <f>IF(ISNA(VLOOKUP(LOWER(F1361)&amp;H1361,Prices!A:C,2,0)),0,VLOOKUP(LOWER(F1361)&amp;H1361,Prices!A:C,2,0))</f>
        <v>9.01</v>
      </c>
      <c r="W1361" s="13">
        <f t="shared" si="703"/>
        <v>-751.8000000000003</v>
      </c>
      <c r="X1361" s="13">
        <f t="shared" si="704"/>
        <v>-249.99999999999912</v>
      </c>
      <c r="Y1361" s="43">
        <f t="shared" si="705"/>
        <v>-3.4486238532110108E-2</v>
      </c>
      <c r="Z1361" s="49"/>
      <c r="AA1361" s="24"/>
    </row>
    <row r="1362" spans="1:27" s="13" customFormat="1" hidden="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19.510000000000002</v>
      </c>
      <c r="V1362" s="13">
        <f>IF(ISNA(VLOOKUP(LOWER(F1362)&amp;H1362,Prices!A:C,2,0)),0,VLOOKUP(LOWER(F1362)&amp;H1362,Prices!A:C,2,0))</f>
        <v>19.61</v>
      </c>
      <c r="W1362" s="13">
        <f t="shared" si="703"/>
        <v>-17093.567999999996</v>
      </c>
      <c r="X1362" s="13">
        <f t="shared" si="704"/>
        <v>-339.99999999999272</v>
      </c>
      <c r="Y1362" s="43">
        <f t="shared" si="705"/>
        <v>-0.34435068493150678</v>
      </c>
      <c r="Z1362" s="49"/>
      <c r="AA1362" s="24"/>
    </row>
    <row r="1363" spans="1:27" s="13" customFormat="1" hidden="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21.81</v>
      </c>
      <c r="V1363" s="13">
        <f>IF(ISNA(VLOOKUP(LOWER(F1363)&amp;H1363,Prices!A:C,2,0)),0,VLOOKUP(LOWER(F1363)&amp;H1363,Prices!A:C,2,0))</f>
        <v>21.88</v>
      </c>
      <c r="W1363" s="13">
        <f t="shared" si="703"/>
        <v>22789.0792</v>
      </c>
      <c r="X1363" s="13">
        <f t="shared" si="704"/>
        <v>-84.000000000000341</v>
      </c>
      <c r="Y1363" s="43">
        <f t="shared" si="705"/>
        <v>0.46409822417725644</v>
      </c>
      <c r="Z1363" s="49"/>
      <c r="AA1363" s="24"/>
    </row>
    <row r="1364" spans="1:27" s="13" customFormat="1" hidden="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42.69</v>
      </c>
      <c r="V1364" s="13">
        <f>IF(ISNA(VLOOKUP(LOWER(F1364)&amp;H1364,Prices!A:C,2,0)),0,VLOOKUP(LOWER(F1364)&amp;H1364,Prices!A:C,2,0))</f>
        <v>43.84</v>
      </c>
      <c r="W1364" s="13">
        <f t="shared" si="703"/>
        <v>3733.2740799999983</v>
      </c>
      <c r="X1364" s="13">
        <f t="shared" si="704"/>
        <v>-460.00000000000227</v>
      </c>
      <c r="Y1364" s="43">
        <f t="shared" si="705"/>
        <v>0.17530400450788872</v>
      </c>
      <c r="Z1364" s="49"/>
      <c r="AA1364" s="24"/>
    </row>
    <row r="1365" spans="1:27" s="13" customFormat="1" hidden="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13.96</v>
      </c>
      <c r="V1365" s="13">
        <f>IF(ISNA(VLOOKUP(LOWER(F1365)&amp;H1365,Prices!A:C,2,0)),0,VLOOKUP(LOWER(F1365)&amp;H1365,Prices!A:C,2,0))</f>
        <v>14.19</v>
      </c>
      <c r="W1365" s="13">
        <f t="shared" si="703"/>
        <v>-6454.2858799999976</v>
      </c>
      <c r="X1365" s="13">
        <f t="shared" si="704"/>
        <v>-505.99999999999704</v>
      </c>
      <c r="Y1365" s="43">
        <f t="shared" si="705"/>
        <v>-0.26031644268774695</v>
      </c>
      <c r="Z1365" s="49"/>
      <c r="AA1365" s="24"/>
    </row>
    <row r="1366" spans="1:27" s="13" customFormat="1" hidden="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7.68</v>
      </c>
      <c r="V1366" s="13">
        <f>IF(ISNA(VLOOKUP(LOWER(F1366)&amp;H1366,Prices!A:C,2,0)),0,VLOOKUP(LOWER(F1366)&amp;H1366,Prices!A:C,2,0))</f>
        <v>7.74</v>
      </c>
      <c r="W1366" s="13">
        <f t="shared" si="703"/>
        <v>-987.08169999999893</v>
      </c>
      <c r="X1366" s="13">
        <f t="shared" si="704"/>
        <v>-198.00000000000165</v>
      </c>
      <c r="Y1366" s="43">
        <f t="shared" si="705"/>
        <v>-4.0149753914988769E-2</v>
      </c>
      <c r="Z1366" s="49"/>
      <c r="AA1366" s="24"/>
    </row>
    <row r="1367" spans="1:27" s="13" customFormat="1" hidden="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7.68</v>
      </c>
      <c r="V1367" s="13">
        <f>IF(ISNA(VLOOKUP(LOWER(F1367)&amp;H1367,Prices!A:C,2,0)),0,VLOOKUP(LOWER(F1367)&amp;H1367,Prices!A:C,2,0))</f>
        <v>7.74</v>
      </c>
      <c r="W1367" s="13">
        <f t="shared" si="703"/>
        <v>-925.34743999999876</v>
      </c>
      <c r="X1367" s="13">
        <f t="shared" si="704"/>
        <v>-192.00000000000159</v>
      </c>
      <c r="Y1367" s="43">
        <f t="shared" si="705"/>
        <v>-3.8762878686327024E-2</v>
      </c>
      <c r="Z1367" s="49"/>
      <c r="AA1367" s="24"/>
    </row>
    <row r="1368" spans="1:27" s="13" customFormat="1" hidden="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29.6</v>
      </c>
      <c r="V1368" s="13">
        <f>IF(ISNA(VLOOKUP(LOWER(F1368)&amp;H1368,Prices!A:C,2,0)),0,VLOOKUP(LOWER(F1368)&amp;H1368,Prices!A:C,2,0))</f>
        <v>30.47</v>
      </c>
      <c r="W1368" s="13">
        <f t="shared" si="703"/>
        <v>-25229.472800000003</v>
      </c>
      <c r="X1368" s="13">
        <f t="shared" si="704"/>
        <v>-3131.9999999999909</v>
      </c>
      <c r="Y1368" s="43">
        <f t="shared" si="705"/>
        <v>-0.29834767513362664</v>
      </c>
      <c r="Z1368" s="49"/>
      <c r="AA1368" s="24"/>
    </row>
    <row r="1369" spans="1:27" s="13" customFormat="1" hidden="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55.39</v>
      </c>
      <c r="V1369" s="13">
        <f>IF(ISNA(VLOOKUP(LOWER(F1369)&amp;H1369,Prices!A:C,2,0)),0,VLOOKUP(LOWER(F1369)&amp;H1369,Prices!A:C,2,0))</f>
        <v>57.19</v>
      </c>
      <c r="W1369" s="13">
        <f t="shared" si="703"/>
        <v>58814.032599999999</v>
      </c>
      <c r="X1369" s="13">
        <f t="shared" si="704"/>
        <v>3419.9999999999945</v>
      </c>
      <c r="Y1369" s="43">
        <f t="shared" si="705"/>
        <v>1.180127868852459</v>
      </c>
      <c r="Z1369" s="49"/>
      <c r="AA1369" s="24"/>
    </row>
    <row r="1370" spans="1:27" s="13" customFormat="1" hidden="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55.39</v>
      </c>
      <c r="V1370" s="13">
        <f>IF(ISNA(VLOOKUP(LOWER(F1370)&amp;H1370,Prices!A:C,2,0)),0,VLOOKUP(LOWER(F1370)&amp;H1370,Prices!A:C,2,0))</f>
        <v>57.19</v>
      </c>
      <c r="W1370" s="13">
        <f t="shared" si="703"/>
        <v>55538.521200000003</v>
      </c>
      <c r="X1370" s="13">
        <f t="shared" si="704"/>
        <v>3239.999999999995</v>
      </c>
      <c r="Y1370" s="43">
        <f t="shared" si="705"/>
        <v>1.1718470945689328</v>
      </c>
      <c r="Z1370" s="49"/>
      <c r="AA1370" s="24"/>
    </row>
    <row r="1371" spans="1:27" hidden="1"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37.5</v>
      </c>
      <c r="V1371" s="30">
        <f>IF(ISNA(VLOOKUP(LOWER(F1371)&amp;H1371,Prices!A:C,2,0)),0,VLOOKUP(LOWER(F1371)&amp;H1371,Prices!A:C,2,0))</f>
        <v>38.25</v>
      </c>
      <c r="W1371" s="30">
        <f t="shared" si="703"/>
        <v>-20660.720399999998</v>
      </c>
      <c r="X1371" s="30">
        <f t="shared" si="704"/>
        <v>450</v>
      </c>
      <c r="Y1371" s="40">
        <f t="shared" si="705"/>
        <v>-0.47384799779826609</v>
      </c>
    </row>
    <row r="1372" spans="1:27" hidden="1"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37.5</v>
      </c>
      <c r="V1372" s="30">
        <f>IF(ISNA(VLOOKUP(LOWER(F1372)&amp;H1372,Prices!A:C,2,0)),0,VLOOKUP(LOWER(F1372)&amp;H1372,Prices!A:C,2,0))</f>
        <v>38.25</v>
      </c>
      <c r="W1372" s="30">
        <f t="shared" si="703"/>
        <v>-20858.760000000002</v>
      </c>
      <c r="X1372" s="30">
        <f t="shared" si="704"/>
        <v>450</v>
      </c>
      <c r="Y1372" s="40">
        <f t="shared" si="705"/>
        <v>-0.47622739726027402</v>
      </c>
    </row>
    <row r="1373" spans="1:27" hidden="1"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37.5</v>
      </c>
      <c r="V1373" s="30">
        <f>IF(ISNA(VLOOKUP(LOWER(F1373)&amp;H1373,Prices!A:C,2,0)),0,VLOOKUP(LOWER(F1373)&amp;H1373,Prices!A:C,2,0))</f>
        <v>38.25</v>
      </c>
      <c r="W1373" s="30">
        <f t="shared" si="703"/>
        <v>-21278.843999999994</v>
      </c>
      <c r="X1373" s="30">
        <f t="shared" si="704"/>
        <v>450</v>
      </c>
      <c r="Y1373" s="40">
        <f t="shared" si="705"/>
        <v>-0.4812040705563092</v>
      </c>
    </row>
    <row r="1374" spans="1:27" s="13" customFormat="1" hidden="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36.14</v>
      </c>
      <c r="V1374" s="13">
        <f>IF(ISNA(VLOOKUP(LOWER(F1374)&amp;H1374,Prices!A:C,2,0)),0,VLOOKUP(LOWER(F1374)&amp;H1374,Prices!A:C,2,0))</f>
        <v>36.01</v>
      </c>
      <c r="W1374" s="13">
        <f t="shared" si="703"/>
        <v>-321.42500000000143</v>
      </c>
      <c r="X1374" s="13">
        <f t="shared" si="704"/>
        <v>-169.00000000000333</v>
      </c>
      <c r="Y1374" s="43">
        <f t="shared" si="705"/>
        <v>-6.8206896551724445E-3</v>
      </c>
      <c r="Z1374" s="49"/>
      <c r="AA1374" s="24"/>
    </row>
    <row r="1375" spans="1:27" s="13" customFormat="1" hidden="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36.14</v>
      </c>
      <c r="V1375" s="13">
        <f>IF(ISNA(VLOOKUP(LOWER(F1375)&amp;H1375,Prices!A:C,2,0)),0,VLOOKUP(LOWER(F1375)&amp;H1375,Prices!A:C,2,0))</f>
        <v>36.01</v>
      </c>
      <c r="W1375" s="13">
        <f t="shared" si="703"/>
        <v>-386.43800000000181</v>
      </c>
      <c r="X1375" s="13">
        <f t="shared" si="704"/>
        <v>-169.00000000000333</v>
      </c>
      <c r="Y1375" s="43">
        <f t="shared" si="705"/>
        <v>-8.1889807162534838E-3</v>
      </c>
      <c r="Z1375" s="49"/>
      <c r="AA1375" s="24"/>
    </row>
    <row r="1376" spans="1:27" s="13" customFormat="1" hidden="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19.510000000000002</v>
      </c>
      <c r="V1376" s="13">
        <f>IF(ISNA(VLOOKUP(LOWER(F1376)&amp;H1376,Prices!A:C,2,0)),0,VLOOKUP(LOWER(F1376)&amp;H1376,Prices!A:C,2,0))</f>
        <v>19.61</v>
      </c>
      <c r="W1376" s="13">
        <f t="shared" si="703"/>
        <v>-17297.327199999996</v>
      </c>
      <c r="X1376" s="13">
        <f t="shared" si="704"/>
        <v>-339.99999999999272</v>
      </c>
      <c r="Y1376" s="43">
        <f t="shared" si="705"/>
        <v>-0.34989334088518481</v>
      </c>
      <c r="Z1376" s="49"/>
      <c r="AA1376" s="24"/>
    </row>
    <row r="1377" spans="1:27" s="13" customFormat="1" hidden="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42.69</v>
      </c>
      <c r="V1377" s="13">
        <f>IF(ISNA(VLOOKUP(LOWER(F1377)&amp;H1377,Prices!A:C,2,0)),0,VLOOKUP(LOWER(F1377)&amp;H1377,Prices!A:C,2,0))</f>
        <v>43.84</v>
      </c>
      <c r="W1377" s="13">
        <f t="shared" si="703"/>
        <v>4557.6577999999972</v>
      </c>
      <c r="X1377" s="13">
        <f t="shared" si="704"/>
        <v>-575.00000000000284</v>
      </c>
      <c r="Y1377" s="43">
        <f t="shared" si="705"/>
        <v>0.17192221048660872</v>
      </c>
      <c r="Z1377" s="49"/>
      <c r="AA1377" s="24"/>
    </row>
    <row r="1378" spans="1:27" s="13" customFormat="1" hidden="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13.96</v>
      </c>
      <c r="V1378" s="13">
        <f>IF(ISNA(VLOOKUP(LOWER(F1378)&amp;H1378,Prices!A:C,2,0)),0,VLOOKUP(LOWER(F1378)&amp;H1378,Prices!A:C,2,0))</f>
        <v>14.19</v>
      </c>
      <c r="W1378" s="13">
        <f t="shared" si="703"/>
        <v>-6498.2449999999963</v>
      </c>
      <c r="X1378" s="13">
        <f t="shared" si="704"/>
        <v>-505.99999999999704</v>
      </c>
      <c r="Y1378" s="43">
        <f t="shared" si="705"/>
        <v>-0.26255535353535336</v>
      </c>
      <c r="Z1378" s="49"/>
      <c r="AA1378" s="24"/>
    </row>
    <row r="1379" spans="1:27" s="13" customFormat="1" hidden="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7.68</v>
      </c>
      <c r="V1379" s="13">
        <f>IF(ISNA(VLOOKUP(LOWER(F1379)&amp;H1379,Prices!A:C,2,0)),0,VLOOKUP(LOWER(F1379)&amp;H1379,Prices!A:C,2,0))</f>
        <v>7.74</v>
      </c>
      <c r="W1379" s="13">
        <f t="shared" si="703"/>
        <v>-1464.3915999999954</v>
      </c>
      <c r="X1379" s="13">
        <f t="shared" si="704"/>
        <v>-420.00000000000347</v>
      </c>
      <c r="Y1379" s="43">
        <f t="shared" si="705"/>
        <v>-2.7745198938991956E-2</v>
      </c>
      <c r="Z1379" s="49"/>
      <c r="AA1379" s="24"/>
    </row>
    <row r="1380" spans="1:27" s="13" customFormat="1" hidden="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29.6</v>
      </c>
      <c r="V1380" s="13">
        <f>IF(ISNA(VLOOKUP(LOWER(F1380)&amp;H1380,Prices!A:C,2,0)),0,VLOOKUP(LOWER(F1380)&amp;H1380,Prices!A:C,2,0))</f>
        <v>30.47</v>
      </c>
      <c r="W1380" s="13">
        <f t="shared" si="703"/>
        <v>-53377.931499999977</v>
      </c>
      <c r="X1380" s="13">
        <f t="shared" si="704"/>
        <v>-6524.9999999999809</v>
      </c>
      <c r="Y1380" s="43">
        <f t="shared" si="705"/>
        <v>-0.30439491609996711</v>
      </c>
      <c r="Z1380" s="49"/>
      <c r="AA1380" s="24"/>
    </row>
    <row r="1381" spans="1:27" s="13" customFormat="1" hidden="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18.11</v>
      </c>
      <c r="V1381" s="13">
        <f>IF(ISNA(VLOOKUP(LOWER(F1381)&amp;H1381,Prices!A:C,2,0)),0,VLOOKUP(LOWER(F1381)&amp;H1381,Prices!A:C,2,0))</f>
        <v>18.18</v>
      </c>
      <c r="W1381" s="13">
        <f t="shared" si="703"/>
        <v>4222.5700000000006</v>
      </c>
      <c r="X1381" s="13">
        <f t="shared" si="704"/>
        <v>-70.000000000000284</v>
      </c>
      <c r="Y1381" s="43">
        <f t="shared" si="705"/>
        <v>0.18825546143557739</v>
      </c>
      <c r="Z1381" s="49"/>
      <c r="AA1381" s="24"/>
    </row>
    <row r="1382" spans="1:27" s="13" customFormat="1" hidden="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hidden="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36.14</v>
      </c>
      <c r="V1383" s="13">
        <f>IF(ISNA(VLOOKUP(LOWER(F1383)&amp;H1383,Prices!A:C,2,0)),0,VLOOKUP(LOWER(F1383)&amp;H1383,Prices!A:C,2,0))</f>
        <v>36.01</v>
      </c>
      <c r="W1383" s="13">
        <f t="shared" si="703"/>
        <v>-1092.2394000000004</v>
      </c>
      <c r="X1383" s="13">
        <f t="shared" si="704"/>
        <v>221.00000000000435</v>
      </c>
      <c r="Y1383" s="43">
        <f t="shared" si="705"/>
        <v>-1.8144415834676155E-2</v>
      </c>
      <c r="Z1383" s="49"/>
      <c r="AA1383" s="24"/>
    </row>
    <row r="1384" spans="1:27" s="13" customFormat="1" hidden="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55.39</v>
      </c>
      <c r="V1384" s="13">
        <f>IF(ISNA(VLOOKUP(LOWER(F1384)&amp;H1384,Prices!A:C,2,0)),0,VLOOKUP(LOWER(F1384)&amp;H1384,Prices!A:C,2,0))</f>
        <v>57.19</v>
      </c>
      <c r="W1384" s="13">
        <f t="shared" si="703"/>
        <v>-58409.3724</v>
      </c>
      <c r="X1384" s="13">
        <f t="shared" si="704"/>
        <v>-3419.9999999999945</v>
      </c>
      <c r="Y1384" s="43">
        <f t="shared" si="705"/>
        <v>-1.1609431626649707</v>
      </c>
      <c r="Z1384" s="49"/>
      <c r="AA1384" s="24"/>
    </row>
    <row r="1385" spans="1:27" s="13" customFormat="1" ht="27" hidden="1"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37.5</v>
      </c>
      <c r="V1385" s="13">
        <f>IF(ISNA(VLOOKUP(LOWER(F1385)&amp;H1385,Prices!A:C,2,0)),0,VLOOKUP(LOWER(F1385)&amp;H1385,Prices!A:C,2,0))</f>
        <v>38.25</v>
      </c>
      <c r="W1385" s="13">
        <f t="shared" si="703"/>
        <v>68850</v>
      </c>
      <c r="X1385" s="13">
        <f t="shared" si="704"/>
        <v>1350</v>
      </c>
      <c r="Y1385" s="43" t="e">
        <f t="shared" si="705"/>
        <v>#DIV/0!</v>
      </c>
      <c r="Z1385" s="49" t="s">
        <v>2666</v>
      </c>
      <c r="AA1385" s="24"/>
    </row>
    <row r="1386" spans="1:27" s="13" customFormat="1" ht="27" hidden="1"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37.5</v>
      </c>
      <c r="V1386" s="13">
        <f>IF(ISNA(VLOOKUP(LOWER(F1386)&amp;H1386,Prices!A:C,2,0)),0,VLOOKUP(LOWER(F1386)&amp;H1386,Prices!A:C,2,0))</f>
        <v>38.25</v>
      </c>
      <c r="W1386" s="13">
        <v>1260</v>
      </c>
      <c r="X1386" s="13">
        <f t="shared" si="704"/>
        <v>0</v>
      </c>
      <c r="Y1386" s="43" t="e">
        <f t="shared" si="705"/>
        <v>#DIV/0!</v>
      </c>
      <c r="Z1386" s="49" t="s">
        <v>2665</v>
      </c>
      <c r="AA1386" s="24"/>
    </row>
    <row r="1387" spans="1:27" ht="27" hidden="1"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37.5</v>
      </c>
      <c r="V1387" s="30">
        <f>IF(ISNA(VLOOKUP(LOWER(F1387)&amp;H1387,Prices!A:C,2,0)),0,VLOOKUP(LOWER(F1387)&amp;H1387,Prices!A:C,2,0))</f>
        <v>38.25</v>
      </c>
      <c r="W1387" s="30">
        <f t="shared" si="703"/>
        <v>-8111.688799999999</v>
      </c>
      <c r="X1387" s="30">
        <f t="shared" si="704"/>
        <v>-2700</v>
      </c>
      <c r="Y1387" s="40">
        <f t="shared" si="705"/>
        <v>-6.2520723887039081E-2</v>
      </c>
      <c r="Z1387" s="17" t="s">
        <v>2667</v>
      </c>
    </row>
    <row r="1388" spans="1:27" s="13" customFormat="1" hidden="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hidden="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hidden="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hidden="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hidden="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hidden="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hidden="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5.86</v>
      </c>
      <c r="V1394" s="13">
        <f>IF(ISNA(VLOOKUP(LOWER(F1394)&amp;H1394,Prices!A:C,2,0)),0,VLOOKUP(LOWER(F1394)&amp;H1394,Prices!A:C,2,0))</f>
        <v>5.74</v>
      </c>
      <c r="W1394" s="13">
        <f t="shared" si="719"/>
        <v>-8506.9612800000032</v>
      </c>
      <c r="X1394" s="13">
        <f t="shared" si="720"/>
        <v>-864.0000000000008</v>
      </c>
      <c r="Y1394" s="43">
        <f t="shared" si="721"/>
        <v>-0.17074023121387288</v>
      </c>
      <c r="Z1394" s="49"/>
      <c r="AA1394" s="24"/>
    </row>
    <row r="1395" spans="1:27" s="13" customFormat="1" hidden="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5.68</v>
      </c>
      <c r="V1395" s="13">
        <f>IF(ISNA(VLOOKUP(LOWER(F1395)&amp;H1395,Prices!A:C,2,0)),0,VLOOKUP(LOWER(F1395)&amp;H1395,Prices!A:C,2,0))</f>
        <v>5.59</v>
      </c>
      <c r="W1395" s="13">
        <f t="shared" si="719"/>
        <v>-5130.9648000000007</v>
      </c>
      <c r="X1395" s="13">
        <f t="shared" si="720"/>
        <v>-719.99999999999886</v>
      </c>
      <c r="Y1395" s="43">
        <f t="shared" si="721"/>
        <v>-0.1029487319422151</v>
      </c>
      <c r="Z1395" s="49"/>
      <c r="AA1395" s="24"/>
    </row>
    <row r="1396" spans="1:27" s="13" customFormat="1" hidden="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5.86</v>
      </c>
      <c r="V1396" s="13">
        <f>IF(ISNA(VLOOKUP(LOWER(F1396)&amp;H1396,Prices!A:C,2,0)),0,VLOOKUP(LOWER(F1396)&amp;H1396,Prices!A:C,2,0))</f>
        <v>5.74</v>
      </c>
      <c r="W1396" s="13">
        <f t="shared" si="719"/>
        <v>-8434.9454399999977</v>
      </c>
      <c r="X1396" s="13">
        <f t="shared" si="720"/>
        <v>-864.0000000000008</v>
      </c>
      <c r="Y1396" s="43">
        <f t="shared" si="721"/>
        <v>-0.16953982633863959</v>
      </c>
      <c r="Z1396" s="49"/>
      <c r="AA1396" s="24"/>
    </row>
    <row r="1397" spans="1:27" s="13" customFormat="1" hidden="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5.86</v>
      </c>
      <c r="V1397" s="13">
        <f>IF(ISNA(VLOOKUP(LOWER(F1397)&amp;H1397,Prices!A:C,2,0)),0,VLOOKUP(LOWER(F1397)&amp;H1397,Prices!A:C,2,0))</f>
        <v>5.74</v>
      </c>
      <c r="W1397" s="13">
        <f t="shared" si="719"/>
        <v>-8601.8559000000041</v>
      </c>
      <c r="X1397" s="13">
        <f t="shared" si="720"/>
        <v>-852.0000000000008</v>
      </c>
      <c r="Y1397" s="43">
        <f t="shared" si="721"/>
        <v>-0.17432071942446051</v>
      </c>
      <c r="Z1397" s="49"/>
      <c r="AA1397" s="24"/>
    </row>
    <row r="1398" spans="1:27" s="13" customFormat="1" hidden="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5.68</v>
      </c>
      <c r="V1398" s="13">
        <f>IF(ISNA(VLOOKUP(LOWER(F1398)&amp;H1398,Prices!A:C,2,0)),0,VLOOKUP(LOWER(F1398)&amp;H1398,Prices!A:C,2,0))</f>
        <v>5.59</v>
      </c>
      <c r="W1398" s="13">
        <f t="shared" si="719"/>
        <v>-5382.897260000007</v>
      </c>
      <c r="X1398" s="13">
        <f t="shared" si="720"/>
        <v>-710.99999999999886</v>
      </c>
      <c r="Y1398" s="43">
        <f t="shared" si="721"/>
        <v>-0.10867295055821385</v>
      </c>
      <c r="Z1398" s="49"/>
      <c r="AA1398" s="24"/>
    </row>
    <row r="1399" spans="1:27" s="13" customFormat="1" hidden="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5.86</v>
      </c>
      <c r="V1399" s="13">
        <f>IF(ISNA(VLOOKUP(LOWER(F1399)&amp;H1399,Prices!A:C,2,0)),0,VLOOKUP(LOWER(F1399)&amp;H1399,Prices!A:C,2,0))</f>
        <v>5.74</v>
      </c>
      <c r="W1399" s="13">
        <f t="shared" si="719"/>
        <v>-9169.9808600000015</v>
      </c>
      <c r="X1399" s="13">
        <f t="shared" si="720"/>
        <v>-852.0000000000008</v>
      </c>
      <c r="Y1399" s="43">
        <f t="shared" si="721"/>
        <v>-0.1837192887624467</v>
      </c>
      <c r="Z1399" s="49"/>
      <c r="AA1399" s="24"/>
    </row>
    <row r="1400" spans="1:27" s="13" customFormat="1" hidden="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hidden="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5.68</v>
      </c>
      <c r="V1401" s="13">
        <f>IF(ISNA(VLOOKUP(LOWER(F1401)&amp;H1401,Prices!A:C,2,0)),0,VLOOKUP(LOWER(F1401)&amp;H1401,Prices!A:C,2,0))</f>
        <v>5.59</v>
      </c>
      <c r="W1401" s="13">
        <f t="shared" si="719"/>
        <v>-5382.897260000007</v>
      </c>
      <c r="X1401" s="13">
        <f t="shared" si="720"/>
        <v>-710.99999999999886</v>
      </c>
      <c r="Y1401" s="43">
        <f t="shared" si="721"/>
        <v>-0.10867295055821385</v>
      </c>
      <c r="Z1401" s="49"/>
      <c r="AA1401" s="24"/>
    </row>
    <row r="1402" spans="1:27" s="13" customFormat="1" hidden="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hidden="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hidden="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5.68</v>
      </c>
      <c r="V1404" s="13">
        <f>IF(ISNA(VLOOKUP(LOWER(F1404)&amp;H1404,Prices!A:C,2,0)),0,VLOOKUP(LOWER(F1404)&amp;H1404,Prices!A:C,2,0))</f>
        <v>5.59</v>
      </c>
      <c r="W1404" s="13">
        <f t="shared" si="719"/>
        <v>-5540.9320200000029</v>
      </c>
      <c r="X1404" s="13">
        <f t="shared" si="720"/>
        <v>-710.99999999999886</v>
      </c>
      <c r="Y1404" s="43">
        <f t="shared" si="721"/>
        <v>-0.11150775834658193</v>
      </c>
      <c r="Z1404" s="49"/>
      <c r="AA1404" s="24"/>
    </row>
    <row r="1405" spans="1:27" s="13" customFormat="1" hidden="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hidden="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5.68</v>
      </c>
      <c r="V1406" s="13">
        <f>IF(ISNA(VLOOKUP(LOWER(F1406)&amp;H1406,Prices!A:C,2,0)),0,VLOOKUP(LOWER(F1406)&amp;H1406,Prices!A:C,2,0))</f>
        <v>5.59</v>
      </c>
      <c r="W1406" s="13">
        <f t="shared" si="719"/>
        <v>-5698.9667800000052</v>
      </c>
      <c r="X1406" s="13">
        <f t="shared" si="720"/>
        <v>-710.99999999999886</v>
      </c>
      <c r="Y1406" s="43">
        <f t="shared" si="721"/>
        <v>-0.11432459587955636</v>
      </c>
      <c r="Z1406" s="49"/>
      <c r="AA1406" s="24"/>
    </row>
    <row r="1407" spans="1:27" s="13" customFormat="1" hidden="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36.14</v>
      </c>
      <c r="V1407" s="13">
        <f>IF(ISNA(VLOOKUP(LOWER(F1407)&amp;H1407,Prices!A:C,2,0)),0,VLOOKUP(LOWER(F1407)&amp;H1407,Prices!A:C,2,0))</f>
        <v>36.01</v>
      </c>
      <c r="W1407" s="13">
        <f t="shared" si="719"/>
        <v>-362.11559999998286</v>
      </c>
      <c r="X1407" s="13">
        <f t="shared" si="720"/>
        <v>221.00000000000435</v>
      </c>
      <c r="Y1407" s="43">
        <f t="shared" si="721"/>
        <v>-5.9433363970585419E-3</v>
      </c>
      <c r="Z1407" s="49"/>
      <c r="AA1407" s="24"/>
    </row>
    <row r="1408" spans="1:27" s="13" customFormat="1" hidden="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55.39</v>
      </c>
      <c r="V1408" s="13">
        <f>IF(ISNA(VLOOKUP(LOWER(F1408)&amp;H1408,Prices!A:C,2,0)),0,VLOOKUP(LOWER(F1408)&amp;H1408,Prices!A:C,2,0))</f>
        <v>57.19</v>
      </c>
      <c r="W1408" s="13">
        <f t="shared" si="719"/>
        <v>-55826.004520000002</v>
      </c>
      <c r="X1408" s="13">
        <f t="shared" si="720"/>
        <v>-3239.999999999995</v>
      </c>
      <c r="Y1408" s="43">
        <f t="shared" si="721"/>
        <v>-1.1834413307725249</v>
      </c>
      <c r="Z1408" s="49"/>
      <c r="AA1408" s="24"/>
    </row>
    <row r="1409" spans="1:27" s="13" customFormat="1" hidden="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18.11</v>
      </c>
      <c r="V1409" s="13">
        <f>IF(ISNA(VLOOKUP(LOWER(F1409)&amp;H1409,Prices!A:C,2,0)),0,VLOOKUP(LOWER(F1409)&amp;H1409,Prices!A:C,2,0))</f>
        <v>18.18</v>
      </c>
      <c r="W1409" s="13">
        <f t="shared" ref="W1409" si="726">IF(I1409="B",(V1409+T1409)*K1409,(V1409+T1409)*K1409)</f>
        <v>-3576.8951999999999</v>
      </c>
      <c r="X1409" s="13">
        <f t="shared" ref="X1409" si="727">K1409*(V1409-U1409)</f>
        <v>119.00000000000048</v>
      </c>
      <c r="Y1409" s="43">
        <f t="shared" ref="Y1409" si="728">W1409/O1409</f>
        <v>-0.10375029585798816</v>
      </c>
      <c r="Z1409" s="49"/>
      <c r="AA1409" s="24"/>
    </row>
    <row r="1410" spans="1:27" s="13" customFormat="1" hidden="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20.79</v>
      </c>
      <c r="V1410" s="13">
        <f>IF(ISNA(VLOOKUP(LOWER(F1410)&amp;H1410,Prices!A:C,2,0)),0,VLOOKUP(LOWER(F1410)&amp;H1410,Prices!A:C,2,0))</f>
        <v>20.27</v>
      </c>
      <c r="W1410" s="13">
        <f t="shared" ref="W1410:W1433" si="733">IF(I1410="B",(V1410+T1410)*K1410,(V1410+T1410)*K1410)</f>
        <v>9589.1632000000027</v>
      </c>
      <c r="X1410" s="13">
        <f t="shared" ref="X1410:X1433" si="734">K1410*(V1410-U1410)</f>
        <v>-1507.9999999999989</v>
      </c>
      <c r="Y1410" s="43">
        <f t="shared" ref="Y1410:Y1433" si="735">W1410/O1410</f>
        <v>0.1949650943396227</v>
      </c>
      <c r="Z1410" s="49"/>
      <c r="AA1410" s="24"/>
    </row>
    <row r="1411" spans="1:27" s="13" customFormat="1" hidden="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hidden="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hidden="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5.86</v>
      </c>
      <c r="V1413" s="13">
        <f>IF(ISNA(VLOOKUP(LOWER(F1413)&amp;H1413,Prices!A:C,2,0)),0,VLOOKUP(LOWER(F1413)&amp;H1413,Prices!A:C,2,0))</f>
        <v>5.74</v>
      </c>
      <c r="W1413" s="13">
        <f t="shared" si="733"/>
        <v>20008.207760000005</v>
      </c>
      <c r="X1413" s="13">
        <f t="shared" si="734"/>
        <v>1632.0000000000014</v>
      </c>
      <c r="Y1413" s="43">
        <f t="shared" si="735"/>
        <v>0.20376616995274568</v>
      </c>
      <c r="Z1413" s="49"/>
      <c r="AA1413" s="24"/>
    </row>
    <row r="1414" spans="1:27" s="13" customFormat="1" hidden="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5.68</v>
      </c>
      <c r="V1414" s="13">
        <f>IF(ISNA(VLOOKUP(LOWER(F1414)&amp;H1414,Prices!A:C,2,0)),0,VLOOKUP(LOWER(F1414)&amp;H1414,Prices!A:C,2,0))</f>
        <v>5.59</v>
      </c>
      <c r="W1414" s="13">
        <f t="shared" si="733"/>
        <v>9667.8086800000074</v>
      </c>
      <c r="X1414" s="13">
        <f t="shared" si="734"/>
        <v>953.99999999999852</v>
      </c>
      <c r="Y1414" s="43">
        <f t="shared" si="735"/>
        <v>0.14010098658087713</v>
      </c>
      <c r="Z1414" s="49"/>
      <c r="AA1414" s="24"/>
    </row>
    <row r="1415" spans="1:27" s="13" customFormat="1" hidden="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20.79</v>
      </c>
      <c r="V1415" s="13">
        <f>IF(ISNA(VLOOKUP(LOWER(F1415)&amp;H1415,Prices!A:C,2,0)),0,VLOOKUP(LOWER(F1415)&amp;H1415,Prices!A:C,2,0))</f>
        <v>20.27</v>
      </c>
      <c r="W1415" s="13">
        <f t="shared" si="733"/>
        <v>9531.151599999992</v>
      </c>
      <c r="X1415" s="13">
        <f t="shared" si="734"/>
        <v>-1507.9999999999989</v>
      </c>
      <c r="Y1415" s="43">
        <f t="shared" si="735"/>
        <v>0.19355736160188441</v>
      </c>
      <c r="Z1415" s="49"/>
      <c r="AA1415" s="24"/>
    </row>
    <row r="1416" spans="1:27" s="13" customFormat="1" hidden="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30.66</v>
      </c>
      <c r="V1416" s="13">
        <f>IF(ISNA(VLOOKUP(LOWER(F1416)&amp;H1416,Prices!A:C,2,0)),0,VLOOKUP(LOWER(F1416)&amp;H1416,Prices!A:C,2,0))</f>
        <v>30.27</v>
      </c>
      <c r="W1416" s="13">
        <f t="shared" si="733"/>
        <v>-7563.3188799999962</v>
      </c>
      <c r="X1416" s="13">
        <f t="shared" si="734"/>
        <v>-507.00000000000074</v>
      </c>
      <c r="Y1416" s="43">
        <f t="shared" si="735"/>
        <v>-0.16125104212860303</v>
      </c>
      <c r="Z1416" s="49"/>
      <c r="AA1416" s="24"/>
    </row>
    <row r="1417" spans="1:27" s="13" customFormat="1" hidden="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20.79</v>
      </c>
      <c r="V1417" s="13">
        <f>IF(ISNA(VLOOKUP(LOWER(F1417)&amp;H1417,Prices!A:C,2,0)),0,VLOOKUP(LOWER(F1417)&amp;H1417,Prices!A:C,2,0))</f>
        <v>20.27</v>
      </c>
      <c r="W1417" s="13">
        <f t="shared" si="733"/>
        <v>9502.1458000000021</v>
      </c>
      <c r="X1417" s="13">
        <f t="shared" si="734"/>
        <v>-1507.9999999999989</v>
      </c>
      <c r="Y1417" s="43">
        <f t="shared" si="735"/>
        <v>0.19285473808122433</v>
      </c>
      <c r="Z1417" s="49"/>
      <c r="AA1417" s="24"/>
    </row>
    <row r="1418" spans="1:27" s="13" customFormat="1" hidden="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20.79</v>
      </c>
      <c r="V1418" s="13">
        <f>IF(ISNA(VLOOKUP(LOWER(F1418)&amp;H1418,Prices!A:C,2,0)),0,VLOOKUP(LOWER(F1418)&amp;H1418,Prices!A:C,2,0))</f>
        <v>20.27</v>
      </c>
      <c r="W1418" s="13">
        <f t="shared" si="733"/>
        <v>9502.1458000000021</v>
      </c>
      <c r="X1418" s="13">
        <f t="shared" si="734"/>
        <v>-1507.9999999999989</v>
      </c>
      <c r="Y1418" s="43">
        <f t="shared" si="735"/>
        <v>0.19285473808122433</v>
      </c>
      <c r="Z1418" s="49"/>
      <c r="AA1418" s="24"/>
    </row>
    <row r="1419" spans="1:27" s="13" customFormat="1" hidden="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18.11</v>
      </c>
      <c r="V1419" s="13">
        <f>IF(ISNA(VLOOKUP(LOWER(F1419)&amp;H1419,Prices!A:C,2,0)),0,VLOOKUP(LOWER(F1419)&amp;H1419,Prices!A:C,2,0))</f>
        <v>18.18</v>
      </c>
      <c r="W1419" s="13">
        <f t="shared" si="733"/>
        <v>-5313.7872000000016</v>
      </c>
      <c r="X1419" s="13">
        <f t="shared" si="734"/>
        <v>168.00000000000068</v>
      </c>
      <c r="Y1419" s="43">
        <f t="shared" si="735"/>
        <v>-0.10858646395291813</v>
      </c>
      <c r="Z1419" s="49"/>
      <c r="AA1419" s="24"/>
    </row>
    <row r="1420" spans="1:27" s="13" customFormat="1" hidden="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30.66</v>
      </c>
      <c r="V1420" s="13">
        <f>IF(ISNA(VLOOKUP(LOWER(F1420)&amp;H1420,Prices!A:C,2,0)),0,VLOOKUP(LOWER(F1420)&amp;H1420,Prices!A:C,2,0))</f>
        <v>30.27</v>
      </c>
      <c r="W1420" s="13">
        <f t="shared" si="733"/>
        <v>-7582.8231700000006</v>
      </c>
      <c r="X1420" s="13">
        <f t="shared" si="734"/>
        <v>-507.00000000000074</v>
      </c>
      <c r="Y1420" s="43">
        <f t="shared" si="735"/>
        <v>-0.16159969247818259</v>
      </c>
      <c r="Z1420" s="49"/>
      <c r="AA1420" s="24"/>
    </row>
    <row r="1421" spans="1:27" s="13" customFormat="1" hidden="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20.79</v>
      </c>
      <c r="V1421" s="13">
        <f>IF(ISNA(VLOOKUP(LOWER(F1421)&amp;H1421,Prices!A:C,2,0)),0,VLOOKUP(LOWER(F1421)&amp;H1421,Prices!A:C,2,0))</f>
        <v>20.27</v>
      </c>
      <c r="W1421" s="13">
        <f t="shared" si="733"/>
        <v>9473.1400000000012</v>
      </c>
      <c r="X1421" s="13">
        <f t="shared" si="734"/>
        <v>-1507.9999999999989</v>
      </c>
      <c r="Y1421" s="43">
        <f t="shared" si="735"/>
        <v>0.19215294117647061</v>
      </c>
      <c r="Z1421" s="49"/>
      <c r="AA1421" s="24"/>
    </row>
    <row r="1422" spans="1:27" s="13" customFormat="1" hidden="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20.79</v>
      </c>
      <c r="V1422" s="13">
        <f>IF(ISNA(VLOOKUP(LOWER(F1422)&amp;H1422,Prices!A:C,2,0)),0,VLOOKUP(LOWER(F1422)&amp;H1422,Prices!A:C,2,0))</f>
        <v>20.27</v>
      </c>
      <c r="W1422" s="13">
        <f t="shared" si="733"/>
        <v>9473.1400000000012</v>
      </c>
      <c r="X1422" s="13">
        <f t="shared" si="734"/>
        <v>-1507.9999999999989</v>
      </c>
      <c r="Y1422" s="43">
        <f t="shared" si="735"/>
        <v>0.19215294117647061</v>
      </c>
      <c r="Z1422" s="49"/>
      <c r="AA1422" s="24"/>
    </row>
    <row r="1423" spans="1:27" s="13" customFormat="1" hidden="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18.11</v>
      </c>
      <c r="V1423" s="13">
        <f>IF(ISNA(VLOOKUP(LOWER(F1423)&amp;H1423,Prices!A:C,2,0)),0,VLOOKUP(LOWER(F1423)&amp;H1423,Prices!A:C,2,0))</f>
        <v>18.18</v>
      </c>
      <c r="W1423" s="13">
        <f t="shared" si="733"/>
        <v>-5145.7536</v>
      </c>
      <c r="X1423" s="13">
        <f t="shared" si="734"/>
        <v>168.00000000000068</v>
      </c>
      <c r="Y1423" s="43">
        <f t="shared" si="735"/>
        <v>-0.10551496062992126</v>
      </c>
      <c r="Z1423" s="49"/>
      <c r="AA1423" s="24"/>
    </row>
    <row r="1424" spans="1:27" s="13" customFormat="1" hidden="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18.11</v>
      </c>
      <c r="V1424" s="13">
        <f>IF(ISNA(VLOOKUP(LOWER(F1424)&amp;H1424,Prices!A:C,2,0)),0,VLOOKUP(LOWER(F1424)&amp;H1424,Prices!A:C,2,0))</f>
        <v>18.18</v>
      </c>
      <c r="W1424" s="13">
        <f t="shared" si="733"/>
        <v>-5169.7583999999924</v>
      </c>
      <c r="X1424" s="13">
        <f t="shared" si="734"/>
        <v>168.00000000000068</v>
      </c>
      <c r="Y1424" s="43">
        <f t="shared" si="735"/>
        <v>-0.10595504181013267</v>
      </c>
      <c r="Z1424" s="49"/>
      <c r="AA1424" s="24"/>
    </row>
    <row r="1425" spans="1:27" s="13" customFormat="1" hidden="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85.9</v>
      </c>
      <c r="V1425" s="13">
        <f>IF(ISNA(VLOOKUP(LOWER(F1425)&amp;H1425,Prices!A:C,2,0)),0,VLOOKUP(LOWER(F1425)&amp;H1425,Prices!A:C,2,0))</f>
        <v>85.18</v>
      </c>
      <c r="W1425" s="13">
        <f t="shared" si="733"/>
        <v>62533.361800000013</v>
      </c>
      <c r="X1425" s="13">
        <f t="shared" si="734"/>
        <v>-935.99999999999852</v>
      </c>
      <c r="Y1425" s="43">
        <f t="shared" si="735"/>
        <v>1.297614944699218</v>
      </c>
      <c r="Z1425" s="49"/>
      <c r="AA1425" s="24"/>
    </row>
    <row r="1426" spans="1:27" s="13" customFormat="1" hidden="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85.9</v>
      </c>
      <c r="V1426" s="13">
        <f>IF(ISNA(VLOOKUP(LOWER(F1426)&amp;H1426,Prices!A:C,2,0)),0,VLOOKUP(LOWER(F1426)&amp;H1426,Prices!A:C,2,0))</f>
        <v>85.18</v>
      </c>
      <c r="W1426" s="13">
        <f t="shared" si="733"/>
        <v>62351.325400000009</v>
      </c>
      <c r="X1426" s="13">
        <f t="shared" si="734"/>
        <v>-935.99999999999852</v>
      </c>
      <c r="Y1426" s="43">
        <f t="shared" si="735"/>
        <v>1.2889695780704113</v>
      </c>
      <c r="Z1426" s="49"/>
      <c r="AA1426" s="24"/>
    </row>
    <row r="1427" spans="1:27" s="13" customFormat="1" hidden="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20.79</v>
      </c>
      <c r="V1427" s="13">
        <f>IF(ISNA(VLOOKUP(LOWER(F1427)&amp;H1427,Prices!A:C,2,0)),0,VLOOKUP(LOWER(F1427)&amp;H1427,Prices!A:C,2,0))</f>
        <v>20.27</v>
      </c>
      <c r="W1427" s="13">
        <f t="shared" si="733"/>
        <v>9502.1458000000021</v>
      </c>
      <c r="X1427" s="13">
        <f t="shared" si="734"/>
        <v>-1507.9999999999989</v>
      </c>
      <c r="Y1427" s="43">
        <f t="shared" si="735"/>
        <v>0.19285473808122433</v>
      </c>
      <c r="Z1427" s="49"/>
      <c r="AA1427" s="24"/>
    </row>
    <row r="1428" spans="1:27" s="13" customFormat="1" hidden="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20.79</v>
      </c>
      <c r="V1428" s="13">
        <f>IF(ISNA(VLOOKUP(LOWER(F1428)&amp;H1428,Prices!A:C,2,0)),0,VLOOKUP(LOWER(F1428)&amp;H1428,Prices!A:C,2,0))</f>
        <v>20.27</v>
      </c>
      <c r="W1428" s="13">
        <f t="shared" si="733"/>
        <v>9618.1690000000017</v>
      </c>
      <c r="X1428" s="13">
        <f t="shared" si="734"/>
        <v>-1507.9999999999989</v>
      </c>
      <c r="Y1428" s="43">
        <f t="shared" si="735"/>
        <v>0.19567020648967556</v>
      </c>
      <c r="Z1428" s="49"/>
      <c r="AA1428" s="24"/>
    </row>
    <row r="1429" spans="1:27" s="13" customFormat="1" hidden="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hidden="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5.68</v>
      </c>
      <c r="V1430" s="13">
        <f>IF(ISNA(VLOOKUP(LOWER(F1430)&amp;H1430,Prices!A:C,2,0)),0,VLOOKUP(LOWER(F1430)&amp;H1430,Prices!A:C,2,0))</f>
        <v>5.59</v>
      </c>
      <c r="W1430" s="13">
        <f t="shared" si="733"/>
        <v>9736.653599999996</v>
      </c>
      <c r="X1430" s="13">
        <f t="shared" si="734"/>
        <v>809.99999999999875</v>
      </c>
      <c r="Y1430" s="43">
        <f t="shared" si="735"/>
        <v>0.16195365269461071</v>
      </c>
      <c r="Z1430" s="49"/>
      <c r="AA1430" s="24"/>
    </row>
    <row r="1431" spans="1:27" s="13" customFormat="1" hidden="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hidden="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5.68</v>
      </c>
      <c r="V1432" s="13">
        <f>IF(ISNA(VLOOKUP(LOWER(F1432)&amp;H1432,Prices!A:C,2,0)),0,VLOOKUP(LOWER(F1432)&amp;H1432,Prices!A:C,2,0))</f>
        <v>5.59</v>
      </c>
      <c r="W1432" s="13">
        <f t="shared" si="733"/>
        <v>21037.739999999994</v>
      </c>
      <c r="X1432" s="13">
        <f t="shared" si="734"/>
        <v>1799.9999999999973</v>
      </c>
      <c r="Y1432" s="43">
        <f t="shared" si="735"/>
        <v>0.15817849624060146</v>
      </c>
      <c r="Z1432" s="49"/>
      <c r="AA1432" s="24"/>
    </row>
    <row r="1433" spans="1:27" s="13" customFormat="1" hidden="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5.86</v>
      </c>
      <c r="V1433" s="13">
        <f>IF(ISNA(VLOOKUP(LOWER(F1433)&amp;H1433,Prices!A:C,2,0)),0,VLOOKUP(LOWER(F1433)&amp;H1433,Prices!A:C,2,0))</f>
        <v>5.74</v>
      </c>
      <c r="W1433" s="13">
        <f t="shared" si="733"/>
        <v>23566.043999999994</v>
      </c>
      <c r="X1433" s="13">
        <f t="shared" si="734"/>
        <v>1800.0000000000016</v>
      </c>
      <c r="Y1433" s="43">
        <f t="shared" si="735"/>
        <v>0.21462699453551906</v>
      </c>
      <c r="Z1433" s="49"/>
      <c r="AA1433" s="24"/>
    </row>
    <row r="1434" spans="1:27" s="13" customFormat="1" hidden="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30.66</v>
      </c>
      <c r="V1434" s="13">
        <f>IF(ISNA(VLOOKUP(LOWER(F1434)&amp;H1434,Prices!A:C,2,0)),0,VLOOKUP(LOWER(F1434)&amp;H1434,Prices!A:C,2,0))</f>
        <v>30.27</v>
      </c>
      <c r="W1434" s="13">
        <f t="shared" ref="W1434:W1445" si="744">IF(I1434="B",(V1434+T1434)*K1434,(V1434+T1434)*K1434)</f>
        <v>18341.464360000005</v>
      </c>
      <c r="X1434" s="13">
        <f t="shared" ref="X1434:X1445" si="745">K1434*(V1434-U1434)</f>
        <v>1014.0000000000015</v>
      </c>
      <c r="Y1434" s="43">
        <f t="shared" ref="Y1434:Y1445" si="746">W1434/O1434</f>
        <v>0.18877199275436904</v>
      </c>
      <c r="Z1434" s="49"/>
      <c r="AA1434" s="24"/>
    </row>
    <row r="1435" spans="1:27" s="13" customFormat="1" hidden="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18.11</v>
      </c>
      <c r="V1435" s="13">
        <f>IF(ISNA(VLOOKUP(LOWER(F1435)&amp;H1435,Prices!A:C,2,0)),0,VLOOKUP(LOWER(F1435)&amp;H1435,Prices!A:C,2,0))</f>
        <v>18.18</v>
      </c>
      <c r="W1435" s="13">
        <f t="shared" si="744"/>
        <v>30740.675199999998</v>
      </c>
      <c r="X1435" s="13">
        <f t="shared" si="745"/>
        <v>-623.0000000000025</v>
      </c>
      <c r="Y1435" s="43">
        <f t="shared" si="746"/>
        <v>0.15946484069428449</v>
      </c>
      <c r="Z1435" s="49"/>
      <c r="AA1435" s="24"/>
    </row>
    <row r="1436" spans="1:27" s="13" customFormat="1" hidden="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20.79</v>
      </c>
      <c r="V1436" s="13">
        <f>IF(ISNA(VLOOKUP(LOWER(F1436)&amp;H1436,Prices!A:C,2,0)),0,VLOOKUP(LOWER(F1436)&amp;H1436,Prices!A:C,2,0))</f>
        <v>20.27</v>
      </c>
      <c r="W1436" s="13">
        <f t="shared" si="744"/>
        <v>-67717.236079999973</v>
      </c>
      <c r="X1436" s="13">
        <f t="shared" si="745"/>
        <v>12063.999999999991</v>
      </c>
      <c r="Y1436" s="43">
        <f t="shared" si="746"/>
        <v>-0.1680201693966509</v>
      </c>
      <c r="Z1436" s="49"/>
      <c r="AA1436" s="24"/>
    </row>
    <row r="1437" spans="1:27" s="13" customFormat="1" hidden="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85.9</v>
      </c>
      <c r="V1437" s="13">
        <f>IF(ISNA(VLOOKUP(LOWER(F1437)&amp;H1437,Prices!A:C,2,0)),0,VLOOKUP(LOWER(F1437)&amp;H1437,Prices!A:C,2,0))</f>
        <v>85.18</v>
      </c>
      <c r="W1437" s="13">
        <f t="shared" si="744"/>
        <v>-114346.70000000003</v>
      </c>
      <c r="X1437" s="13">
        <f t="shared" si="745"/>
        <v>1871.999999999997</v>
      </c>
      <c r="Y1437" s="43">
        <f t="shared" si="746"/>
        <v>-1.0661696969696972</v>
      </c>
      <c r="Z1437" s="49"/>
      <c r="AA1437" s="24"/>
    </row>
    <row r="1438" spans="1:27" s="13" customFormat="1" hidden="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hidden="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17.989999999999998</v>
      </c>
      <c r="V1439" s="13">
        <f>IF(ISNA(VLOOKUP(LOWER(F1439)&amp;H1439,Prices!A:C,2,0)),0,VLOOKUP(LOWER(F1439)&amp;H1439,Prices!A:C,2,0))</f>
        <v>17.91</v>
      </c>
      <c r="W1439" s="13">
        <f t="shared" si="744"/>
        <v>4250.1060000000025</v>
      </c>
      <c r="X1439" s="13">
        <f t="shared" si="745"/>
        <v>-239.99999999999488</v>
      </c>
      <c r="Y1439" s="43">
        <f t="shared" si="746"/>
        <v>8.5912795633717468E-2</v>
      </c>
      <c r="Z1439" s="49"/>
      <c r="AA1439" s="24"/>
    </row>
    <row r="1440" spans="1:27" s="13" customFormat="1" hidden="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37.5</v>
      </c>
      <c r="V1440" s="13">
        <f>IF(ISNA(VLOOKUP(LOWER(F1440)&amp;H1440,Prices!A:C,2,0)),0,VLOOKUP(LOWER(F1440)&amp;H1440,Prices!A:C,2,0))</f>
        <v>38.25</v>
      </c>
      <c r="W1440" s="13">
        <f t="shared" si="744"/>
        <v>3882.0683999999987</v>
      </c>
      <c r="X1440" s="13">
        <f t="shared" si="745"/>
        <v>1050</v>
      </c>
      <c r="Y1440" s="43">
        <f t="shared" si="746"/>
        <v>7.8176092472511963E-2</v>
      </c>
      <c r="Z1440" s="49"/>
      <c r="AA1440" s="24"/>
    </row>
    <row r="1441" spans="1:27" s="13" customFormat="1" hidden="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17.989999999999998</v>
      </c>
      <c r="V1441" s="13">
        <f>IF(ISNA(VLOOKUP(LOWER(F1441)&amp;H1441,Prices!A:C,2,0)),0,VLOOKUP(LOWER(F1441)&amp;H1441,Prices!A:C,2,0))</f>
        <v>17.91</v>
      </c>
      <c r="W1441" s="13">
        <f t="shared" si="744"/>
        <v>4220.1000000000022</v>
      </c>
      <c r="X1441" s="13">
        <f t="shared" si="745"/>
        <v>-239.99999999999488</v>
      </c>
      <c r="Y1441" s="43">
        <f t="shared" si="746"/>
        <v>8.5254545454545499E-2</v>
      </c>
      <c r="Z1441" s="49"/>
      <c r="AA1441" s="24"/>
    </row>
    <row r="1442" spans="1:27" s="13" customFormat="1" hidden="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37.5</v>
      </c>
      <c r="V1442" s="13">
        <f>IF(ISNA(VLOOKUP(LOWER(F1442)&amp;H1442,Prices!A:C,2,0)),0,VLOOKUP(LOWER(F1442)&amp;H1442,Prices!A:C,2,0))</f>
        <v>38.25</v>
      </c>
      <c r="W1442" s="13">
        <f t="shared" si="744"/>
        <v>4008.0935999999992</v>
      </c>
      <c r="X1442" s="13">
        <f t="shared" si="745"/>
        <v>1050</v>
      </c>
      <c r="Y1442" s="43">
        <f t="shared" si="746"/>
        <v>8.0919276427360076E-2</v>
      </c>
      <c r="Z1442" s="49"/>
      <c r="AA1442" s="24"/>
    </row>
    <row r="1443" spans="1:27" s="13" customFormat="1" hidden="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37.5</v>
      </c>
      <c r="V1443" s="13">
        <f>IF(ISNA(VLOOKUP(LOWER(F1443)&amp;H1443,Prices!A:C,2,0)),0,VLOOKUP(LOWER(F1443)&amp;H1443,Prices!A:C,2,0))</f>
        <v>38.25</v>
      </c>
      <c r="W1443" s="13">
        <f t="shared" si="744"/>
        <v>3882.0683999999987</v>
      </c>
      <c r="X1443" s="13">
        <f t="shared" si="745"/>
        <v>1050</v>
      </c>
      <c r="Y1443" s="43">
        <f t="shared" si="746"/>
        <v>7.8176092472511963E-2</v>
      </c>
      <c r="Z1443" s="49"/>
      <c r="AA1443" s="24"/>
    </row>
    <row r="1444" spans="1:27" s="13" customFormat="1" hidden="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hidden="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37.5</v>
      </c>
      <c r="V1445" s="13">
        <f>IF(ISNA(VLOOKUP(LOWER(F1445)&amp;H1445,Prices!A:C,2,0)),0,VLOOKUP(LOWER(F1445)&amp;H1445,Prices!A:C,2,0))</f>
        <v>38.25</v>
      </c>
      <c r="W1445" s="13">
        <f t="shared" si="744"/>
        <v>3602.0123999999969</v>
      </c>
      <c r="X1445" s="13">
        <f t="shared" si="745"/>
        <v>1050</v>
      </c>
      <c r="Y1445" s="43">
        <f t="shared" si="746"/>
        <v>7.2129688814129456E-2</v>
      </c>
      <c r="Z1445" s="49"/>
      <c r="AA1445" s="24"/>
    </row>
    <row r="1446" spans="1:27" s="13" customFormat="1" hidden="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37.5</v>
      </c>
      <c r="V1446" s="13">
        <f>IF(ISNA(VLOOKUP(LOWER(F1446)&amp;H1446,Prices!A:C,2,0)),0,VLOOKUP(LOWER(F1446)&amp;H1446,Prices!A:C,2,0))</f>
        <v>38.25</v>
      </c>
      <c r="W1446" s="13">
        <f t="shared" ref="W1446:W1458" si="751">IF(I1446="B",(V1446+T1446)*K1446,(V1446+T1446)*K1446)</f>
        <v>-17260.615200000007</v>
      </c>
      <c r="X1446" s="13">
        <f t="shared" ref="X1446:X1458" si="752">K1446*(V1446-U1446)</f>
        <v>-4200</v>
      </c>
      <c r="Y1446" s="43">
        <f t="shared" ref="Y1446:Y1458" si="753">W1446/O1446</f>
        <v>-8.7539128494340118E-2</v>
      </c>
      <c r="Z1446" s="49"/>
      <c r="AA1446" s="24"/>
    </row>
    <row r="1447" spans="1:27" s="13" customFormat="1" hidden="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17.989999999999998</v>
      </c>
      <c r="V1447" s="13">
        <f>IF(ISNA(VLOOKUP(LOWER(F1447)&amp;H1447,Prices!A:C,2,0)),0,VLOOKUP(LOWER(F1447)&amp;H1447,Prices!A:C,2,0))</f>
        <v>17.91</v>
      </c>
      <c r="W1447" s="13">
        <f t="shared" si="751"/>
        <v>-8758.5839999999989</v>
      </c>
      <c r="X1447" s="13">
        <f t="shared" si="752"/>
        <v>479.99999999998977</v>
      </c>
      <c r="Y1447" s="43">
        <f t="shared" si="753"/>
        <v>-8.8631693989071031E-2</v>
      </c>
      <c r="Z1447" s="49"/>
      <c r="AA1447" s="24"/>
    </row>
    <row r="1448" spans="1:27" s="13" customFormat="1" hidden="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17.989999999999998</v>
      </c>
      <c r="V1448" s="13">
        <f>IF(ISNA(VLOOKUP(LOWER(F1448)&amp;H1448,Prices!A:C,2,0)),0,VLOOKUP(LOWER(F1448)&amp;H1448,Prices!A:C,2,0))</f>
        <v>17.91</v>
      </c>
      <c r="W1448" s="13">
        <f t="shared" si="751"/>
        <v>5120.2799999999979</v>
      </c>
      <c r="X1448" s="13">
        <f t="shared" si="752"/>
        <v>-239.99999999999488</v>
      </c>
      <c r="Y1448" s="43">
        <f t="shared" si="753"/>
        <v>0.10535555555555551</v>
      </c>
      <c r="Z1448" s="49"/>
      <c r="AA1448" s="24"/>
    </row>
    <row r="1449" spans="1:27" s="13" customFormat="1" hidden="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hidden="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hidden="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17.989999999999998</v>
      </c>
      <c r="V1451" s="13">
        <f>IF(ISNA(VLOOKUP(LOWER(F1451)&amp;H1451,Prices!A:C,2,0)),0,VLOOKUP(LOWER(F1451)&amp;H1451,Prices!A:C,2,0))</f>
        <v>17.91</v>
      </c>
      <c r="W1451" s="13">
        <f t="shared" si="751"/>
        <v>4730.2020000000057</v>
      </c>
      <c r="X1451" s="13">
        <f t="shared" si="752"/>
        <v>-239.99999999999488</v>
      </c>
      <c r="Y1451" s="43">
        <f t="shared" si="753"/>
        <v>9.6554439681567794E-2</v>
      </c>
      <c r="Z1451" s="49"/>
      <c r="AA1451" s="24"/>
    </row>
    <row r="1452" spans="1:27" s="13" customFormat="1" hidden="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hidden="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37.5</v>
      </c>
      <c r="V1453" s="13">
        <f>IF(ISNA(VLOOKUP(LOWER(F1453)&amp;H1453,Prices!A:C,2,0)),0,VLOOKUP(LOWER(F1453)&amp;H1453,Prices!A:C,2,0))</f>
        <v>38.25</v>
      </c>
      <c r="W1453" s="13">
        <f t="shared" si="751"/>
        <v>5030.2980000000061</v>
      </c>
      <c r="X1453" s="13">
        <f t="shared" si="752"/>
        <v>1050</v>
      </c>
      <c r="Y1453" s="43">
        <f t="shared" si="753"/>
        <v>0.10369610389610402</v>
      </c>
      <c r="Z1453" s="49"/>
      <c r="AA1453" s="24"/>
    </row>
    <row r="1454" spans="1:27" s="13" customFormat="1" hidden="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hidden="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37.5</v>
      </c>
      <c r="V1455" s="13">
        <f>IF(ISNA(VLOOKUP(LOWER(F1455)&amp;H1455,Prices!A:C,2,0)),0,VLOOKUP(LOWER(F1455)&amp;H1455,Prices!A:C,2,0))</f>
        <v>38.25</v>
      </c>
      <c r="W1455" s="13">
        <f t="shared" si="751"/>
        <v>5100.3119999999963</v>
      </c>
      <c r="X1455" s="13">
        <f t="shared" si="752"/>
        <v>1050</v>
      </c>
      <c r="Y1455" s="43">
        <f t="shared" si="753"/>
        <v>0.10529132947976871</v>
      </c>
      <c r="Z1455" s="49"/>
      <c r="AA1455" s="24"/>
    </row>
    <row r="1456" spans="1:27" s="13" customFormat="1" hidden="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hidden="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hidden="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hidden="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hidden="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hidden="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37.5</v>
      </c>
      <c r="V1461" s="13">
        <f>IF(ISNA(VLOOKUP(LOWER(F1461)&amp;H1461,Prices!A:C,2,0)),0,VLOOKUP(LOWER(F1461)&amp;H1461,Prices!A:C,2,0))</f>
        <v>38.25</v>
      </c>
      <c r="W1461" s="13">
        <f t="shared" si="758"/>
        <v>-9916.7600000000166</v>
      </c>
      <c r="X1461" s="13">
        <f t="shared" si="759"/>
        <v>-2100</v>
      </c>
      <c r="Y1461" s="43">
        <f t="shared" si="760"/>
        <v>-0.10191942446043183</v>
      </c>
      <c r="Z1461" s="49"/>
      <c r="AA1461" s="24"/>
    </row>
    <row r="1462" spans="1:27" s="13" customFormat="1" hidden="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37.5</v>
      </c>
      <c r="V1462" s="13">
        <f>IF(ISNA(VLOOKUP(LOWER(F1462)&amp;H1462,Prices!A:C,2,0)),0,VLOOKUP(LOWER(F1462)&amp;H1462,Prices!A:C,2,0))</f>
        <v>38.25</v>
      </c>
      <c r="W1462" s="13">
        <f t="shared" si="758"/>
        <v>1975.0000000000014</v>
      </c>
      <c r="X1462" s="13">
        <f t="shared" si="759"/>
        <v>375</v>
      </c>
      <c r="Y1462" s="43">
        <f t="shared" si="760"/>
        <v>0.11519393409157197</v>
      </c>
      <c r="Z1462" s="49"/>
      <c r="AA1462" s="24"/>
    </row>
    <row r="1463" spans="1:27" s="13" customFormat="1" hidden="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37.5</v>
      </c>
      <c r="V1463" s="13">
        <f>IF(ISNA(VLOOKUP(LOWER(F1463)&amp;H1463,Prices!A:C,2,0)),0,VLOOKUP(LOWER(F1463)&amp;H1463,Prices!A:C,2,0))</f>
        <v>38.25</v>
      </c>
      <c r="W1463" s="13">
        <f t="shared" si="758"/>
        <v>5912.4743999999919</v>
      </c>
      <c r="X1463" s="13">
        <f t="shared" si="759"/>
        <v>1050</v>
      </c>
      <c r="Y1463" s="43">
        <f t="shared" si="760"/>
        <v>0.12413862433862415</v>
      </c>
      <c r="Z1463" s="49"/>
      <c r="AA1463" s="24"/>
    </row>
    <row r="1464" spans="1:27" s="13" customFormat="1" hidden="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17.989999999999998</v>
      </c>
      <c r="V1464" s="13">
        <f>IF(ISNA(VLOOKUP(LOWER(F1464)&amp;H1464,Prices!A:C,2,0)),0,VLOOKUP(LOWER(F1464)&amp;H1464,Prices!A:C,2,0))</f>
        <v>17.91</v>
      </c>
      <c r="W1464" s="13">
        <f t="shared" si="758"/>
        <v>-9058.2239999999947</v>
      </c>
      <c r="X1464" s="13">
        <f t="shared" si="759"/>
        <v>479.99999999998977</v>
      </c>
      <c r="Y1464" s="43">
        <f t="shared" si="760"/>
        <v>-9.1942996345919542E-2</v>
      </c>
      <c r="Z1464" s="49"/>
      <c r="AA1464" s="24"/>
    </row>
    <row r="1465" spans="1:27" s="13" customFormat="1" hidden="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hidden="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73.09</v>
      </c>
      <c r="V1466" s="13">
        <f>IF(ISNA(VLOOKUP(LOWER(F1466)&amp;H1466,Prices!A:C,2,0)),0,VLOOKUP(LOWER(F1466)&amp;H1466,Prices!A:C,2,0))</f>
        <v>73.459999999999994</v>
      </c>
      <c r="W1466" s="13">
        <f t="shared" ref="W1466:W1481" si="765">IF(I1466="B",(V1466+T1466)*K1466,(V1466+T1466)*K1466)</f>
        <v>29940.35999999999</v>
      </c>
      <c r="X1466" s="13">
        <f t="shared" ref="X1466:X1481" si="766">K1466*(V1466-U1466)</f>
        <v>443.9999999999884</v>
      </c>
      <c r="Y1466" s="43">
        <f t="shared" ref="Y1466:Y1481" si="767">W1466/O1466</f>
        <v>0.51443917525773175</v>
      </c>
      <c r="Z1466" s="49"/>
      <c r="AA1466" s="24"/>
    </row>
    <row r="1467" spans="1:27" s="13" customFormat="1" hidden="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hidden="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9.86</v>
      </c>
      <c r="V1468" s="13">
        <f>IF(ISNA(VLOOKUP(LOWER(F1468)&amp;H1468,Prices!A:C,2,0)),0,VLOOKUP(LOWER(F1468)&amp;H1468,Prices!A:C,2,0))</f>
        <v>9.75</v>
      </c>
      <c r="W1468" s="13">
        <f t="shared" si="765"/>
        <v>-4818.9947000000011</v>
      </c>
      <c r="X1468" s="13">
        <f t="shared" si="766"/>
        <v>-406.9999999999979</v>
      </c>
      <c r="Y1468" s="43">
        <f t="shared" si="767"/>
        <v>-0.11786705882352944</v>
      </c>
      <c r="Z1468" s="49"/>
      <c r="AA1468" s="24"/>
    </row>
    <row r="1469" spans="1:27" s="13" customFormat="1" hidden="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73.09</v>
      </c>
      <c r="V1469" s="13">
        <f>IF(ISNA(VLOOKUP(LOWER(F1469)&amp;H1469,Prices!A:C,2,0)),0,VLOOKUP(LOWER(F1469)&amp;H1469,Prices!A:C,2,0))</f>
        <v>73.459999999999994</v>
      </c>
      <c r="W1469" s="13">
        <f t="shared" si="765"/>
        <v>24930.295999999998</v>
      </c>
      <c r="X1469" s="13">
        <f t="shared" si="766"/>
        <v>369.99999999999034</v>
      </c>
      <c r="Y1469" s="43">
        <f t="shared" si="767"/>
        <v>0.5138148392415498</v>
      </c>
      <c r="Z1469" s="49"/>
      <c r="AA1469" s="24"/>
    </row>
    <row r="1470" spans="1:27" s="13" customFormat="1" hidden="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73.09</v>
      </c>
      <c r="V1470" s="13">
        <f>IF(ISNA(VLOOKUP(LOWER(F1470)&amp;H1470,Prices!A:C,2,0)),0,VLOOKUP(LOWER(F1470)&amp;H1470,Prices!A:C,2,0))</f>
        <v>73.459999999999994</v>
      </c>
      <c r="W1470" s="13">
        <f t="shared" si="765"/>
        <v>24930.295999999998</v>
      </c>
      <c r="X1470" s="13">
        <f t="shared" si="766"/>
        <v>369.99999999999034</v>
      </c>
      <c r="Y1470" s="43">
        <f t="shared" si="767"/>
        <v>0.5138148392415498</v>
      </c>
      <c r="Z1470" s="49"/>
      <c r="AA1470" s="24"/>
    </row>
    <row r="1471" spans="1:27" s="13" customFormat="1" hidden="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73.09</v>
      </c>
      <c r="V1471" s="13">
        <f>IF(ISNA(VLOOKUP(LOWER(F1471)&amp;H1471,Prices!A:C,2,0)),0,VLOOKUP(LOWER(F1471)&amp;H1471,Prices!A:C,2,0))</f>
        <v>73.459999999999994</v>
      </c>
      <c r="W1471" s="13">
        <f t="shared" si="765"/>
        <v>24780.265999999996</v>
      </c>
      <c r="X1471" s="13">
        <f t="shared" si="766"/>
        <v>369.99999999999034</v>
      </c>
      <c r="Y1471" s="43">
        <f t="shared" si="767"/>
        <v>0.50914867474830483</v>
      </c>
      <c r="Z1471" s="49"/>
      <c r="AA1471" s="24"/>
    </row>
    <row r="1472" spans="1:27" s="13" customFormat="1" hidden="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73.09</v>
      </c>
      <c r="V1472" s="13">
        <f>IF(ISNA(VLOOKUP(LOWER(F1472)&amp;H1472,Prices!A:C,2,0)),0,VLOOKUP(LOWER(F1472)&amp;H1472,Prices!A:C,2,0))</f>
        <v>73.459999999999994</v>
      </c>
      <c r="W1472" s="13">
        <f t="shared" si="765"/>
        <v>24780.265999999996</v>
      </c>
      <c r="X1472" s="13">
        <f t="shared" si="766"/>
        <v>369.99999999999034</v>
      </c>
      <c r="Y1472" s="43">
        <f t="shared" si="767"/>
        <v>0.50914867474830483</v>
      </c>
      <c r="Z1472" s="49"/>
      <c r="AA1472" s="24"/>
    </row>
    <row r="1473" spans="1:27" s="13" customFormat="1" hidden="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73.09</v>
      </c>
      <c r="V1473" s="13">
        <f>IF(ISNA(VLOOKUP(LOWER(F1473)&amp;H1473,Prices!A:C,2,0)),0,VLOOKUP(LOWER(F1473)&amp;H1473,Prices!A:C,2,0))</f>
        <v>73.459999999999994</v>
      </c>
      <c r="W1473" s="13">
        <f t="shared" si="765"/>
        <v>24770.263999999996</v>
      </c>
      <c r="X1473" s="13">
        <f t="shared" si="766"/>
        <v>369.99999999999034</v>
      </c>
      <c r="Y1473" s="43">
        <f t="shared" si="767"/>
        <v>0.50883861955628584</v>
      </c>
      <c r="Z1473" s="49"/>
      <c r="AA1473" s="24"/>
    </row>
    <row r="1474" spans="1:27" s="13" customFormat="1" hidden="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73.09</v>
      </c>
      <c r="V1474" s="13">
        <f>IF(ISNA(VLOOKUP(LOWER(F1474)&amp;H1474,Prices!A:C,2,0)),0,VLOOKUP(LOWER(F1474)&amp;H1474,Prices!A:C,2,0))</f>
        <v>73.459999999999994</v>
      </c>
      <c r="W1474" s="13">
        <f t="shared" si="765"/>
        <v>24770.263999999996</v>
      </c>
      <c r="X1474" s="13">
        <f t="shared" si="766"/>
        <v>369.99999999999034</v>
      </c>
      <c r="Y1474" s="43">
        <f t="shared" si="767"/>
        <v>0.50883861955628584</v>
      </c>
      <c r="Z1474" s="49"/>
      <c r="AA1474" s="24"/>
    </row>
    <row r="1475" spans="1:27" s="13" customFormat="1" hidden="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73.09</v>
      </c>
      <c r="V1475" s="13">
        <f>IF(ISNA(VLOOKUP(LOWER(F1475)&amp;H1475,Prices!A:C,2,0)),0,VLOOKUP(LOWER(F1475)&amp;H1475,Prices!A:C,2,0))</f>
        <v>73.459999999999994</v>
      </c>
      <c r="W1475" s="13">
        <f t="shared" si="765"/>
        <v>24800.26999999999</v>
      </c>
      <c r="X1475" s="13">
        <f t="shared" si="766"/>
        <v>369.99999999999034</v>
      </c>
      <c r="Y1475" s="43">
        <f t="shared" si="767"/>
        <v>0.50976916752312418</v>
      </c>
      <c r="Z1475" s="49"/>
      <c r="AA1475" s="24"/>
    </row>
    <row r="1476" spans="1:27" s="13" customFormat="1" hidden="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9.86</v>
      </c>
      <c r="V1476" s="13">
        <f>IF(ISNA(VLOOKUP(LOWER(F1476)&amp;H1476,Prices!A:C,2,0)),0,VLOOKUP(LOWER(F1476)&amp;H1476,Prices!A:C,2,0))</f>
        <v>9.75</v>
      </c>
      <c r="W1476" s="13">
        <f t="shared" si="765"/>
        <v>-5680.8998999999985</v>
      </c>
      <c r="X1476" s="13">
        <f t="shared" si="766"/>
        <v>-494.99999999999744</v>
      </c>
      <c r="Y1476" s="43">
        <f t="shared" si="767"/>
        <v>-0.11466141689373294</v>
      </c>
      <c r="Z1476" s="49"/>
      <c r="AA1476" s="24"/>
    </row>
    <row r="1477" spans="1:27" s="13" customFormat="1" hidden="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9.86</v>
      </c>
      <c r="V1477" s="13">
        <f>IF(ISNA(VLOOKUP(LOWER(F1477)&amp;H1477,Prices!A:C,2,0)),0,VLOOKUP(LOWER(F1477)&amp;H1477,Prices!A:C,2,0))</f>
        <v>9.75</v>
      </c>
      <c r="W1477" s="13">
        <f t="shared" si="765"/>
        <v>-5725.9098000000013</v>
      </c>
      <c r="X1477" s="13">
        <f t="shared" si="766"/>
        <v>-494.99999999999744</v>
      </c>
      <c r="Y1477" s="43">
        <f t="shared" si="767"/>
        <v>-0.11546500907441019</v>
      </c>
      <c r="Z1477" s="49"/>
      <c r="AA1477" s="24"/>
    </row>
    <row r="1478" spans="1:27" s="13" customFormat="1" hidden="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9.86</v>
      </c>
      <c r="V1478" s="13">
        <f>IF(ISNA(VLOOKUP(LOWER(F1478)&amp;H1478,Prices!A:C,2,0)),0,VLOOKUP(LOWER(F1478)&amp;H1478,Prices!A:C,2,0))</f>
        <v>9.75</v>
      </c>
      <c r="W1478" s="13">
        <f t="shared" si="765"/>
        <v>-5770.919700000004</v>
      </c>
      <c r="X1478" s="13">
        <f t="shared" si="766"/>
        <v>-494.99999999999744</v>
      </c>
      <c r="Y1478" s="43">
        <f t="shared" si="767"/>
        <v>-0.11626714415231196</v>
      </c>
      <c r="Z1478" s="49"/>
      <c r="AA1478" s="24"/>
    </row>
    <row r="1479" spans="1:27" s="13" customFormat="1" hidden="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9.86</v>
      </c>
      <c r="V1479" s="13">
        <f>IF(ISNA(VLOOKUP(LOWER(F1479)&amp;H1479,Prices!A:C,2,0)),0,VLOOKUP(LOWER(F1479)&amp;H1479,Prices!A:C,2,0))</f>
        <v>9.75</v>
      </c>
      <c r="W1479" s="13">
        <f t="shared" si="765"/>
        <v>-5860.9395000000013</v>
      </c>
      <c r="X1479" s="13">
        <f t="shared" si="766"/>
        <v>-494.99999999999744</v>
      </c>
      <c r="Y1479" s="43">
        <f t="shared" si="767"/>
        <v>-0.11786705882352944</v>
      </c>
      <c r="Z1479" s="49"/>
      <c r="AA1479" s="24"/>
    </row>
    <row r="1480" spans="1:27" s="13" customFormat="1" hidden="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9.86</v>
      </c>
      <c r="V1480" s="13">
        <f>IF(ISNA(VLOOKUP(LOWER(F1480)&amp;H1480,Prices!A:C,2,0)),0,VLOOKUP(LOWER(F1480)&amp;H1480,Prices!A:C,2,0))</f>
        <v>9.75</v>
      </c>
      <c r="W1480" s="13">
        <f t="shared" si="765"/>
        <v>-5950.9592999999995</v>
      </c>
      <c r="X1480" s="13">
        <f t="shared" si="766"/>
        <v>-494.99999999999744</v>
      </c>
      <c r="Y1480" s="43">
        <f t="shared" si="767"/>
        <v>-0.11946119241192411</v>
      </c>
      <c r="Z1480" s="49"/>
      <c r="AA1480" s="24"/>
    </row>
    <row r="1481" spans="1:27" s="13" customFormat="1" hidden="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9.86</v>
      </c>
      <c r="V1481" s="13">
        <f>IF(ISNA(VLOOKUP(LOWER(F1481)&amp;H1481,Prices!A:C,2,0)),0,VLOOKUP(LOWER(F1481)&amp;H1481,Prices!A:C,2,0))</f>
        <v>9.75</v>
      </c>
      <c r="W1481" s="13">
        <f t="shared" si="765"/>
        <v>-6040.9790999999968</v>
      </c>
      <c r="X1481" s="13">
        <f t="shared" si="766"/>
        <v>-494.99999999999744</v>
      </c>
      <c r="Y1481" s="43">
        <f t="shared" si="767"/>
        <v>-0.12104957619477</v>
      </c>
      <c r="Z1481" s="49"/>
      <c r="AA1481" s="24"/>
    </row>
    <row r="1482" spans="1:27" s="13" customFormat="1" hidden="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37.5</v>
      </c>
      <c r="V1482" s="13">
        <f>IF(ISNA(VLOOKUP(LOWER(F1482)&amp;H1482,Prices!A:C,2,0)),0,VLOOKUP(LOWER(F1482)&amp;H1482,Prices!A:C,2,0))</f>
        <v>38.25</v>
      </c>
      <c r="W1482" s="13">
        <f t="shared" ref="W1482:W1498" si="775">IF(I1482="B",(V1482+T1482)*K1482,(V1482+T1482)*K1482)</f>
        <v>-3484.1248000000101</v>
      </c>
      <c r="X1482" s="13">
        <f t="shared" ref="X1482:X1498" si="776">K1482*(V1482-U1482)</f>
        <v>-1425</v>
      </c>
      <c r="Y1482" s="43">
        <f t="shared" ref="Y1482:Y1498" si="777">W1482/O1482</f>
        <v>-5.0294840777203711E-2</v>
      </c>
      <c r="Z1482" s="49"/>
      <c r="AA1482" s="24"/>
    </row>
    <row r="1483" spans="1:27" s="13" customFormat="1" hidden="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73.09</v>
      </c>
      <c r="V1483" s="13">
        <f>IF(ISNA(VLOOKUP(LOWER(F1483)&amp;H1483,Prices!A:C,2,0)),0,VLOOKUP(LOWER(F1483)&amp;H1483,Prices!A:C,2,0))</f>
        <v>73.459999999999994</v>
      </c>
      <c r="W1483" s="13">
        <f t="shared" si="775"/>
        <v>-200890.35279999996</v>
      </c>
      <c r="X1483" s="13">
        <f t="shared" si="776"/>
        <v>-3033.9999999999209</v>
      </c>
      <c r="Y1483" s="43">
        <f t="shared" si="777"/>
        <v>-0.49977200147276862</v>
      </c>
      <c r="Z1483" s="49"/>
      <c r="AA1483" s="24"/>
    </row>
    <row r="1484" spans="1:27" s="13" customFormat="1" hidden="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28.51</v>
      </c>
      <c r="V1484" s="13">
        <f>IF(ISNA(VLOOKUP(LOWER(F1484)&amp;H1484,Prices!A:C,2,0)),0,VLOOKUP(LOWER(F1484)&amp;H1484,Prices!A:C,2,0))</f>
        <v>28.93</v>
      </c>
      <c r="W1484" s="13">
        <f t="shared" si="775"/>
        <v>7569.0000000000009</v>
      </c>
      <c r="X1484" s="13">
        <f t="shared" si="776"/>
        <v>293.99999999999869</v>
      </c>
      <c r="Y1484" s="43">
        <f t="shared" si="777"/>
        <v>0.5970655517867004</v>
      </c>
      <c r="Z1484" s="49"/>
      <c r="AA1484" s="24"/>
    </row>
    <row r="1485" spans="1:27" hidden="1"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71.150000000000006</v>
      </c>
      <c r="V1485" s="30">
        <f>IF(ISNA(VLOOKUP(LOWER(F1485)&amp;H1485,Prices!A:C,2,0)),0,VLOOKUP(LOWER(F1485)&amp;H1485,Prices!A:C,2,0))</f>
        <v>74.599999999999994</v>
      </c>
      <c r="W1485" s="30">
        <f t="shared" si="775"/>
        <v>33133.2166</v>
      </c>
      <c r="X1485" s="30">
        <f t="shared" si="776"/>
        <v>3794.9999999999873</v>
      </c>
      <c r="Y1485" s="40">
        <f t="shared" si="777"/>
        <v>0.67733541713514733</v>
      </c>
    </row>
    <row r="1486" spans="1:27" hidden="1"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71.150000000000006</v>
      </c>
      <c r="V1486" s="30">
        <f>IF(ISNA(VLOOKUP(LOWER(F1486)&amp;H1486,Prices!A:C,2,0)),0,VLOOKUP(LOWER(F1486)&amp;H1486,Prices!A:C,2,0))</f>
        <v>74.599999999999994</v>
      </c>
      <c r="W1486" s="30">
        <f t="shared" si="775"/>
        <v>32968.183599999989</v>
      </c>
      <c r="X1486" s="30">
        <f t="shared" si="776"/>
        <v>3794.9999999999873</v>
      </c>
      <c r="Y1486" s="40">
        <f t="shared" si="777"/>
        <v>0.67169601075750762</v>
      </c>
    </row>
    <row r="1487" spans="1:27" hidden="1"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71.150000000000006</v>
      </c>
      <c r="V1487" s="30">
        <f>IF(ISNA(VLOOKUP(LOWER(F1487)&amp;H1487,Prices!A:C,2,0)),0,VLOOKUP(LOWER(F1487)&amp;H1487,Prices!A:C,2,0))</f>
        <v>74.599999999999994</v>
      </c>
      <c r="W1487" s="30">
        <f t="shared" si="775"/>
        <v>33012.1924</v>
      </c>
      <c r="X1487" s="30">
        <f t="shared" si="776"/>
        <v>3794.9999999999873</v>
      </c>
      <c r="Y1487" s="40">
        <f t="shared" si="777"/>
        <v>0.67319614176760878</v>
      </c>
    </row>
    <row r="1488" spans="1:27" hidden="1"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71.150000000000006</v>
      </c>
      <c r="V1488" s="30">
        <f>IF(ISNA(VLOOKUP(LOWER(F1488)&amp;H1488,Prices!A:C,2,0)),0,VLOOKUP(LOWER(F1488)&amp;H1488,Prices!A:C,2,0))</f>
        <v>74.599999999999994</v>
      </c>
      <c r="W1488" s="30">
        <f t="shared" si="775"/>
        <v>32968.183599999989</v>
      </c>
      <c r="X1488" s="30">
        <f t="shared" si="776"/>
        <v>3794.9999999999873</v>
      </c>
      <c r="Y1488" s="40">
        <f t="shared" si="777"/>
        <v>0.67169601075750762</v>
      </c>
    </row>
    <row r="1489" spans="1:27" hidden="1"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71.150000000000006</v>
      </c>
      <c r="V1489" s="30">
        <f>IF(ISNA(VLOOKUP(LOWER(F1489)&amp;H1489,Prices!A:C,2,0)),0,VLOOKUP(LOWER(F1489)&amp;H1489,Prices!A:C,2,0))</f>
        <v>74.599999999999994</v>
      </c>
      <c r="W1489" s="30">
        <f t="shared" si="775"/>
        <v>32957.181399999994</v>
      </c>
      <c r="X1489" s="30">
        <f t="shared" si="776"/>
        <v>3794.9999999999873</v>
      </c>
      <c r="Y1489" s="40">
        <f t="shared" si="777"/>
        <v>0.67132139816267078</v>
      </c>
    </row>
    <row r="1490" spans="1:27" hidden="1"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71.150000000000006</v>
      </c>
      <c r="V1490" s="30">
        <f>IF(ISNA(VLOOKUP(LOWER(F1490)&amp;H1490,Prices!A:C,2,0)),0,VLOOKUP(LOWER(F1490)&amp;H1490,Prices!A:C,2,0))</f>
        <v>74.599999999999994</v>
      </c>
      <c r="W1490" s="30">
        <f t="shared" si="775"/>
        <v>32935.176999999996</v>
      </c>
      <c r="X1490" s="30">
        <f t="shared" si="776"/>
        <v>3794.9999999999873</v>
      </c>
      <c r="Y1490" s="40">
        <f t="shared" si="777"/>
        <v>0.67057267637178042</v>
      </c>
    </row>
    <row r="1491" spans="1:27" hidden="1"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71.150000000000006</v>
      </c>
      <c r="V1491" s="30">
        <f>IF(ISNA(VLOOKUP(LOWER(F1491)&amp;H1491,Prices!A:C,2,0)),0,VLOOKUP(LOWER(F1491)&amp;H1491,Prices!A:C,2,0))</f>
        <v>74.599999999999994</v>
      </c>
      <c r="W1491" s="30">
        <f t="shared" si="775"/>
        <v>32902.170399999995</v>
      </c>
      <c r="X1491" s="30">
        <f t="shared" si="776"/>
        <v>3794.9999999999873</v>
      </c>
      <c r="Y1491" s="40">
        <f t="shared" si="777"/>
        <v>0.66945085049239028</v>
      </c>
    </row>
    <row r="1492" spans="1:27" s="13" customFormat="1" hidden="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73.09</v>
      </c>
      <c r="V1492" s="13">
        <f>IF(ISNA(VLOOKUP(LOWER(F1492)&amp;H1492,Prices!A:C,2,0)),0,VLOOKUP(LOWER(F1492)&amp;H1492,Prices!A:C,2,0))</f>
        <v>73.459999999999994</v>
      </c>
      <c r="W1492" s="13">
        <f t="shared" si="775"/>
        <v>24750.26</v>
      </c>
      <c r="X1492" s="13">
        <f t="shared" si="776"/>
        <v>369.99999999999034</v>
      </c>
      <c r="Y1492" s="43">
        <f t="shared" si="777"/>
        <v>0.50821889117043118</v>
      </c>
      <c r="Z1492" s="49"/>
      <c r="AA1492" s="24"/>
    </row>
    <row r="1493" spans="1:27" hidden="1"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71.150000000000006</v>
      </c>
      <c r="V1493" s="30">
        <f>IF(ISNA(VLOOKUP(LOWER(F1493)&amp;H1493,Prices!A:C,2,0)),0,VLOOKUP(LOWER(F1493)&amp;H1493,Prices!A:C,2,0))</f>
        <v>74.599999999999994</v>
      </c>
      <c r="W1493" s="30">
        <f t="shared" si="775"/>
        <v>32913.172599999991</v>
      </c>
      <c r="X1493" s="30">
        <f t="shared" si="776"/>
        <v>3794.9999999999873</v>
      </c>
      <c r="Y1493" s="40">
        <f t="shared" si="777"/>
        <v>0.66982462502798279</v>
      </c>
    </row>
    <row r="1494" spans="1:27" s="13" customFormat="1" hidden="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9.86</v>
      </c>
      <c r="V1494" s="13">
        <f>IF(ISNA(VLOOKUP(LOWER(F1494)&amp;H1494,Prices!A:C,2,0)),0,VLOOKUP(LOWER(F1494)&amp;H1494,Prices!A:C,2,0))</f>
        <v>9.75</v>
      </c>
      <c r="W1494" s="13">
        <f t="shared" si="775"/>
        <v>-5500.860300000003</v>
      </c>
      <c r="X1494" s="13">
        <f t="shared" si="776"/>
        <v>-494.99999999999744</v>
      </c>
      <c r="Y1494" s="43">
        <f t="shared" si="777"/>
        <v>-0.11143239744758439</v>
      </c>
      <c r="Z1494" s="49"/>
      <c r="AA1494" s="24"/>
    </row>
    <row r="1495" spans="1:27" hidden="1"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71.150000000000006</v>
      </c>
      <c r="V1495" s="30">
        <f>IF(ISNA(VLOOKUP(LOWER(F1495)&amp;H1495,Prices!A:C,2,0)),0,VLOOKUP(LOWER(F1495)&amp;H1495,Prices!A:C,2,0))</f>
        <v>74.599999999999994</v>
      </c>
      <c r="W1495" s="30">
        <f t="shared" si="775"/>
        <v>32946.179199999999</v>
      </c>
      <c r="X1495" s="30">
        <f t="shared" si="776"/>
        <v>3794.9999999999873</v>
      </c>
      <c r="Y1495" s="40">
        <f t="shared" si="777"/>
        <v>0.67094695340501787</v>
      </c>
    </row>
    <row r="1496" spans="1:27" hidden="1"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71.150000000000006</v>
      </c>
      <c r="V1496" s="30">
        <f>IF(ISNA(VLOOKUP(LOWER(F1496)&amp;H1496,Prices!A:C,2,0)),0,VLOOKUP(LOWER(F1496)&amp;H1496,Prices!A:C,2,0))</f>
        <v>74.599999999999994</v>
      </c>
      <c r="W1496" s="30">
        <f t="shared" si="775"/>
        <v>32880.16599999999</v>
      </c>
      <c r="X1496" s="30">
        <f t="shared" si="776"/>
        <v>3794.9999999999873</v>
      </c>
      <c r="Y1496" s="40">
        <f t="shared" si="777"/>
        <v>0.66870380313199085</v>
      </c>
    </row>
    <row r="1497" spans="1:27" s="13" customFormat="1" hidden="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9.86</v>
      </c>
      <c r="V1497" s="13">
        <f>IF(ISNA(VLOOKUP(LOWER(F1497)&amp;H1497,Prices!A:C,2,0)),0,VLOOKUP(LOWER(F1497)&amp;H1497,Prices!A:C,2,0))</f>
        <v>9.75</v>
      </c>
      <c r="W1497" s="13">
        <f t="shared" si="775"/>
        <v>-5635.8900000000031</v>
      </c>
      <c r="X1497" s="13">
        <f t="shared" si="776"/>
        <v>-494.99999999999744</v>
      </c>
      <c r="Y1497" s="43">
        <f t="shared" si="777"/>
        <v>-0.1138563636363637</v>
      </c>
      <c r="Z1497" s="49"/>
      <c r="AA1497" s="24"/>
    </row>
    <row r="1498" spans="1:27" s="13" customFormat="1" hidden="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9.86</v>
      </c>
      <c r="V1498" s="13">
        <f>IF(ISNA(VLOOKUP(LOWER(F1498)&amp;H1498,Prices!A:C,2,0)),0,VLOOKUP(LOWER(F1498)&amp;H1498,Prices!A:C,2,0))</f>
        <v>9.75</v>
      </c>
      <c r="W1498" s="13">
        <f t="shared" si="775"/>
        <v>-5635.8900000000031</v>
      </c>
      <c r="X1498" s="13">
        <f t="shared" si="776"/>
        <v>-494.99999999999744</v>
      </c>
      <c r="Y1498" s="43">
        <f t="shared" si="777"/>
        <v>-0.1138563636363637</v>
      </c>
      <c r="Z1498" s="49"/>
      <c r="AA1498" s="24"/>
    </row>
    <row r="1499" spans="1:27" s="13" customFormat="1" hidden="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23.82</v>
      </c>
      <c r="V1499" s="13">
        <f>IF(ISNA(VLOOKUP(LOWER(F1499)&amp;H1499,Prices!A:C,2,0)),0,VLOOKUP(LOWER(F1499)&amp;H1499,Prices!A:C,2,0))</f>
        <v>24.39</v>
      </c>
      <c r="W1499" s="13">
        <f t="shared" ref="W1499:W1534" si="783">IF(I1499="B",(V1499+T1499)*K1499,(V1499+T1499)*K1499)</f>
        <v>-2356.9999999999986</v>
      </c>
      <c r="X1499" s="13">
        <f t="shared" ref="X1499:X1534" si="784">K1499*(V1499-U1499)</f>
        <v>342.00000000000017</v>
      </c>
      <c r="Y1499" s="43">
        <f t="shared" ref="Y1499:Y1534" si="785">W1499/O1499</f>
        <v>-0.13876133286235715</v>
      </c>
      <c r="Z1499" s="49"/>
      <c r="AA1499" s="24"/>
    </row>
    <row r="1500" spans="1:27" s="13" customFormat="1" hidden="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23.82</v>
      </c>
      <c r="V1500" s="13">
        <f>IF(ISNA(VLOOKUP(LOWER(F1500)&amp;H1500,Prices!A:C,2,0)),0,VLOOKUP(LOWER(F1500)&amp;H1500,Prices!A:C,2,0))</f>
        <v>24.39</v>
      </c>
      <c r="W1500" s="13">
        <f t="shared" si="783"/>
        <v>-6673.6253999999981</v>
      </c>
      <c r="X1500" s="13">
        <f t="shared" si="784"/>
        <v>969.00000000000045</v>
      </c>
      <c r="Y1500" s="43">
        <f t="shared" si="785"/>
        <v>-0.1386669728011303</v>
      </c>
      <c r="Z1500" s="49"/>
      <c r="AA1500" s="24"/>
    </row>
    <row r="1501" spans="1:27" s="13" customFormat="1" hidden="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6.48</v>
      </c>
      <c r="V1501" s="13">
        <f>IF(ISNA(VLOOKUP(LOWER(F1501)&amp;H1501,Prices!A:C,2,0)),0,VLOOKUP(LOWER(F1501)&amp;H1501,Prices!A:C,2,0))</f>
        <v>6.32</v>
      </c>
      <c r="W1501" s="13">
        <f t="shared" si="783"/>
        <v>-6469.8871999999938</v>
      </c>
      <c r="X1501" s="13">
        <f t="shared" si="784"/>
        <v>-1088.0000000000009</v>
      </c>
      <c r="Y1501" s="43">
        <f t="shared" si="785"/>
        <v>-0.1308740027510315</v>
      </c>
      <c r="Z1501" s="49"/>
      <c r="AA1501" s="24"/>
    </row>
    <row r="1502" spans="1:27" s="13" customFormat="1" hidden="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28.51</v>
      </c>
      <c r="V1502" s="13">
        <f>IF(ISNA(VLOOKUP(LOWER(F1502)&amp;H1502,Prices!A:C,2,0)),0,VLOOKUP(LOWER(F1502)&amp;H1502,Prices!A:C,2,0))</f>
        <v>28.93</v>
      </c>
      <c r="W1502" s="13">
        <f t="shared" si="783"/>
        <v>-7570.7</v>
      </c>
      <c r="X1502" s="13">
        <f t="shared" si="784"/>
        <v>-293.99999999999869</v>
      </c>
      <c r="Y1502" s="43">
        <f t="shared" si="785"/>
        <v>-0.5962120018900614</v>
      </c>
      <c r="Z1502" s="49"/>
      <c r="AA1502" s="24"/>
    </row>
    <row r="1503" spans="1:27" s="13" customFormat="1" hidden="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14.51</v>
      </c>
      <c r="V1503" s="13">
        <f>IF(ISNA(VLOOKUP(LOWER(F1503)&amp;H1503,Prices!A:C,2,0)),0,VLOOKUP(LOWER(F1503)&amp;H1503,Prices!A:C,2,0))</f>
        <v>14.18</v>
      </c>
      <c r="W1503" s="13">
        <f t="shared" si="783"/>
        <v>-15753.955199999989</v>
      </c>
      <c r="X1503" s="13">
        <f t="shared" si="784"/>
        <v>-792.00000000000023</v>
      </c>
      <c r="Y1503" s="43">
        <f t="shared" si="785"/>
        <v>-0.31649701060752156</v>
      </c>
      <c r="Z1503" s="49"/>
      <c r="AA1503" s="24"/>
    </row>
    <row r="1504" spans="1:27" s="13" customFormat="1" hidden="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14.51</v>
      </c>
      <c r="V1504" s="13">
        <f>IF(ISNA(VLOOKUP(LOWER(F1504)&amp;H1504,Prices!A:C,2,0)),0,VLOOKUP(LOWER(F1504)&amp;H1504,Prices!A:C,2,0))</f>
        <v>14.18</v>
      </c>
      <c r="W1504" s="13">
        <f t="shared" si="783"/>
        <v>-15753.955199999989</v>
      </c>
      <c r="X1504" s="13">
        <f t="shared" si="784"/>
        <v>-792.00000000000023</v>
      </c>
      <c r="Y1504" s="43">
        <f t="shared" si="785"/>
        <v>-0.31649701060752156</v>
      </c>
      <c r="Z1504" s="49"/>
      <c r="AA1504" s="24"/>
    </row>
    <row r="1505" spans="1:27" s="13" customFormat="1" hidden="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23.82</v>
      </c>
      <c r="V1505" s="13">
        <f>IF(ISNA(VLOOKUP(LOWER(F1505)&amp;H1505,Prices!A:C,2,0)),0,VLOOKUP(LOWER(F1505)&amp;H1505,Prices!A:C,2,0))</f>
        <v>24.39</v>
      </c>
      <c r="W1505" s="13">
        <f t="shared" si="783"/>
        <v>-6690.6287999999986</v>
      </c>
      <c r="X1505" s="13">
        <f t="shared" si="784"/>
        <v>969.00000000000045</v>
      </c>
      <c r="Y1505" s="43">
        <f t="shared" si="785"/>
        <v>-0.13897118644067794</v>
      </c>
      <c r="Z1505" s="49"/>
      <c r="AA1505" s="24"/>
    </row>
    <row r="1506" spans="1:27" s="13" customFormat="1" hidden="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14.51</v>
      </c>
      <c r="V1506" s="13">
        <f>IF(ISNA(VLOOKUP(LOWER(F1506)&amp;H1506,Prices!A:C,2,0)),0,VLOOKUP(LOWER(F1506)&amp;H1506,Prices!A:C,2,0))</f>
        <v>14.18</v>
      </c>
      <c r="W1506" s="13">
        <f t="shared" si="783"/>
        <v>-15849.974399999999</v>
      </c>
      <c r="X1506" s="13">
        <f t="shared" si="784"/>
        <v>-792.00000000000023</v>
      </c>
      <c r="Y1506" s="43">
        <f t="shared" si="785"/>
        <v>-0.31781308950914339</v>
      </c>
      <c r="Z1506" s="49"/>
      <c r="AA1506" s="24"/>
    </row>
    <row r="1507" spans="1:27" s="13" customFormat="1" hidden="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15.55</v>
      </c>
      <c r="V1507" s="13">
        <f>IF(ISNA(VLOOKUP(LOWER(F1507)&amp;H1507,Prices!A:C,2,0)),0,VLOOKUP(LOWER(F1507)&amp;H1507,Prices!A:C,2,0))</f>
        <v>15.23</v>
      </c>
      <c r="W1507" s="13">
        <f t="shared" si="783"/>
        <v>-8353.882080000003</v>
      </c>
      <c r="X1507" s="13">
        <f t="shared" si="784"/>
        <v>-864.0000000000008</v>
      </c>
      <c r="Y1507" s="43">
        <f t="shared" si="785"/>
        <v>-0.16888812227074243</v>
      </c>
      <c r="Z1507" s="49"/>
      <c r="AA1507" s="24"/>
    </row>
    <row r="1508" spans="1:27" s="13" customFormat="1" hidden="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18.11</v>
      </c>
      <c r="V1508" s="13">
        <f>IF(ISNA(VLOOKUP(LOWER(F1508)&amp;H1508,Prices!A:C,2,0)),0,VLOOKUP(LOWER(F1508)&amp;H1508,Prices!A:C,2,0))</f>
        <v>18.18</v>
      </c>
      <c r="W1508" s="13">
        <f t="shared" si="783"/>
        <v>-7885.5743999999977</v>
      </c>
      <c r="X1508" s="13">
        <f t="shared" si="784"/>
        <v>154.00000000000063</v>
      </c>
      <c r="Y1508" s="43">
        <f t="shared" si="785"/>
        <v>-0.16472205882352936</v>
      </c>
      <c r="Z1508" s="49"/>
      <c r="AA1508" s="24"/>
    </row>
    <row r="1509" spans="1:27" s="13" customFormat="1" hidden="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6.48</v>
      </c>
      <c r="V1509" s="13">
        <f>IF(ISNA(VLOOKUP(LOWER(F1509)&amp;H1509,Prices!A:C,2,0)),0,VLOOKUP(LOWER(F1509)&amp;H1509,Prices!A:C,2,0))</f>
        <v>6.32</v>
      </c>
      <c r="W1509" s="13">
        <f t="shared" si="783"/>
        <v>-6333.86</v>
      </c>
      <c r="X1509" s="13">
        <f t="shared" si="784"/>
        <v>-1088.0000000000009</v>
      </c>
      <c r="Y1509" s="43">
        <f t="shared" si="785"/>
        <v>-0.12847586206896552</v>
      </c>
      <c r="Z1509" s="49"/>
      <c r="AA1509" s="24"/>
    </row>
    <row r="1510" spans="1:27" s="13" customFormat="1" hidden="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23.82</v>
      </c>
      <c r="V1510" s="13">
        <f>IF(ISNA(VLOOKUP(LOWER(F1510)&amp;H1510,Prices!A:C,2,0)),0,VLOOKUP(LOWER(F1510)&amp;H1510,Prices!A:C,2,0))</f>
        <v>24.39</v>
      </c>
      <c r="W1510" s="13">
        <f t="shared" si="783"/>
        <v>-6690.6287999999986</v>
      </c>
      <c r="X1510" s="13">
        <f t="shared" si="784"/>
        <v>969.00000000000045</v>
      </c>
      <c r="Y1510" s="43">
        <f t="shared" si="785"/>
        <v>-0.13897118644067794</v>
      </c>
      <c r="Z1510" s="49"/>
      <c r="AA1510" s="24"/>
    </row>
    <row r="1511" spans="1:27" s="13" customFormat="1" hidden="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23.82</v>
      </c>
      <c r="V1511" s="13">
        <f>IF(ISNA(VLOOKUP(LOWER(F1511)&amp;H1511,Prices!A:C,2,0)),0,VLOOKUP(LOWER(F1511)&amp;H1511,Prices!A:C,2,0))</f>
        <v>24.39</v>
      </c>
      <c r="W1511" s="13">
        <f t="shared" si="783"/>
        <v>-6724.6355999999987</v>
      </c>
      <c r="X1511" s="13">
        <f t="shared" si="784"/>
        <v>969.00000000000045</v>
      </c>
      <c r="Y1511" s="43">
        <f t="shared" si="785"/>
        <v>-0.139578969654199</v>
      </c>
      <c r="Z1511" s="49"/>
      <c r="AA1511" s="24"/>
    </row>
    <row r="1512" spans="1:27" s="13" customFormat="1" hidden="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15.55</v>
      </c>
      <c r="V1512" s="13">
        <f>IF(ISNA(VLOOKUP(LOWER(F1512)&amp;H1512,Prices!A:C,2,0)),0,VLOOKUP(LOWER(F1512)&amp;H1512,Prices!A:C,2,0))</f>
        <v>15.23</v>
      </c>
      <c r="W1512" s="13">
        <f t="shared" si="783"/>
        <v>-8326.8761399999967</v>
      </c>
      <c r="X1512" s="13">
        <f t="shared" si="784"/>
        <v>-864.0000000000008</v>
      </c>
      <c r="Y1512" s="43">
        <f t="shared" si="785"/>
        <v>-0.168434090660841</v>
      </c>
      <c r="Z1512" s="49"/>
      <c r="AA1512" s="24"/>
    </row>
    <row r="1513" spans="1:27" s="13" customFormat="1" hidden="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14.51</v>
      </c>
      <c r="V1513" s="13">
        <f>IF(ISNA(VLOOKUP(LOWER(F1513)&amp;H1513,Prices!A:C,2,0)),0,VLOOKUP(LOWER(F1513)&amp;H1513,Prices!A:C,2,0))</f>
        <v>14.18</v>
      </c>
      <c r="W1513" s="13">
        <f t="shared" si="783"/>
        <v>-15969.998399999991</v>
      </c>
      <c r="X1513" s="13">
        <f t="shared" si="784"/>
        <v>-792.00000000000023</v>
      </c>
      <c r="Y1513" s="43">
        <f t="shared" si="785"/>
        <v>-0.31945108017282753</v>
      </c>
      <c r="Z1513" s="49"/>
      <c r="AA1513" s="24"/>
    </row>
    <row r="1514" spans="1:27" s="13" customFormat="1" hidden="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14.51</v>
      </c>
      <c r="V1514" s="13">
        <f>IF(ISNA(VLOOKUP(LOWER(F1514)&amp;H1514,Prices!A:C,2,0)),0,VLOOKUP(LOWER(F1514)&amp;H1514,Prices!A:C,2,0))</f>
        <v>14.18</v>
      </c>
      <c r="W1514" s="13">
        <f t="shared" si="783"/>
        <v>-15304.581799999993</v>
      </c>
      <c r="X1514" s="13">
        <f t="shared" si="784"/>
        <v>-759.00000000000011</v>
      </c>
      <c r="Y1514" s="43">
        <f t="shared" si="785"/>
        <v>-0.31945108017282753</v>
      </c>
      <c r="Z1514" s="49"/>
      <c r="AA1514" s="24"/>
    </row>
    <row r="1515" spans="1:27" s="13" customFormat="1" hidden="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6.48</v>
      </c>
      <c r="V1515" s="13">
        <f>IF(ISNA(VLOOKUP(LOWER(F1515)&amp;H1515,Prices!A:C,2,0)),0,VLOOKUP(LOWER(F1515)&amp;H1515,Prices!A:C,2,0))</f>
        <v>6.32</v>
      </c>
      <c r="W1515" s="13">
        <f t="shared" si="783"/>
        <v>-6469.8871999999938</v>
      </c>
      <c r="X1515" s="13">
        <f t="shared" si="784"/>
        <v>-1088.0000000000009</v>
      </c>
      <c r="Y1515" s="43">
        <f t="shared" si="785"/>
        <v>-0.1308740027510315</v>
      </c>
      <c r="Z1515" s="49"/>
      <c r="AA1515" s="24"/>
    </row>
    <row r="1516" spans="1:27" s="13" customFormat="1" hidden="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9.86</v>
      </c>
      <c r="V1516" s="13">
        <f>IF(ISNA(VLOOKUP(LOWER(F1516)&amp;H1516,Prices!A:C,2,0)),0,VLOOKUP(LOWER(F1516)&amp;H1516,Prices!A:C,2,0))</f>
        <v>9.75</v>
      </c>
      <c r="W1516" s="13">
        <f t="shared" si="783"/>
        <v>22130.578160000005</v>
      </c>
      <c r="X1516" s="13">
        <f t="shared" si="784"/>
        <v>2441.9999999999873</v>
      </c>
      <c r="Y1516" s="43">
        <f t="shared" si="785"/>
        <v>9.2646179376402446E-2</v>
      </c>
      <c r="Z1516" s="49"/>
      <c r="AA1516" s="24"/>
    </row>
    <row r="1517" spans="1:27" s="13" customFormat="1" hidden="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9.86</v>
      </c>
      <c r="V1517" s="13">
        <f>IF(ISNA(VLOOKUP(LOWER(F1517)&amp;H1517,Prices!A:C,2,0)),0,VLOOKUP(LOWER(F1517)&amp;H1517,Prices!A:C,2,0))</f>
        <v>9.75</v>
      </c>
      <c r="W1517" s="13">
        <f t="shared" si="783"/>
        <v>21931.201600000004</v>
      </c>
      <c r="X1517" s="13">
        <f t="shared" si="784"/>
        <v>2419.9999999999873</v>
      </c>
      <c r="Y1517" s="43">
        <f t="shared" si="785"/>
        <v>9.2646171003717484E-2</v>
      </c>
      <c r="Z1517" s="49"/>
      <c r="AA1517" s="24"/>
    </row>
    <row r="1518" spans="1:27" hidden="1"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71.150000000000006</v>
      </c>
      <c r="V1518" s="30">
        <f>IF(ISNA(VLOOKUP(LOWER(F1518)&amp;H1518,Prices!A:C,2,0)),0,VLOOKUP(LOWER(F1518)&amp;H1518,Prices!A:C,2,0))</f>
        <v>74.599999999999994</v>
      </c>
      <c r="W1518" s="30">
        <f t="shared" si="783"/>
        <v>-278238.2844</v>
      </c>
      <c r="X1518" s="30">
        <f t="shared" si="784"/>
        <v>-31739.999999999894</v>
      </c>
      <c r="Y1518" s="40">
        <f t="shared" si="785"/>
        <v>-0.68100184153588605</v>
      </c>
    </row>
    <row r="1519" spans="1:27" s="13" customFormat="1" hidden="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18.11</v>
      </c>
      <c r="V1519" s="13">
        <f>IF(ISNA(VLOOKUP(LOWER(F1519)&amp;H1519,Prices!A:C,2,0)),0,VLOOKUP(LOWER(F1519)&amp;H1519,Prices!A:C,2,0))</f>
        <v>18.18</v>
      </c>
      <c r="W1519" s="13">
        <f t="shared" si="783"/>
        <v>-8039.6051999999909</v>
      </c>
      <c r="X1519" s="13">
        <f t="shared" si="784"/>
        <v>154.00000000000063</v>
      </c>
      <c r="Y1519" s="43">
        <f t="shared" si="785"/>
        <v>-0.16740109940448908</v>
      </c>
      <c r="Z1519" s="49"/>
      <c r="AA1519" s="24"/>
    </row>
    <row r="1520" spans="1:27" s="13" customFormat="1" hidden="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6.48</v>
      </c>
      <c r="V1520" s="13">
        <f>IF(ISNA(VLOOKUP(LOWER(F1520)&amp;H1520,Prices!A:C,2,0)),0,VLOOKUP(LOWER(F1520)&amp;H1520,Prices!A:C,2,0))</f>
        <v>6.32</v>
      </c>
      <c r="W1520" s="13">
        <f t="shared" si="783"/>
        <v>-6401.8735999999999</v>
      </c>
      <c r="X1520" s="13">
        <f t="shared" si="784"/>
        <v>-1088.0000000000009</v>
      </c>
      <c r="Y1520" s="43">
        <f t="shared" si="785"/>
        <v>-0.12967658402203858</v>
      </c>
      <c r="Z1520" s="49"/>
      <c r="AA1520" s="24"/>
    </row>
    <row r="1521" spans="1:27" hidden="1"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71.150000000000006</v>
      </c>
      <c r="V1521" s="30">
        <f>IF(ISNA(VLOOKUP(LOWER(F1521)&amp;H1521,Prices!A:C,2,0)),0,VLOOKUP(LOWER(F1521)&amp;H1521,Prices!A:C,2,0))</f>
        <v>74.599999999999994</v>
      </c>
      <c r="W1521" s="30">
        <f t="shared" si="783"/>
        <v>-54401.964799999994</v>
      </c>
      <c r="X1521" s="30">
        <f t="shared" si="784"/>
        <v>-6209.99999999998</v>
      </c>
      <c r="Y1521" s="40">
        <f t="shared" si="785"/>
        <v>-0.68024563983294561</v>
      </c>
    </row>
    <row r="1522" spans="1:27" s="13" customFormat="1" hidden="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18.11</v>
      </c>
      <c r="V1522" s="13">
        <f>IF(ISNA(VLOOKUP(LOWER(F1522)&amp;H1522,Prices!A:C,2,0)),0,VLOOKUP(LOWER(F1522)&amp;H1522,Prices!A:C,2,0))</f>
        <v>18.18</v>
      </c>
      <c r="W1522" s="13">
        <f t="shared" si="783"/>
        <v>-7995.5964000000067</v>
      </c>
      <c r="X1522" s="13">
        <f t="shared" si="784"/>
        <v>154.00000000000063</v>
      </c>
      <c r="Y1522" s="43">
        <f t="shared" si="785"/>
        <v>-0.1666374140302615</v>
      </c>
      <c r="Z1522" s="49"/>
      <c r="AA1522" s="24"/>
    </row>
    <row r="1523" spans="1:27" s="13" customFormat="1" hidden="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14.48</v>
      </c>
      <c r="V1523" s="13">
        <f>IF(ISNA(VLOOKUP(LOWER(F1523)&amp;H1523,Prices!A:C,2,0)),0,VLOOKUP(LOWER(F1523)&amp;H1523,Prices!A:C,2,0))</f>
        <v>14.37</v>
      </c>
      <c r="W1523" s="13">
        <f t="shared" si="783"/>
        <v>-3082.7923199999932</v>
      </c>
      <c r="X1523" s="13">
        <f t="shared" si="784"/>
        <v>-352.00000000000387</v>
      </c>
      <c r="Y1523" s="43">
        <f t="shared" si="785"/>
        <v>-6.2842309197651519E-2</v>
      </c>
      <c r="Z1523" s="49"/>
      <c r="AA1523" s="24"/>
    </row>
    <row r="1524" spans="1:27" s="13" customFormat="1" hidden="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18.11</v>
      </c>
      <c r="V1524" s="13">
        <f>IF(ISNA(VLOOKUP(LOWER(F1524)&amp;H1524,Prices!A:C,2,0)),0,VLOOKUP(LOWER(F1524)&amp;H1524,Prices!A:C,2,0))</f>
        <v>18.18</v>
      </c>
      <c r="W1524" s="13">
        <f t="shared" si="783"/>
        <v>-8017.6007999999993</v>
      </c>
      <c r="X1524" s="13">
        <f t="shared" si="784"/>
        <v>154.00000000000063</v>
      </c>
      <c r="Y1524" s="43">
        <f t="shared" si="785"/>
        <v>-0.16701943171402381</v>
      </c>
      <c r="Z1524" s="49"/>
      <c r="AA1524" s="24"/>
    </row>
    <row r="1525" spans="1:27" s="13" customFormat="1" hidden="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18.11</v>
      </c>
      <c r="V1525" s="13">
        <f>IF(ISNA(VLOOKUP(LOWER(F1525)&amp;H1525,Prices!A:C,2,0)),0,VLOOKUP(LOWER(F1525)&amp;H1525,Prices!A:C,2,0))</f>
        <v>18.18</v>
      </c>
      <c r="W1525" s="13">
        <f t="shared" si="783"/>
        <v>-8013.1999200000064</v>
      </c>
      <c r="X1525" s="13">
        <f t="shared" si="784"/>
        <v>154.00000000000063</v>
      </c>
      <c r="Y1525" s="43">
        <f t="shared" si="785"/>
        <v>-0.16694305619213504</v>
      </c>
      <c r="Z1525" s="49"/>
      <c r="AA1525" s="24"/>
    </row>
    <row r="1526" spans="1:27" s="13" customFormat="1" hidden="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6.48</v>
      </c>
      <c r="V1526" s="13">
        <f>IF(ISNA(VLOOKUP(LOWER(F1526)&amp;H1526,Prices!A:C,2,0)),0,VLOOKUP(LOWER(F1526)&amp;H1526,Prices!A:C,2,0))</f>
        <v>6.32</v>
      </c>
      <c r="W1526" s="13">
        <f t="shared" si="783"/>
        <v>-6537.9008000000003</v>
      </c>
      <c r="X1526" s="13">
        <f t="shared" si="784"/>
        <v>-1088.0000000000009</v>
      </c>
      <c r="Y1526" s="43">
        <f t="shared" si="785"/>
        <v>-0.13206813186813188</v>
      </c>
      <c r="Z1526" s="49"/>
      <c r="AA1526" s="24"/>
    </row>
    <row r="1527" spans="1:27" s="13" customFormat="1" hidden="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14.48</v>
      </c>
      <c r="V1527" s="13">
        <f>IF(ISNA(VLOOKUP(LOWER(F1527)&amp;H1527,Prices!A:C,2,0)),0,VLOOKUP(LOWER(F1527)&amp;H1527,Prices!A:C,2,0))</f>
        <v>14.37</v>
      </c>
      <c r="W1527" s="13">
        <f t="shared" si="783"/>
        <v>-3095.5951359999972</v>
      </c>
      <c r="X1527" s="13">
        <f t="shared" si="784"/>
        <v>-352.00000000000387</v>
      </c>
      <c r="Y1527" s="43">
        <f t="shared" si="785"/>
        <v>-6.308683187687486E-2</v>
      </c>
      <c r="Z1527" s="49"/>
      <c r="AA1527" s="24"/>
    </row>
    <row r="1528" spans="1:27" s="13" customFormat="1" hidden="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14.48</v>
      </c>
      <c r="V1528" s="13">
        <f>IF(ISNA(VLOOKUP(LOWER(F1528)&amp;H1528,Prices!A:C,2,0)),0,VLOOKUP(LOWER(F1528)&amp;H1528,Prices!A:C,2,0))</f>
        <v>14.37</v>
      </c>
      <c r="W1528" s="13">
        <f t="shared" si="783"/>
        <v>-3114.7993600000063</v>
      </c>
      <c r="X1528" s="13">
        <f t="shared" si="784"/>
        <v>-352.00000000000387</v>
      </c>
      <c r="Y1528" s="43">
        <f t="shared" si="785"/>
        <v>-6.3453376792698954E-2</v>
      </c>
      <c r="Z1528" s="49"/>
      <c r="AA1528" s="24"/>
    </row>
    <row r="1529" spans="1:27" s="13" customFormat="1" hidden="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15.55</v>
      </c>
      <c r="V1529" s="13">
        <f>IF(ISNA(VLOOKUP(LOWER(F1529)&amp;H1529,Prices!A:C,2,0)),0,VLOOKUP(LOWER(F1529)&amp;H1529,Prices!A:C,2,0))</f>
        <v>15.23</v>
      </c>
      <c r="W1529" s="13">
        <f t="shared" si="783"/>
        <v>-8461.9058400000013</v>
      </c>
      <c r="X1529" s="13">
        <f t="shared" si="784"/>
        <v>-864.0000000000008</v>
      </c>
      <c r="Y1529" s="43">
        <f t="shared" si="785"/>
        <v>-0.17069930283224402</v>
      </c>
      <c r="Z1529" s="49"/>
      <c r="AA1529" s="24"/>
    </row>
    <row r="1530" spans="1:27" s="13" customFormat="1" hidden="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6.48</v>
      </c>
      <c r="V1530" s="13">
        <f>IF(ISNA(VLOOKUP(LOWER(F1530)&amp;H1530,Prices!A:C,2,0)),0,VLOOKUP(LOWER(F1530)&amp;H1530,Prices!A:C,2,0))</f>
        <v>6.32</v>
      </c>
      <c r="W1530" s="13">
        <f t="shared" si="783"/>
        <v>-6537.9008000000003</v>
      </c>
      <c r="X1530" s="13">
        <f t="shared" si="784"/>
        <v>-1088.0000000000009</v>
      </c>
      <c r="Y1530" s="43">
        <f t="shared" si="785"/>
        <v>-0.13206813186813188</v>
      </c>
      <c r="Z1530" s="49"/>
      <c r="AA1530" s="24"/>
    </row>
    <row r="1531" spans="1:27" s="13" customFormat="1" hidden="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6.48</v>
      </c>
      <c r="V1531" s="13">
        <f>IF(ISNA(VLOOKUP(LOWER(F1531)&amp;H1531,Prices!A:C,2,0)),0,VLOOKUP(LOWER(F1531)&amp;H1531,Prices!A:C,2,0))</f>
        <v>6.32</v>
      </c>
      <c r="W1531" s="13">
        <f t="shared" si="783"/>
        <v>-6673.9279999999953</v>
      </c>
      <c r="X1531" s="13">
        <f t="shared" si="784"/>
        <v>-1088.0000000000009</v>
      </c>
      <c r="Y1531" s="43">
        <f t="shared" si="785"/>
        <v>-0.13444657534246565</v>
      </c>
      <c r="Z1531" s="49"/>
      <c r="AA1531" s="24"/>
    </row>
    <row r="1532" spans="1:27" s="13" customFormat="1" hidden="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18.11</v>
      </c>
      <c r="V1532" s="13">
        <f>IF(ISNA(VLOOKUP(LOWER(F1532)&amp;H1532,Prices!A:C,2,0)),0,VLOOKUP(LOWER(F1532)&amp;H1532,Prices!A:C,2,0))</f>
        <v>18.18</v>
      </c>
      <c r="W1532" s="13">
        <f t="shared" si="783"/>
        <v>-7929.5831999999982</v>
      </c>
      <c r="X1532" s="13">
        <f t="shared" si="784"/>
        <v>154.00000000000063</v>
      </c>
      <c r="Y1532" s="43">
        <f t="shared" si="785"/>
        <v>-0.16548925619834706</v>
      </c>
      <c r="Z1532" s="49"/>
      <c r="AA1532" s="24"/>
    </row>
    <row r="1533" spans="1:27" s="13" customFormat="1" hidden="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28.51</v>
      </c>
      <c r="V1533" s="13">
        <f>IF(ISNA(VLOOKUP(LOWER(F1533)&amp;H1533,Prices!A:C,2,0)),0,VLOOKUP(LOWER(F1533)&amp;H1533,Prices!A:C,2,0))</f>
        <v>28.93</v>
      </c>
      <c r="W1533" s="13">
        <f t="shared" si="783"/>
        <v>29555.290800000002</v>
      </c>
      <c r="X1533" s="13">
        <f t="shared" si="784"/>
        <v>1133.999999999995</v>
      </c>
      <c r="Y1533" s="43">
        <f t="shared" si="785"/>
        <v>0.60881001112347055</v>
      </c>
      <c r="Z1533" s="49"/>
      <c r="AA1533" s="24"/>
    </row>
    <row r="1534" spans="1:27" s="13" customFormat="1" hidden="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28.51</v>
      </c>
      <c r="V1534" s="13">
        <f>IF(ISNA(VLOOKUP(LOWER(F1534)&amp;H1534,Prices!A:C,2,0)),0,VLOOKUP(LOWER(F1534)&amp;H1534,Prices!A:C,2,0))</f>
        <v>28.93</v>
      </c>
      <c r="W1534" s="13">
        <f t="shared" si="783"/>
        <v>29744.328600000004</v>
      </c>
      <c r="X1534" s="13">
        <f t="shared" si="784"/>
        <v>1133.999999999995</v>
      </c>
      <c r="Y1534" s="43">
        <f t="shared" si="785"/>
        <v>0.61509871580122844</v>
      </c>
      <c r="Z1534" s="49"/>
      <c r="AA1534" s="24"/>
    </row>
    <row r="1535" spans="1:27" s="13" customFormat="1" hidden="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6.48</v>
      </c>
      <c r="V1535" s="13">
        <f>IF(ISNA(VLOOKUP(LOWER(F1535)&amp;H1535,Prices!A:C,2,0)),0,VLOOKUP(LOWER(F1535)&amp;H1535,Prices!A:C,2,0))</f>
        <v>6.32</v>
      </c>
      <c r="W1535" s="13">
        <f t="shared" ref="W1535:W1542" si="790">IF(I1535="B",(V1535+T1535)*K1535,(V1535+T1535)*K1535)</f>
        <v>41476.736000000004</v>
      </c>
      <c r="X1535" s="13">
        <f t="shared" ref="X1535:X1542" si="791">K1535*(V1535-U1535)</f>
        <v>7616.0000000000064</v>
      </c>
      <c r="Y1535" s="43">
        <f t="shared" ref="Y1535:Y1542" si="792">W1535/O1535</f>
        <v>0.12102222222222224</v>
      </c>
      <c r="Z1535" s="49"/>
      <c r="AA1535" s="24"/>
    </row>
    <row r="1536" spans="1:27" s="13" customFormat="1" hidden="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23.82</v>
      </c>
      <c r="V1536" s="13">
        <f>IF(ISNA(VLOOKUP(LOWER(F1536)&amp;H1536,Prices!A:C,2,0)),0,VLOOKUP(LOWER(F1536)&amp;H1536,Prices!A:C,2,0))</f>
        <v>24.39</v>
      </c>
      <c r="W1536" s="13">
        <f t="shared" si="790"/>
        <v>3386.6279999999947</v>
      </c>
      <c r="X1536" s="13">
        <f t="shared" si="791"/>
        <v>-570.00000000000023</v>
      </c>
      <c r="Y1536" s="43">
        <f t="shared" si="792"/>
        <v>0.12177734627831696</v>
      </c>
      <c r="Z1536" s="49"/>
      <c r="AA1536" s="24"/>
    </row>
    <row r="1537" spans="1:27" s="13" customFormat="1" hidden="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14.48</v>
      </c>
      <c r="V1537" s="13">
        <f>IF(ISNA(VLOOKUP(LOWER(F1537)&amp;H1537,Prices!A:C,2,0)),0,VLOOKUP(LOWER(F1537)&amp;H1537,Prices!A:C,2,0))</f>
        <v>14.37</v>
      </c>
      <c r="W1537" s="13">
        <f t="shared" si="790"/>
        <v>9899.4029600000213</v>
      </c>
      <c r="X1537" s="13">
        <f t="shared" si="791"/>
        <v>1056.0000000000116</v>
      </c>
      <c r="Y1537" s="43">
        <f t="shared" si="792"/>
        <v>6.6873398724600228E-2</v>
      </c>
      <c r="Z1537" s="49"/>
      <c r="AA1537" s="24"/>
    </row>
    <row r="1538" spans="1:27" s="13" customFormat="1" hidden="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650.07000000000005</v>
      </c>
      <c r="V1538" s="13">
        <f>IF(ISNA(VLOOKUP(LOWER(F1538)&amp;H1538,Prices!A:C,2,0)),0,VLOOKUP(LOWER(F1538)&amp;H1538,Prices!A:C,2,0))</f>
        <v>677.95</v>
      </c>
      <c r="W1538" s="13">
        <f t="shared" si="790"/>
        <v>26149.840080000005</v>
      </c>
      <c r="X1538" s="13">
        <f t="shared" si="791"/>
        <v>2787.9999999999995</v>
      </c>
      <c r="Y1538" s="43">
        <f t="shared" si="792"/>
        <v>0.62805841291190334</v>
      </c>
      <c r="Z1538" s="49"/>
      <c r="AA1538" s="24"/>
    </row>
    <row r="1539" spans="1:27" s="13" customFormat="1" hidden="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650.07000000000005</v>
      </c>
      <c r="V1539" s="13">
        <f>IF(ISNA(VLOOKUP(LOWER(F1539)&amp;H1539,Prices!A:C,2,0)),0,VLOOKUP(LOWER(F1539)&amp;H1539,Prices!A:C,2,0))</f>
        <v>677.95</v>
      </c>
      <c r="W1539" s="13">
        <f t="shared" si="790"/>
        <v>26065.82160000001</v>
      </c>
      <c r="X1539" s="13">
        <f t="shared" si="791"/>
        <v>2787.9999999999995</v>
      </c>
      <c r="Y1539" s="43">
        <f t="shared" si="792"/>
        <v>0.62478000000000022</v>
      </c>
      <c r="Z1539" s="49"/>
      <c r="AA1539" s="24"/>
    </row>
    <row r="1540" spans="1:27" s="13" customFormat="1" hidden="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650.07000000000005</v>
      </c>
      <c r="V1540" s="13">
        <f>IF(ISNA(VLOOKUP(LOWER(F1540)&amp;H1540,Prices!A:C,2,0)),0,VLOOKUP(LOWER(F1540)&amp;H1540,Prices!A:C,2,0))</f>
        <v>677.95</v>
      </c>
      <c r="W1540" s="13">
        <f t="shared" si="790"/>
        <v>26050.818300000003</v>
      </c>
      <c r="X1540" s="13">
        <f t="shared" si="791"/>
        <v>2787.9999999999995</v>
      </c>
      <c r="Y1540" s="43">
        <f t="shared" si="792"/>
        <v>0.62419595782916026</v>
      </c>
      <c r="Z1540" s="49"/>
      <c r="AA1540" s="24"/>
    </row>
    <row r="1541" spans="1:27" s="13" customFormat="1" hidden="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650.07000000000005</v>
      </c>
      <c r="V1541" s="13">
        <f>IF(ISNA(VLOOKUP(LOWER(F1541)&amp;H1541,Prices!A:C,2,0)),0,VLOOKUP(LOWER(F1541)&amp;H1541,Prices!A:C,2,0))</f>
        <v>677.95</v>
      </c>
      <c r="W1541" s="13">
        <f t="shared" si="790"/>
        <v>26050.818300000003</v>
      </c>
      <c r="X1541" s="13">
        <f t="shared" si="791"/>
        <v>2787.9999999999995</v>
      </c>
      <c r="Y1541" s="43">
        <f t="shared" si="792"/>
        <v>0.62419595782916026</v>
      </c>
      <c r="Z1541" s="49"/>
      <c r="AA1541" s="24"/>
    </row>
    <row r="1542" spans="1:27" s="13" customFormat="1" hidden="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650.07000000000005</v>
      </c>
      <c r="V1542" s="13">
        <f>IF(ISNA(VLOOKUP(LOWER(F1542)&amp;H1542,Prices!A:C,2,0)),0,VLOOKUP(LOWER(F1542)&amp;H1542,Prices!A:C,2,0))</f>
        <v>677.95</v>
      </c>
      <c r="W1542" s="13">
        <f t="shared" si="790"/>
        <v>26025.812800000007</v>
      </c>
      <c r="X1542" s="13">
        <f t="shared" si="791"/>
        <v>2787.9999999999995</v>
      </c>
      <c r="Y1542" s="43">
        <f t="shared" si="792"/>
        <v>0.62322348659003846</v>
      </c>
      <c r="Z1542" s="49"/>
      <c r="AA1542" s="24"/>
    </row>
    <row r="1543" spans="1:27" s="13" customFormat="1" hidden="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73.09</v>
      </c>
      <c r="V1543" s="13">
        <f>IF(ISNA(VLOOKUP(LOWER(F1543)&amp;H1543,Prices!A:C,2,0)),0,VLOOKUP(LOWER(F1543)&amp;H1543,Prices!A:C,2,0))</f>
        <v>73.459999999999994</v>
      </c>
      <c r="W1543" s="13">
        <f t="shared" ref="W1543:W1556" si="800">IF(I1543="B",(V1543+T1543)*K1543,(V1543+T1543)*K1543)</f>
        <v>-27665.01999999999</v>
      </c>
      <c r="X1543" s="13">
        <f t="shared" ref="X1543:X1556" si="801">K1543*(V1543-U1543)</f>
        <v>-369.99999999999034</v>
      </c>
      <c r="Y1543" s="43">
        <f t="shared" ref="Y1543:Y1556" si="802">W1543/O1543</f>
        <v>-0.60338102508178826</v>
      </c>
      <c r="Z1543" s="49"/>
      <c r="AA1543" s="24"/>
    </row>
    <row r="1544" spans="1:27" s="13" customFormat="1" hidden="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15.55</v>
      </c>
      <c r="V1544" s="13">
        <f>IF(ISNA(VLOOKUP(LOWER(F1544)&amp;H1544,Prices!A:C,2,0)),0,VLOOKUP(LOWER(F1544)&amp;H1544,Prices!A:C,2,0))</f>
        <v>15.23</v>
      </c>
      <c r="W1544" s="13">
        <f t="shared" si="800"/>
        <v>22178.221819999992</v>
      </c>
      <c r="X1544" s="13">
        <f t="shared" si="801"/>
        <v>2592.0000000000023</v>
      </c>
      <c r="Y1544" s="43">
        <f t="shared" si="802"/>
        <v>0.15219855900740462</v>
      </c>
      <c r="Z1544" s="49"/>
      <c r="AA1544" s="24"/>
    </row>
    <row r="1545" spans="1:27" s="13" customFormat="1" hidden="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55.39</v>
      </c>
      <c r="V1545" s="13">
        <f>IF(ISNA(VLOOKUP(LOWER(F1545)&amp;H1545,Prices!A:C,2,0)),0,VLOOKUP(LOWER(F1545)&amp;H1545,Prices!A:C,2,0))</f>
        <v>57.19</v>
      </c>
      <c r="W1545" s="13">
        <f t="shared" si="800"/>
        <v>42838.268799999991</v>
      </c>
      <c r="X1545" s="13">
        <f t="shared" si="801"/>
        <v>2879.9999999999955</v>
      </c>
      <c r="Y1545" s="43">
        <f t="shared" si="802"/>
        <v>0.88043137125945392</v>
      </c>
      <c r="Z1545" s="49"/>
      <c r="AA1545" s="24"/>
    </row>
    <row r="1546" spans="1:27" s="13" customFormat="1" hidden="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73.09</v>
      </c>
      <c r="V1546" s="13">
        <f>IF(ISNA(VLOOKUP(LOWER(F1546)&amp;H1546,Prices!A:C,2,0)),0,VLOOKUP(LOWER(F1546)&amp;H1546,Prices!A:C,2,0))</f>
        <v>73.459999999999994</v>
      </c>
      <c r="W1546" s="13">
        <f t="shared" si="800"/>
        <v>27590.827999999994</v>
      </c>
      <c r="X1546" s="13">
        <f t="shared" si="801"/>
        <v>369.99999999999034</v>
      </c>
      <c r="Y1546" s="43">
        <f t="shared" si="802"/>
        <v>0.60163166157871772</v>
      </c>
      <c r="Z1546" s="49"/>
      <c r="AA1546" s="24"/>
    </row>
    <row r="1547" spans="1:27" s="13" customFormat="1" hidden="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55.39</v>
      </c>
      <c r="V1547" s="13">
        <f>IF(ISNA(VLOOKUP(LOWER(F1547)&amp;H1547,Prices!A:C,2,0)),0,VLOOKUP(LOWER(F1547)&amp;H1547,Prices!A:C,2,0))</f>
        <v>57.19</v>
      </c>
      <c r="W1547" s="13">
        <f t="shared" si="800"/>
        <v>43206.342400000001</v>
      </c>
      <c r="X1547" s="13">
        <f t="shared" si="801"/>
        <v>2879.9999999999955</v>
      </c>
      <c r="Y1547" s="43">
        <f t="shared" si="802"/>
        <v>0.89476355202120617</v>
      </c>
      <c r="Z1547" s="49"/>
      <c r="AA1547" s="24"/>
    </row>
    <row r="1548" spans="1:27" s="13" customFormat="1" hidden="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55.39</v>
      </c>
      <c r="V1548" s="13">
        <f>IF(ISNA(VLOOKUP(LOWER(F1548)&amp;H1548,Prices!A:C,2,0)),0,VLOOKUP(LOWER(F1548)&amp;H1548,Prices!A:C,2,0))</f>
        <v>57.19</v>
      </c>
      <c r="W1548" s="13">
        <f t="shared" si="800"/>
        <v>43222.345599999993</v>
      </c>
      <c r="X1548" s="13">
        <f t="shared" si="801"/>
        <v>2879.9999999999955</v>
      </c>
      <c r="Y1548" s="43">
        <f t="shared" si="802"/>
        <v>0.89539164733178644</v>
      </c>
      <c r="Z1548" s="49"/>
      <c r="AA1548" s="24"/>
    </row>
    <row r="1549" spans="1:27" s="13" customFormat="1" hidden="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650.07000000000005</v>
      </c>
      <c r="V1549" s="13">
        <f>IF(ISNA(VLOOKUP(LOWER(F1549)&amp;H1549,Prices!A:C,2,0)),0,VLOOKUP(LOWER(F1549)&amp;H1549,Prices!A:C,2,0))</f>
        <v>677.95</v>
      </c>
      <c r="W1549" s="13">
        <f t="shared" si="800"/>
        <v>26949.015860000003</v>
      </c>
      <c r="X1549" s="13">
        <f t="shared" si="801"/>
        <v>2787.9999999999995</v>
      </c>
      <c r="Y1549" s="43">
        <f t="shared" si="802"/>
        <v>0.65991664079143919</v>
      </c>
      <c r="Z1549" s="49"/>
      <c r="AA1549" s="24"/>
    </row>
    <row r="1550" spans="1:27" s="13" customFormat="1" hidden="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27.6</v>
      </c>
      <c r="V1550" s="13">
        <f>IF(ISNA(VLOOKUP(LOWER(F1550)&amp;H1550,Prices!A:C,2,0)),0,VLOOKUP(LOWER(F1550)&amp;H1550,Prices!A:C,2,0))</f>
        <v>27.7</v>
      </c>
      <c r="W1550" s="13">
        <f t="shared" si="800"/>
        <v>1951.462440000003</v>
      </c>
      <c r="X1550" s="13">
        <f t="shared" si="801"/>
        <v>179.99999999999616</v>
      </c>
      <c r="Y1550" s="43">
        <f t="shared" si="802"/>
        <v>4.0742044344231551E-2</v>
      </c>
      <c r="Z1550" s="49"/>
      <c r="AA1550" s="24"/>
    </row>
    <row r="1551" spans="1:27" s="13" customFormat="1" hidden="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55.39</v>
      </c>
      <c r="V1551" s="13">
        <f>IF(ISNA(VLOOKUP(LOWER(F1551)&amp;H1551,Prices!A:C,2,0)),0,VLOOKUP(LOWER(F1551)&amp;H1551,Prices!A:C,2,0))</f>
        <v>57.19</v>
      </c>
      <c r="W1551" s="13">
        <f t="shared" si="800"/>
        <v>42214.144</v>
      </c>
      <c r="X1551" s="13">
        <f t="shared" si="801"/>
        <v>2879.9999999999955</v>
      </c>
      <c r="Y1551" s="43">
        <f t="shared" si="802"/>
        <v>0.85661818181818183</v>
      </c>
      <c r="Z1551" s="49"/>
      <c r="AA1551" s="24"/>
    </row>
    <row r="1552" spans="1:27" s="13" customFormat="1" hidden="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650.07000000000005</v>
      </c>
      <c r="V1552" s="13">
        <f>IF(ISNA(VLOOKUP(LOWER(F1552)&amp;H1552,Prices!A:C,2,0)),0,VLOOKUP(LOWER(F1552)&amp;H1552,Prices!A:C,2,0))</f>
        <v>677.95</v>
      </c>
      <c r="W1552" s="13">
        <f t="shared" si="800"/>
        <v>26778.978460000002</v>
      </c>
      <c r="X1552" s="13">
        <f t="shared" si="801"/>
        <v>2787.9999999999995</v>
      </c>
      <c r="Y1552" s="43">
        <f t="shared" si="802"/>
        <v>0.65303432243275539</v>
      </c>
      <c r="Z1552" s="49"/>
      <c r="AA1552" s="24"/>
    </row>
    <row r="1553" spans="1:27" s="13" customFormat="1" hidden="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650.07000000000005</v>
      </c>
      <c r="V1553" s="13">
        <f>IF(ISNA(VLOOKUP(LOWER(F1553)&amp;H1553,Prices!A:C,2,0)),0,VLOOKUP(LOWER(F1553)&amp;H1553,Prices!A:C,2,0))</f>
        <v>677.95</v>
      </c>
      <c r="W1553" s="13">
        <f t="shared" si="800"/>
        <v>26578.934460000011</v>
      </c>
      <c r="X1553" s="13">
        <f t="shared" si="801"/>
        <v>2787.9999999999995</v>
      </c>
      <c r="Y1553" s="43">
        <f t="shared" si="802"/>
        <v>0.64501017933846216</v>
      </c>
      <c r="Z1553" s="49"/>
      <c r="AA1553" s="24"/>
    </row>
    <row r="1554" spans="1:27" s="13" customFormat="1" hidden="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650.07000000000005</v>
      </c>
      <c r="V1554" s="13">
        <f>IF(ISNA(VLOOKUP(LOWER(F1554)&amp;H1554,Prices!A:C,2,0)),0,VLOOKUP(LOWER(F1554)&amp;H1554,Prices!A:C,2,0))</f>
        <v>677.95</v>
      </c>
      <c r="W1554" s="13">
        <f t="shared" si="800"/>
        <v>26397.894640000006</v>
      </c>
      <c r="X1554" s="13">
        <f t="shared" si="801"/>
        <v>2787.9999999999995</v>
      </c>
      <c r="Y1554" s="43">
        <f t="shared" si="802"/>
        <v>0.63781517927901821</v>
      </c>
      <c r="Z1554" s="49"/>
      <c r="AA1554" s="24"/>
    </row>
    <row r="1555" spans="1:27" s="13" customFormat="1" hidden="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55.39</v>
      </c>
      <c r="V1555" s="13">
        <f>IF(ISNA(VLOOKUP(LOWER(F1555)&amp;H1555,Prices!A:C,2,0)),0,VLOOKUP(LOWER(F1555)&amp;H1555,Prices!A:C,2,0))</f>
        <v>57.19</v>
      </c>
      <c r="W1555" s="13">
        <f t="shared" si="800"/>
        <v>42102.121599999991</v>
      </c>
      <c r="X1555" s="13">
        <f t="shared" si="801"/>
        <v>2879.9999999999955</v>
      </c>
      <c r="Y1555" s="43">
        <f t="shared" si="802"/>
        <v>0.85240770975056668</v>
      </c>
      <c r="Z1555" s="49"/>
      <c r="AA1555" s="24"/>
    </row>
    <row r="1556" spans="1:27" s="13" customFormat="1" hidden="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650.07000000000005</v>
      </c>
      <c r="V1556" s="13">
        <f>IF(ISNA(VLOOKUP(LOWER(F1556)&amp;H1556,Prices!A:C,2,0)),0,VLOOKUP(LOWER(F1556)&amp;H1556,Prices!A:C,2,0))</f>
        <v>677.95</v>
      </c>
      <c r="W1556" s="13">
        <f t="shared" si="800"/>
        <v>26187.848439999998</v>
      </c>
      <c r="X1556" s="13">
        <f t="shared" si="801"/>
        <v>2787.9999999999995</v>
      </c>
      <c r="Y1556" s="43">
        <f t="shared" si="802"/>
        <v>0.62954585412760222</v>
      </c>
      <c r="Z1556" s="49"/>
      <c r="AA1556" s="24"/>
    </row>
    <row r="1557" spans="1:27" s="13" customFormat="1" hidden="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31.44</v>
      </c>
      <c r="V1557" s="13">
        <f>IF(ISNA(VLOOKUP(LOWER(F1557)&amp;H1557,Prices!A:C,2,0)),0,VLOOKUP(LOWER(F1557)&amp;H1557,Prices!A:C,2,0))</f>
        <v>32.450000000000003</v>
      </c>
      <c r="W1557" s="13">
        <f t="shared" ref="W1557:W1577" si="808">IF(I1557="B",(V1557+T1557)*K1557,(V1557+T1557)*K1557)</f>
        <v>9439.2288000000044</v>
      </c>
      <c r="X1557" s="13">
        <f t="shared" ref="X1557:X1577" si="809">K1557*(V1557-U1557)</f>
        <v>1818.0000000000027</v>
      </c>
      <c r="Y1557" s="43">
        <f t="shared" ref="Y1557:Y1577" si="810">W1557/O1557</f>
        <v>0.19279470588235303</v>
      </c>
      <c r="Z1557" s="49"/>
      <c r="AA1557" s="24"/>
    </row>
    <row r="1558" spans="1:27" s="13" customFormat="1" hidden="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40.89</v>
      </c>
      <c r="V1558" s="13">
        <f>IF(ISNA(VLOOKUP(LOWER(F1558)&amp;H1558,Prices!A:C,2,0)),0,VLOOKUP(LOWER(F1558)&amp;H1558,Prices!A:C,2,0))</f>
        <v>42.04</v>
      </c>
      <c r="W1558" s="13">
        <f t="shared" si="808"/>
        <v>15349.506000000001</v>
      </c>
      <c r="X1558" s="13">
        <f t="shared" si="809"/>
        <v>1724.999999999998</v>
      </c>
      <c r="Y1558" s="43">
        <f t="shared" si="810"/>
        <v>0.32179257861635224</v>
      </c>
      <c r="Z1558" s="49"/>
      <c r="AA1558" s="24"/>
    </row>
    <row r="1559" spans="1:27" s="13" customFormat="1" hidden="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650.07000000000005</v>
      </c>
      <c r="V1559" s="13">
        <f>IF(ISNA(VLOOKUP(LOWER(F1559)&amp;H1559,Prices!A:C,2,0)),0,VLOOKUP(LOWER(F1559)&amp;H1559,Prices!A:C,2,0))</f>
        <v>677.95</v>
      </c>
      <c r="W1559" s="13">
        <f t="shared" si="808"/>
        <v>27668.174040000002</v>
      </c>
      <c r="X1559" s="13">
        <f t="shared" si="809"/>
        <v>2787.9999999999995</v>
      </c>
      <c r="Y1559" s="43">
        <f t="shared" si="810"/>
        <v>0.68966982501620222</v>
      </c>
      <c r="Z1559" s="49"/>
      <c r="AA1559" s="24"/>
    </row>
    <row r="1560" spans="1:27" s="13" customFormat="1" hidden="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42.51</v>
      </c>
      <c r="V1560" s="13">
        <f>IF(ISNA(VLOOKUP(LOWER(F1560)&amp;H1560,Prices!A:C,2,0)),0,VLOOKUP(LOWER(F1560)&amp;H1560,Prices!A:C,2,0))</f>
        <v>44.41</v>
      </c>
      <c r="W1560" s="13">
        <f t="shared" si="808"/>
        <v>30823.19711999999</v>
      </c>
      <c r="X1560" s="13">
        <f t="shared" si="809"/>
        <v>3419.9999999999973</v>
      </c>
      <c r="Y1560" s="43">
        <f t="shared" si="810"/>
        <v>0.62771255131964787</v>
      </c>
      <c r="Z1560" s="49"/>
      <c r="AA1560" s="24"/>
    </row>
    <row r="1561" spans="1:27" s="13" customFormat="1" hidden="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31.44</v>
      </c>
      <c r="V1561" s="13">
        <f>IF(ISNA(VLOOKUP(LOWER(F1561)&amp;H1561,Prices!A:C,2,0)),0,VLOOKUP(LOWER(F1561)&amp;H1561,Prices!A:C,2,0))</f>
        <v>32.450000000000003</v>
      </c>
      <c r="W1561" s="13">
        <f t="shared" si="808"/>
        <v>9637.2723600000063</v>
      </c>
      <c r="X1561" s="13">
        <f t="shared" si="809"/>
        <v>1818.0000000000027</v>
      </c>
      <c r="Y1561" s="43">
        <f t="shared" si="810"/>
        <v>0.19763898855666309</v>
      </c>
      <c r="Z1561" s="49"/>
      <c r="AA1561" s="24"/>
    </row>
    <row r="1562" spans="1:27" s="13" customFormat="1" hidden="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31.44</v>
      </c>
      <c r="V1562" s="13">
        <f>IF(ISNA(VLOOKUP(LOWER(F1562)&amp;H1562,Prices!A:C,2,0)),0,VLOOKUP(LOWER(F1562)&amp;H1562,Prices!A:C,2,0))</f>
        <v>32.450000000000003</v>
      </c>
      <c r="W1562" s="13">
        <f t="shared" si="808"/>
        <v>9529.2486000000063</v>
      </c>
      <c r="X1562" s="13">
        <f t="shared" si="809"/>
        <v>1818.0000000000027</v>
      </c>
      <c r="Y1562" s="43">
        <f t="shared" si="810"/>
        <v>0.19499178637200751</v>
      </c>
      <c r="Z1562" s="49"/>
      <c r="AA1562" s="24"/>
    </row>
    <row r="1563" spans="1:27" s="13" customFormat="1" hidden="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31.44</v>
      </c>
      <c r="V1563" s="13">
        <f>IF(ISNA(VLOOKUP(LOWER(F1563)&amp;H1563,Prices!A:C,2,0)),0,VLOOKUP(LOWER(F1563)&amp;H1563,Prices!A:C,2,0))</f>
        <v>32.450000000000003</v>
      </c>
      <c r="W1563" s="13">
        <f t="shared" si="808"/>
        <v>9295.1971200000007</v>
      </c>
      <c r="X1563" s="13">
        <f t="shared" si="809"/>
        <v>1818.0000000000027</v>
      </c>
      <c r="Y1563" s="43">
        <f t="shared" si="810"/>
        <v>0.18929612903225809</v>
      </c>
      <c r="Z1563" s="49"/>
      <c r="AA1563" s="24"/>
    </row>
    <row r="1564" spans="1:27" s="13" customFormat="1" hidden="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31.44</v>
      </c>
      <c r="V1564" s="13">
        <f>IF(ISNA(VLOOKUP(LOWER(F1564)&amp;H1564,Prices!A:C,2,0)),0,VLOOKUP(LOWER(F1564)&amp;H1564,Prices!A:C,2,0))</f>
        <v>32.450000000000003</v>
      </c>
      <c r="W1564" s="13">
        <f t="shared" si="808"/>
        <v>9277.1931600000098</v>
      </c>
      <c r="X1564" s="13">
        <f t="shared" si="809"/>
        <v>1818.0000000000027</v>
      </c>
      <c r="Y1564" s="43">
        <f t="shared" si="810"/>
        <v>0.18886024917552238</v>
      </c>
      <c r="Z1564" s="49"/>
      <c r="AA1564" s="24"/>
    </row>
    <row r="1565" spans="1:27" s="13" customFormat="1" hidden="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31.44</v>
      </c>
      <c r="V1565" s="13">
        <f>IF(ISNA(VLOOKUP(LOWER(F1565)&amp;H1565,Prices!A:C,2,0)),0,VLOOKUP(LOWER(F1565)&amp;H1565,Prices!A:C,2,0))</f>
        <v>32.450000000000003</v>
      </c>
      <c r="W1565" s="13">
        <f t="shared" si="808"/>
        <v>9097.1535600000043</v>
      </c>
      <c r="X1565" s="13">
        <f t="shared" si="809"/>
        <v>1818.0000000000027</v>
      </c>
      <c r="Y1565" s="43">
        <f t="shared" si="810"/>
        <v>0.18451895582329325</v>
      </c>
      <c r="Z1565" s="49"/>
      <c r="AA1565" s="24"/>
    </row>
    <row r="1566" spans="1:27" s="13" customFormat="1" hidden="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43.74</v>
      </c>
      <c r="V1566" s="13">
        <f>IF(ISNA(VLOOKUP(LOWER(F1566)&amp;H1566,Prices!A:C,2,0)),0,VLOOKUP(LOWER(F1566)&amp;H1566,Prices!A:C,2,0))</f>
        <v>45.67</v>
      </c>
      <c r="W1566" s="13">
        <f t="shared" si="808"/>
        <v>24038.195200000006</v>
      </c>
      <c r="X1566" s="13">
        <f t="shared" si="809"/>
        <v>3087.9999999999995</v>
      </c>
      <c r="Y1566" s="43">
        <f t="shared" si="810"/>
        <v>0.49033524804177558</v>
      </c>
      <c r="Z1566" s="49"/>
      <c r="AA1566" s="24"/>
    </row>
    <row r="1567" spans="1:27" s="13" customFormat="1" hidden="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31.44</v>
      </c>
      <c r="V1567" s="13">
        <f>IF(ISNA(VLOOKUP(LOWER(F1567)&amp;H1567,Prices!A:C,2,0)),0,VLOOKUP(LOWER(F1567)&amp;H1567,Prices!A:C,2,0))</f>
        <v>32.450000000000003</v>
      </c>
      <c r="W1567" s="13">
        <f t="shared" si="808"/>
        <v>9295.1971200000007</v>
      </c>
      <c r="X1567" s="13">
        <f t="shared" si="809"/>
        <v>1818.0000000000027</v>
      </c>
      <c r="Y1567" s="43">
        <f t="shared" si="810"/>
        <v>0.18929612903225809</v>
      </c>
      <c r="Z1567" s="49"/>
      <c r="AA1567" s="24"/>
    </row>
    <row r="1568" spans="1:27" s="13" customFormat="1" hidden="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55.39</v>
      </c>
      <c r="V1568" s="13">
        <f>IF(ISNA(VLOOKUP(LOWER(F1568)&amp;H1568,Prices!A:C,2,0)),0,VLOOKUP(LOWER(F1568)&amp;H1568,Prices!A:C,2,0))</f>
        <v>57.19</v>
      </c>
      <c r="W1568" s="13">
        <f t="shared" si="808"/>
        <v>43574.415999999997</v>
      </c>
      <c r="X1568" s="13">
        <f t="shared" si="809"/>
        <v>2879.9999999999955</v>
      </c>
      <c r="Y1568" s="43">
        <f t="shared" si="810"/>
        <v>0.90931585976627705</v>
      </c>
      <c r="Z1568" s="49"/>
      <c r="AA1568" s="24"/>
    </row>
    <row r="1569" spans="1:27" s="13" customFormat="1" hidden="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31.44</v>
      </c>
      <c r="V1569" s="13">
        <f>IF(ISNA(VLOOKUP(LOWER(F1569)&amp;H1569,Prices!A:C,2,0)),0,VLOOKUP(LOWER(F1569)&amp;H1569,Prices!A:C,2,0))</f>
        <v>32.450000000000003</v>
      </c>
      <c r="W1569" s="13">
        <f t="shared" si="808"/>
        <v>9241.185240000008</v>
      </c>
      <c r="X1569" s="13">
        <f t="shared" si="809"/>
        <v>1818.0000000000027</v>
      </c>
      <c r="Y1569" s="43">
        <f t="shared" si="810"/>
        <v>0.18798944708897855</v>
      </c>
      <c r="Z1569" s="49"/>
      <c r="AA1569" s="24"/>
    </row>
    <row r="1570" spans="1:27" s="13" customFormat="1" hidden="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650.07000000000005</v>
      </c>
      <c r="V1570" s="13">
        <f>IF(ISNA(VLOOKUP(LOWER(F1570)&amp;H1570,Prices!A:C,2,0)),0,VLOOKUP(LOWER(F1570)&amp;H1570,Prices!A:C,2,0))</f>
        <v>677.95</v>
      </c>
      <c r="W1570" s="13">
        <f t="shared" si="808"/>
        <v>27975.241580000005</v>
      </c>
      <c r="X1570" s="13">
        <f t="shared" si="809"/>
        <v>2787.9999999999995</v>
      </c>
      <c r="Y1570" s="43">
        <f t="shared" si="810"/>
        <v>0.70270130315741897</v>
      </c>
      <c r="Z1570" s="49"/>
      <c r="AA1570" s="24"/>
    </row>
    <row r="1571" spans="1:27" s="13" customFormat="1" hidden="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55.39</v>
      </c>
      <c r="V1571" s="13">
        <f>IF(ISNA(VLOOKUP(LOWER(F1571)&amp;H1571,Prices!A:C,2,0)),0,VLOOKUP(LOWER(F1571)&amp;H1571,Prices!A:C,2,0))</f>
        <v>57.19</v>
      </c>
      <c r="W1571" s="13">
        <f t="shared" si="808"/>
        <v>43558.412799999998</v>
      </c>
      <c r="X1571" s="13">
        <f t="shared" si="809"/>
        <v>2879.9999999999955</v>
      </c>
      <c r="Y1571" s="43">
        <f t="shared" si="810"/>
        <v>0.90867850467289712</v>
      </c>
      <c r="Z1571" s="49"/>
      <c r="AA1571" s="24"/>
    </row>
    <row r="1572" spans="1:27" s="13" customFormat="1" hidden="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23.82</v>
      </c>
      <c r="V1572" s="13">
        <f>IF(ISNA(VLOOKUP(LOWER(F1572)&amp;H1572,Prices!A:C,2,0)),0,VLOOKUP(LOWER(F1572)&amp;H1572,Prices!A:C,2,0))</f>
        <v>24.39</v>
      </c>
      <c r="W1572" s="13">
        <f t="shared" si="808"/>
        <v>19884.571599999981</v>
      </c>
      <c r="X1572" s="13">
        <f t="shared" si="809"/>
        <v>-3648.0000000000018</v>
      </c>
      <c r="Y1572" s="43">
        <f t="shared" si="810"/>
        <v>0.11285740328732281</v>
      </c>
      <c r="Z1572" s="49"/>
      <c r="AA1572" s="24"/>
    </row>
    <row r="1573" spans="1:27" s="13" customFormat="1" hidden="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28.51</v>
      </c>
      <c r="V1573" s="13">
        <f>IF(ISNA(VLOOKUP(LOWER(F1573)&amp;H1573,Prices!A:C,2,0)),0,VLOOKUP(LOWER(F1573)&amp;H1573,Prices!A:C,2,0))</f>
        <v>28.93</v>
      </c>
      <c r="W1573" s="13">
        <f t="shared" si="808"/>
        <v>-63129.840799999984</v>
      </c>
      <c r="X1573" s="13">
        <f t="shared" si="809"/>
        <v>-2267.99999999999</v>
      </c>
      <c r="Y1573" s="43">
        <f t="shared" si="810"/>
        <v>-0.67732973692116194</v>
      </c>
      <c r="Z1573" s="49"/>
      <c r="AA1573" s="24"/>
    </row>
    <row r="1574" spans="1:27" s="13" customFormat="1" hidden="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18.11</v>
      </c>
      <c r="V1574" s="13">
        <f>IF(ISNA(VLOOKUP(LOWER(F1574)&amp;H1574,Prices!A:C,2,0)),0,VLOOKUP(LOWER(F1574)&amp;H1574,Prices!A:C,2,0))</f>
        <v>18.18</v>
      </c>
      <c r="W1574" s="13">
        <f t="shared" si="808"/>
        <v>13687.236399999954</v>
      </c>
      <c r="X1574" s="13">
        <f t="shared" si="809"/>
        <v>-924.00000000000375</v>
      </c>
      <c r="Y1574" s="43">
        <f t="shared" si="810"/>
        <v>5.3893547218547042E-2</v>
      </c>
      <c r="Z1574" s="49"/>
      <c r="AA1574" s="24"/>
    </row>
    <row r="1575" spans="1:27" s="13" customFormat="1" hidden="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14.51</v>
      </c>
      <c r="V1575" s="13">
        <f>IF(ISNA(VLOOKUP(LOWER(F1575)&amp;H1575,Prices!A:C,2,0)),0,VLOOKUP(LOWER(F1575)&amp;H1575,Prices!A:C,2,0))</f>
        <v>14.18</v>
      </c>
      <c r="W1575" s="13">
        <f t="shared" si="808"/>
        <v>39376.956200000051</v>
      </c>
      <c r="X1575" s="13">
        <f t="shared" si="809"/>
        <v>3927.0000000000009</v>
      </c>
      <c r="Y1575" s="43">
        <f t="shared" si="810"/>
        <v>0.18897703689128442</v>
      </c>
      <c r="Z1575" s="49"/>
      <c r="AA1575" s="24"/>
    </row>
    <row r="1576" spans="1:27" s="13" customFormat="1" hidden="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31.44</v>
      </c>
      <c r="V1576" s="13">
        <f>IF(ISNA(VLOOKUP(LOWER(F1576)&amp;H1576,Prices!A:C,2,0)),0,VLOOKUP(LOWER(F1576)&amp;H1576,Prices!A:C,2,0))</f>
        <v>32.450000000000003</v>
      </c>
      <c r="W1576" s="13">
        <f t="shared" si="808"/>
        <v>9079.1496000000006</v>
      </c>
      <c r="X1576" s="13">
        <f t="shared" si="809"/>
        <v>1818.0000000000027</v>
      </c>
      <c r="Y1576" s="43">
        <f t="shared" si="810"/>
        <v>0.18408656934306572</v>
      </c>
      <c r="Z1576" s="49"/>
      <c r="AA1576" s="24"/>
    </row>
    <row r="1577" spans="1:27" s="8" customFormat="1" hidden="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59.95</v>
      </c>
      <c r="V1577" s="8">
        <f>IF(ISNA(VLOOKUP(LOWER(F1577)&amp;H1577,Prices!A:C,2,0)),0,VLOOKUP(LOWER(F1577)&amp;H1577,Prices!A:C,2,0))</f>
        <v>59.2</v>
      </c>
      <c r="W1577" s="8">
        <f t="shared" si="808"/>
        <v>17480.474000000006</v>
      </c>
      <c r="X1577" s="8">
        <f t="shared" si="809"/>
        <v>-825</v>
      </c>
      <c r="Y1577" s="57">
        <f t="shared" si="810"/>
        <v>0.36700554272517333</v>
      </c>
      <c r="Z1577" s="58"/>
      <c r="AA1577" s="59"/>
    </row>
    <row r="1578" spans="1:27" s="13" customFormat="1" hidden="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43.74</v>
      </c>
      <c r="V1578" s="13">
        <f>IF(ISNA(VLOOKUP(LOWER(F1578)&amp;H1578,Prices!A:C,2,0)),0,VLOOKUP(LOWER(F1578)&amp;H1578,Prices!A:C,2,0))</f>
        <v>45.67</v>
      </c>
      <c r="W1578" s="13">
        <f t="shared" ref="W1578" si="815">IF(I1578="B",(V1578+T1578)*K1578,(V1578+T1578)*K1578)</f>
        <v>23606.108800000005</v>
      </c>
      <c r="X1578" s="13">
        <f t="shared" ref="X1578" si="816">K1578*(V1578-U1578)</f>
        <v>3087.9999999999995</v>
      </c>
      <c r="Y1578" s="43">
        <f t="shared" ref="Y1578" si="817">W1578/O1578</f>
        <v>0.47731536719508261</v>
      </c>
      <c r="Z1578" s="49"/>
      <c r="AA1578" s="24"/>
    </row>
    <row r="1579" spans="1:27" s="13" customFormat="1" hidden="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27.6</v>
      </c>
      <c r="V1579" s="13">
        <f>IF(ISNA(VLOOKUP(LOWER(F1579)&amp;H1579,Prices!A:C,2,0)),0,VLOOKUP(LOWER(F1579)&amp;H1579,Prices!A:C,2,0))</f>
        <v>27.7</v>
      </c>
      <c r="W1579" s="13">
        <f t="shared" ref="W1579:W1583" si="822">IF(I1579="B",(V1579+T1579)*K1579,(V1579+T1579)*K1579)</f>
        <v>2625.2198999999978</v>
      </c>
      <c r="X1579" s="13">
        <f t="shared" ref="X1579:X1582" si="823">K1579*(V1579-U1579)</f>
        <v>169.99999999999636</v>
      </c>
      <c r="Y1579" s="43">
        <f t="shared" ref="Y1579:Y1583" si="824">W1579/O1579</f>
        <v>5.9053422562141439E-2</v>
      </c>
      <c r="Z1579" s="49"/>
      <c r="AA1579" s="24"/>
    </row>
    <row r="1580" spans="1:27" s="13" customFormat="1" hidden="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27.6</v>
      </c>
      <c r="V1580" s="13">
        <f>IF(ISNA(VLOOKUP(LOWER(F1580)&amp;H1580,Prices!A:C,2,0)),0,VLOOKUP(LOWER(F1580)&amp;H1580,Prices!A:C,2,0))</f>
        <v>27.7</v>
      </c>
      <c r="W1580" s="13">
        <f t="shared" si="822"/>
        <v>2706.0191399999967</v>
      </c>
      <c r="X1580" s="13">
        <f t="shared" si="823"/>
        <v>189.99999999999596</v>
      </c>
      <c r="Y1580" s="43">
        <f t="shared" si="824"/>
        <v>5.4214716406547327E-2</v>
      </c>
      <c r="Z1580" s="49"/>
      <c r="AA1580" s="24"/>
    </row>
    <row r="1581" spans="1:27" s="13" customFormat="1" hidden="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55.39</v>
      </c>
      <c r="V1581" s="13">
        <f>IF(ISNA(VLOOKUP(LOWER(F1581)&amp;H1581,Prices!A:C,2,0)),0,VLOOKUP(LOWER(F1581)&amp;H1581,Prices!A:C,2,0))</f>
        <v>57.19</v>
      </c>
      <c r="W1581" s="13">
        <f t="shared" si="822"/>
        <v>-77677.811000000002</v>
      </c>
      <c r="X1581" s="13">
        <f t="shared" si="823"/>
        <v>-5399.9999999999918</v>
      </c>
      <c r="Y1581" s="43">
        <f t="shared" si="824"/>
        <v>-0.82631573852454654</v>
      </c>
      <c r="Z1581" s="49"/>
      <c r="AA1581" s="24"/>
    </row>
    <row r="1582" spans="1:27" s="13" customFormat="1" hidden="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27.6</v>
      </c>
      <c r="V1582" s="13">
        <f>IF(ISNA(VLOOKUP(LOWER(F1582)&amp;H1582,Prices!A:C,2,0)),0,VLOOKUP(LOWER(F1582)&amp;H1582,Prices!A:C,2,0))</f>
        <v>27.7</v>
      </c>
      <c r="W1582" s="13">
        <f t="shared" si="822"/>
        <v>2102.7142400000002</v>
      </c>
      <c r="X1582" s="13">
        <f t="shared" si="823"/>
        <v>159.99999999999659</v>
      </c>
      <c r="Y1582" s="43">
        <f t="shared" si="824"/>
        <v>4.9817907505686133E-2</v>
      </c>
      <c r="Z1582" s="49"/>
      <c r="AA1582" s="24"/>
    </row>
    <row r="1583" spans="1:27" s="13" customFormat="1" hidden="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27.6</v>
      </c>
      <c r="V1583" s="13">
        <f>IF(ISNA(VLOOKUP(LOWER(F1583)&amp;H1583,Prices!A:C,2,0)),0,VLOOKUP(LOWER(F1583)&amp;H1583,Prices!A:C,2,0))</f>
        <v>27.7</v>
      </c>
      <c r="W1583" s="13">
        <f t="shared" si="822"/>
        <v>2365.5535200000004</v>
      </c>
      <c r="X1583" s="13">
        <f>K1583*(V1583-U1583)</f>
        <v>179.99999999999616</v>
      </c>
      <c r="Y1583" s="43">
        <f t="shared" si="824"/>
        <v>4.9817907505686133E-2</v>
      </c>
      <c r="Z1583" s="49"/>
      <c r="AA1583" s="24"/>
    </row>
    <row r="1584" spans="1:27" s="13" customFormat="1" hidden="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41.35</v>
      </c>
      <c r="V1584" s="13">
        <f>IF(ISNA(VLOOKUP(LOWER(F1584)&amp;H1584,Prices!A:C,2,0)),0,VLOOKUP(LOWER(F1584)&amp;H1584,Prices!A:C,2,0))</f>
        <v>42.03</v>
      </c>
      <c r="W1584" s="13">
        <f t="shared" ref="W1584:W1585" si="829">IF(I1584="B",(V1584+T1584)*K1584,(V1584+T1584)*K1584)</f>
        <v>-6059.6159999999982</v>
      </c>
      <c r="X1584" s="13">
        <f t="shared" ref="X1584:X1585" si="830">K1584*(V1584-U1584)</f>
        <v>679.99999999999977</v>
      </c>
      <c r="Y1584" s="43">
        <f t="shared" ref="Y1584:Y1585" si="831">W1584/O1584</f>
        <v>-0.1260319467554076</v>
      </c>
      <c r="Z1584" s="49"/>
      <c r="AA1584" s="24"/>
    </row>
    <row r="1585" spans="1:27" s="13" customFormat="1" hidden="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31.44</v>
      </c>
      <c r="V1585" s="13">
        <f>IF(ISNA(VLOOKUP(LOWER(F1585)&amp;H1585,Prices!A:C,2,0)),0,VLOOKUP(LOWER(F1585)&amp;H1585,Prices!A:C,2,0))</f>
        <v>32.450000000000003</v>
      </c>
      <c r="W1585" s="13">
        <f t="shared" si="829"/>
        <v>-36933.915920000021</v>
      </c>
      <c r="X1585" s="13">
        <f t="shared" si="830"/>
        <v>-8282.0000000000127</v>
      </c>
      <c r="Y1585" s="43">
        <f t="shared" si="831"/>
        <v>-0.1609769866978156</v>
      </c>
      <c r="Z1585" s="49"/>
      <c r="AA1585" s="24"/>
    </row>
    <row r="1586" spans="1:27" s="13" customFormat="1" hidden="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650.07000000000005</v>
      </c>
      <c r="V1586" s="13">
        <f>IF(ISNA(VLOOKUP(LOWER(F1586)&amp;H1586,Prices!A:C,2,0)),0,VLOOKUP(LOWER(F1586)&amp;H1586,Prices!A:C,2,0))</f>
        <v>677.95</v>
      </c>
      <c r="W1586" s="13">
        <f t="shared" ref="W1586:W1590" si="836">IF(I1586="B",(V1586+T1586)*K1586,(V1586+T1586)*K1586)</f>
        <v>-149797.89292000004</v>
      </c>
      <c r="X1586" s="13">
        <f t="shared" ref="X1586:X1590" si="837">K1586*(V1586-U1586)</f>
        <v>-16727.999999999996</v>
      </c>
      <c r="Y1586" s="43">
        <f t="shared" ref="Y1586:Y1590" si="838">W1586/O1586</f>
        <v>-0.58222325707578348</v>
      </c>
      <c r="Z1586" s="49"/>
      <c r="AA1586" s="24"/>
    </row>
    <row r="1587" spans="1:27" s="13" customFormat="1" hidden="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42.51</v>
      </c>
      <c r="V1587" s="13">
        <f>IF(ISNA(VLOOKUP(LOWER(F1587)&amp;H1587,Prices!A:C,2,0)),0,VLOOKUP(LOWER(F1587)&amp;H1587,Prices!A:C,2,0))</f>
        <v>44.41</v>
      </c>
      <c r="W1587" s="13">
        <f t="shared" si="836"/>
        <v>-28412.939359999989</v>
      </c>
      <c r="X1587" s="13">
        <f t="shared" si="837"/>
        <v>-3419.9999999999973</v>
      </c>
      <c r="Y1587" s="43">
        <f t="shared" si="838"/>
        <v>-0.55076644490966875</v>
      </c>
      <c r="Z1587" s="49"/>
      <c r="AA1587" s="24"/>
    </row>
    <row r="1588" spans="1:27" s="13" customFormat="1" hidden="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27.6</v>
      </c>
      <c r="V1588" s="13">
        <f>IF(ISNA(VLOOKUP(LOWER(F1588)&amp;H1588,Prices!A:C,2,0)),0,VLOOKUP(LOWER(F1588)&amp;H1588,Prices!A:C,2,0))</f>
        <v>27.7</v>
      </c>
      <c r="W1588" s="13">
        <f t="shared" si="836"/>
        <v>-11547.649119999955</v>
      </c>
      <c r="X1588" s="13">
        <f t="shared" si="837"/>
        <v>-879.99999999998124</v>
      </c>
      <c r="Y1588" s="43">
        <f t="shared" si="838"/>
        <v>-4.9668162549032897E-2</v>
      </c>
      <c r="Z1588" s="49"/>
      <c r="AA1588" s="24"/>
    </row>
    <row r="1589" spans="1:27" s="13" customFormat="1" hidden="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41.35</v>
      </c>
      <c r="V1589" s="13">
        <f>IF(ISNA(VLOOKUP(LOWER(F1589)&amp;H1589,Prices!A:C,2,0)),0,VLOOKUP(LOWER(F1589)&amp;H1589,Prices!A:C,2,0))</f>
        <v>42.03</v>
      </c>
      <c r="W1589" s="13">
        <f t="shared" si="836"/>
        <v>-5889.582000000004</v>
      </c>
      <c r="X1589" s="13">
        <f t="shared" si="837"/>
        <v>679.99999999999977</v>
      </c>
      <c r="Y1589" s="43">
        <f t="shared" si="838"/>
        <v>-0.1229301189730746</v>
      </c>
      <c r="Z1589" s="49"/>
      <c r="AA1589" s="24"/>
    </row>
    <row r="1590" spans="1:27" s="13" customFormat="1" hidden="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41.35</v>
      </c>
      <c r="V1590" s="13">
        <f>IF(ISNA(VLOOKUP(LOWER(F1590)&amp;H1590,Prices!A:C,2,0)),0,VLOOKUP(LOWER(F1590)&amp;H1590,Prices!A:C,2,0))</f>
        <v>42.03</v>
      </c>
      <c r="W1590" s="13">
        <f t="shared" si="836"/>
        <v>-5799.5639999999967</v>
      </c>
      <c r="X1590" s="13">
        <f t="shared" si="837"/>
        <v>679.99999999999977</v>
      </c>
      <c r="Y1590" s="43">
        <f t="shared" si="838"/>
        <v>-0.12127904642409026</v>
      </c>
      <c r="Z1590" s="49"/>
      <c r="AA1590" s="24"/>
    </row>
    <row r="1591" spans="1:27" s="13" customFormat="1" hidden="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41.35</v>
      </c>
      <c r="V1591" s="13">
        <f>IF(ISNA(VLOOKUP(LOWER(F1591)&amp;H1591,Prices!A:C,2,0)),0,VLOOKUP(LOWER(F1591)&amp;H1591,Prices!A:C,2,0))</f>
        <v>42.03</v>
      </c>
      <c r="W1591" s="13">
        <f t="shared" ref="W1591:W1606" si="843">IF(I1591="B",(V1591+T1591)*K1591,(V1591+T1591)*K1591)</f>
        <v>-5539.5120000000024</v>
      </c>
      <c r="X1591" s="13">
        <f t="shared" ref="X1591:X1606" si="844">K1591*(V1591-U1591)</f>
        <v>679.99999999999977</v>
      </c>
      <c r="Y1591" s="43">
        <f t="shared" ref="Y1591:Y1606" si="845">W1591/O1591</f>
        <v>-0.11647417998317919</v>
      </c>
      <c r="Z1591" s="49"/>
      <c r="AA1591" s="24"/>
    </row>
    <row r="1592" spans="1:27" s="13" customFormat="1" hidden="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55.39</v>
      </c>
      <c r="V1592" s="13">
        <f>IF(ISNA(VLOOKUP(LOWER(F1592)&amp;H1592,Prices!A:C,2,0)),0,VLOOKUP(LOWER(F1592)&amp;H1592,Prices!A:C,2,0))</f>
        <v>57.19</v>
      </c>
      <c r="W1592" s="13">
        <f t="shared" si="843"/>
        <v>36006.546299999995</v>
      </c>
      <c r="X1592" s="13">
        <f t="shared" si="844"/>
        <v>2699.9999999999959</v>
      </c>
      <c r="Y1592" s="43">
        <f t="shared" si="845"/>
        <v>0.72348064136954082</v>
      </c>
      <c r="Z1592" s="49"/>
      <c r="AA1592" s="24"/>
    </row>
    <row r="1593" spans="1:27" s="13" customFormat="1" hidden="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55.39</v>
      </c>
      <c r="V1593" s="13">
        <f>IF(ISNA(VLOOKUP(LOWER(F1593)&amp;H1593,Prices!A:C,2,0)),0,VLOOKUP(LOWER(F1593)&amp;H1593,Prices!A:C,2,0))</f>
        <v>57.19</v>
      </c>
      <c r="W1593" s="13">
        <f t="shared" si="843"/>
        <v>36005.045999999995</v>
      </c>
      <c r="X1593" s="13">
        <f t="shared" si="844"/>
        <v>2699.9999999999959</v>
      </c>
      <c r="Y1593" s="43">
        <f t="shared" si="845"/>
        <v>0.72342869198312221</v>
      </c>
      <c r="Z1593" s="49"/>
      <c r="AA1593" s="24"/>
    </row>
    <row r="1594" spans="1:27" s="13" customFormat="1" hidden="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41.3</v>
      </c>
      <c r="V1594" s="13">
        <f>IF(ISNA(VLOOKUP(LOWER(F1594)&amp;H1594,Prices!A:C,2,0)),0,VLOOKUP(LOWER(F1594)&amp;H1594,Prices!A:C,2,0))</f>
        <v>42.53</v>
      </c>
      <c r="W1594" s="13">
        <f t="shared" si="843"/>
        <v>29114.514000000006</v>
      </c>
      <c r="X1594" s="13">
        <f t="shared" si="844"/>
        <v>2214.0000000000073</v>
      </c>
      <c r="Y1594" s="43">
        <f t="shared" si="845"/>
        <v>0.61384174573055039</v>
      </c>
      <c r="Z1594" s="49"/>
      <c r="AA1594" s="24"/>
    </row>
    <row r="1595" spans="1:27" s="8" customFormat="1" hidden="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27.59</v>
      </c>
      <c r="V1595" s="8">
        <f>IF(ISNA(VLOOKUP(LOWER(F1595)&amp;H1595,Prices!A:C,2,0)),0,VLOOKUP(LOWER(F1595)&amp;H1595,Prices!A:C,2,0))</f>
        <v>28.05</v>
      </c>
      <c r="W1595" s="8">
        <f t="shared" si="843"/>
        <v>10720.401720000002</v>
      </c>
      <c r="X1595" s="8">
        <f t="shared" si="844"/>
        <v>966.00000000000182</v>
      </c>
      <c r="Y1595" s="57">
        <f t="shared" si="845"/>
        <v>0.22253501307759377</v>
      </c>
      <c r="Z1595" s="58"/>
      <c r="AA1595" s="59"/>
    </row>
    <row r="1596" spans="1:27" s="8" customFormat="1" hidden="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27.59</v>
      </c>
      <c r="V1596" s="8">
        <f>IF(ISNA(VLOOKUP(LOWER(F1596)&amp;H1596,Prices!A:C,2,0)),0,VLOOKUP(LOWER(F1596)&amp;H1596,Prices!A:C,2,0))</f>
        <v>28.05</v>
      </c>
      <c r="W1596" s="8">
        <f t="shared" si="843"/>
        <v>10741.406340000007</v>
      </c>
      <c r="X1596" s="8">
        <f t="shared" si="844"/>
        <v>966.00000000000182</v>
      </c>
      <c r="Y1596" s="57">
        <f t="shared" si="845"/>
        <v>0.22306826864369836</v>
      </c>
      <c r="Z1596" s="58"/>
      <c r="AA1596" s="59"/>
    </row>
    <row r="1597" spans="1:27" s="13" customFormat="1" hidden="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41.3</v>
      </c>
      <c r="V1597" s="13">
        <f>IF(ISNA(VLOOKUP(LOWER(F1597)&amp;H1597,Prices!A:C,2,0)),0,VLOOKUP(LOWER(F1597)&amp;H1597,Prices!A:C,2,0))</f>
        <v>42.53</v>
      </c>
      <c r="W1597" s="13">
        <f t="shared" si="843"/>
        <v>29150.521200000007</v>
      </c>
      <c r="X1597" s="13">
        <f t="shared" si="844"/>
        <v>2214.0000000000073</v>
      </c>
      <c r="Y1597" s="43">
        <f t="shared" si="845"/>
        <v>0.61506775541207759</v>
      </c>
      <c r="Z1597" s="49"/>
      <c r="AA1597" s="24"/>
    </row>
    <row r="1598" spans="1:27" s="13" customFormat="1" hidden="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27.07</v>
      </c>
      <c r="V1598" s="13">
        <f>IF(ISNA(VLOOKUP(LOWER(F1598)&amp;H1598,Prices!A:C,2,0)),0,VLOOKUP(LOWER(F1598)&amp;H1598,Prices!A:C,2,0))</f>
        <v>27.07</v>
      </c>
      <c r="W1598" s="13">
        <f t="shared" si="843"/>
        <v>16429.323840000001</v>
      </c>
      <c r="X1598" s="13">
        <f t="shared" si="844"/>
        <v>0</v>
      </c>
      <c r="Y1598" s="43">
        <f t="shared" si="845"/>
        <v>0.33855349159248271</v>
      </c>
      <c r="Z1598" s="49"/>
      <c r="AA1598" s="24"/>
    </row>
    <row r="1599" spans="1:27" s="8" customFormat="1" hidden="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32.79</v>
      </c>
      <c r="V1599" s="8">
        <f>IF(ISNA(VLOOKUP(LOWER(F1599)&amp;H1599,Prices!A:C,2,0)),0,VLOOKUP(LOWER(F1599)&amp;H1599,Prices!A:C,2,0))</f>
        <v>34.03</v>
      </c>
      <c r="W1599" s="8">
        <f t="shared" si="843"/>
        <v>13795.561439999999</v>
      </c>
      <c r="X1599" s="8">
        <f t="shared" si="844"/>
        <v>2232.0000000000036</v>
      </c>
      <c r="Y1599" s="57">
        <f t="shared" si="845"/>
        <v>0.29075116843702581</v>
      </c>
      <c r="Z1599" s="58"/>
      <c r="AA1599" s="59"/>
    </row>
    <row r="1600" spans="1:27" s="13" customFormat="1" hidden="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41.35</v>
      </c>
      <c r="V1600" s="13">
        <f>IF(ISNA(VLOOKUP(LOWER(F1600)&amp;H1600,Prices!A:C,2,0)),0,VLOOKUP(LOWER(F1600)&amp;H1600,Prices!A:C,2,0))</f>
        <v>42.03</v>
      </c>
      <c r="W1600" s="13">
        <f t="shared" si="843"/>
        <v>-5279.46</v>
      </c>
      <c r="X1600" s="13">
        <f t="shared" si="844"/>
        <v>679.99999999999977</v>
      </c>
      <c r="Y1600" s="43">
        <f t="shared" si="845"/>
        <v>-0.11161649048625794</v>
      </c>
      <c r="Z1600" s="49"/>
      <c r="AA1600" s="24"/>
    </row>
    <row r="1601" spans="1:27" s="13" customFormat="1" hidden="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27.07</v>
      </c>
      <c r="V1601" s="13">
        <f>IF(ISNA(VLOOKUP(LOWER(F1601)&amp;H1601,Prices!A:C,2,0)),0,VLOOKUP(LOWER(F1601)&amp;H1601,Prices!A:C,2,0))</f>
        <v>27.07</v>
      </c>
      <c r="W1601" s="13">
        <f t="shared" si="843"/>
        <v>16429.323840000001</v>
      </c>
      <c r="X1601" s="13">
        <f t="shared" si="844"/>
        <v>0</v>
      </c>
      <c r="Y1601" s="43">
        <f t="shared" si="845"/>
        <v>0.33855349159248271</v>
      </c>
      <c r="Z1601" s="49"/>
      <c r="AA1601" s="24"/>
    </row>
    <row r="1602" spans="1:27" s="8" customFormat="1" hidden="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32.79</v>
      </c>
      <c r="V1602" s="8">
        <f>IF(ISNA(VLOOKUP(LOWER(F1602)&amp;H1602,Prices!A:C,2,0)),0,VLOOKUP(LOWER(F1602)&amp;H1602,Prices!A:C,2,0))</f>
        <v>34.03</v>
      </c>
      <c r="W1602" s="8">
        <f t="shared" si="843"/>
        <v>13543.506000000003</v>
      </c>
      <c r="X1602" s="8">
        <f t="shared" si="844"/>
        <v>2232.0000000000036</v>
      </c>
      <c r="Y1602" s="57">
        <f t="shared" si="845"/>
        <v>0.28393094339622649</v>
      </c>
      <c r="Z1602" s="58"/>
      <c r="AA1602" s="59"/>
    </row>
    <row r="1603" spans="1:27" s="8" customFormat="1" hidden="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32.79</v>
      </c>
      <c r="V1603" s="8">
        <f>IF(ISNA(VLOOKUP(LOWER(F1603)&amp;H1603,Prices!A:C,2,0)),0,VLOOKUP(LOWER(F1603)&amp;H1603,Prices!A:C,2,0))</f>
        <v>34.03</v>
      </c>
      <c r="W1603" s="8">
        <f t="shared" si="843"/>
        <v>13435.482240000003</v>
      </c>
      <c r="X1603" s="8">
        <f t="shared" si="844"/>
        <v>2232.0000000000036</v>
      </c>
      <c r="Y1603" s="57">
        <f t="shared" si="845"/>
        <v>0.28103000000000006</v>
      </c>
      <c r="Z1603" s="58"/>
      <c r="AA1603" s="59"/>
    </row>
    <row r="1604" spans="1:27" s="13" customFormat="1" hidden="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27.07</v>
      </c>
      <c r="V1604" s="13">
        <f>IF(ISNA(VLOOKUP(LOWER(F1604)&amp;H1604,Prices!A:C,2,0)),0,VLOOKUP(LOWER(F1604)&amp;H1604,Prices!A:C,2,0))</f>
        <v>27.07</v>
      </c>
      <c r="W1604" s="13">
        <f t="shared" si="843"/>
        <v>16021.234080000006</v>
      </c>
      <c r="X1604" s="13">
        <f t="shared" si="844"/>
        <v>0</v>
      </c>
      <c r="Y1604" s="43">
        <f t="shared" si="845"/>
        <v>0.32739157430112814</v>
      </c>
      <c r="Z1604" s="49"/>
      <c r="AA1604" s="24"/>
    </row>
    <row r="1605" spans="1:27" s="13" customFormat="1" hidden="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55.39</v>
      </c>
      <c r="V1605" s="13">
        <f>IF(ISNA(VLOOKUP(LOWER(F1605)&amp;H1605,Prices!A:C,2,0)),0,VLOOKUP(LOWER(F1605)&amp;H1605,Prices!A:C,2,0))</f>
        <v>57.19</v>
      </c>
      <c r="W1605" s="13">
        <f t="shared" si="843"/>
        <v>-97317.660399999964</v>
      </c>
      <c r="X1605" s="13">
        <f t="shared" si="844"/>
        <v>-7559.9999999999882</v>
      </c>
      <c r="Y1605" s="43">
        <f t="shared" si="845"/>
        <v>-0.68029569946592827</v>
      </c>
      <c r="Z1605" s="49"/>
      <c r="AA1605" s="24"/>
    </row>
    <row r="1606" spans="1:27" s="13" customFormat="1" hidden="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41.35</v>
      </c>
      <c r="V1606" s="13">
        <f>IF(ISNA(VLOOKUP(LOWER(F1606)&amp;H1606,Prices!A:C,2,0)),0,VLOOKUP(LOWER(F1606)&amp;H1606,Prices!A:C,2,0))</f>
        <v>42.03</v>
      </c>
      <c r="W1606" s="13">
        <f t="shared" si="843"/>
        <v>-6279.66</v>
      </c>
      <c r="X1606" s="13">
        <f t="shared" si="844"/>
        <v>679.99999999999977</v>
      </c>
      <c r="Y1606" s="43">
        <f t="shared" si="845"/>
        <v>-0.13001366459627328</v>
      </c>
      <c r="Z1606" s="49"/>
      <c r="AA1606" s="24"/>
    </row>
    <row r="1607" spans="1:27" s="13" customFormat="1" hidden="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41.35</v>
      </c>
      <c r="V1607" s="13">
        <f>IF(ISNA(VLOOKUP(LOWER(F1607)&amp;H1607,Prices!A:C,2,0)),0,VLOOKUP(LOWER(F1607)&amp;H1607,Prices!A:C,2,0))</f>
        <v>42.03</v>
      </c>
      <c r="W1607" s="13">
        <f t="shared" ref="W1607:W1609" si="853">IF(I1607="B",(V1607+T1607)*K1607,(V1607+T1607)*K1607)</f>
        <v>-3977.1995999999986</v>
      </c>
      <c r="X1607" s="13">
        <f t="shared" ref="X1607:X1609" si="854">K1607*(V1607-U1607)</f>
        <v>679.99999999999977</v>
      </c>
      <c r="Y1607" s="43">
        <f t="shared" ref="Y1607:Y1609" si="855">W1607/O1607</f>
        <v>-8.6464620200878264E-2</v>
      </c>
      <c r="Z1607" s="49"/>
      <c r="AA1607" s="24"/>
    </row>
    <row r="1608" spans="1:27" s="13" customFormat="1" hidden="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40.89</v>
      </c>
      <c r="V1608" s="13">
        <f>IF(ISNA(VLOOKUP(LOWER(F1608)&amp;H1608,Prices!A:C,2,0)),0,VLOOKUP(LOWER(F1608)&amp;H1608,Prices!A:C,2,0))</f>
        <v>42.04</v>
      </c>
      <c r="W1608" s="13">
        <f t="shared" si="853"/>
        <v>-13410.646200000003</v>
      </c>
      <c r="X1608" s="13">
        <f t="shared" si="854"/>
        <v>-1724.999999999998</v>
      </c>
      <c r="Y1608" s="43">
        <f t="shared" si="855"/>
        <v>-0.26977763427881718</v>
      </c>
      <c r="Z1608" s="49"/>
      <c r="AA1608" s="24"/>
    </row>
    <row r="1609" spans="1:27" s="8" customFormat="1" hidden="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27.59</v>
      </c>
      <c r="V1609" s="8">
        <f>IF(ISNA(VLOOKUP(LOWER(F1609)&amp;H1609,Prices!A:C,2,0)),0,VLOOKUP(LOWER(F1609)&amp;H1609,Prices!A:C,2,0))</f>
        <v>28.05</v>
      </c>
      <c r="W1609" s="8">
        <f t="shared" si="853"/>
        <v>10609.994400000005</v>
      </c>
      <c r="X1609" s="8">
        <f t="shared" si="854"/>
        <v>920.00000000000171</v>
      </c>
      <c r="Y1609" s="57">
        <f t="shared" si="855"/>
        <v>0.23328923482849614</v>
      </c>
      <c r="Z1609" s="58"/>
      <c r="AA1609" s="59"/>
    </row>
    <row r="1610" spans="1:27" s="13" customFormat="1" hidden="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41.35</v>
      </c>
      <c r="V1610" s="13">
        <f>IF(ISNA(VLOOKUP(LOWER(F1610)&amp;H1610,Prices!A:C,2,0)),0,VLOOKUP(LOWER(F1610)&amp;H1610,Prices!A:C,2,0))</f>
        <v>42.03</v>
      </c>
      <c r="W1610" s="13">
        <f t="shared" ref="W1610" si="860">IF(I1610="B",(V1610+T1610)*K1610,(V1610+T1610)*K1610)</f>
        <v>20693.399999999994</v>
      </c>
      <c r="X1610" s="13">
        <f t="shared" ref="X1610" si="861">K1610*(V1610-U1610)</f>
        <v>-2379.9999999999991</v>
      </c>
      <c r="Y1610" s="43">
        <f t="shared" ref="Y1610" si="862">W1610/O1610</f>
        <v>0.12317499999999997</v>
      </c>
      <c r="Z1610" s="49"/>
      <c r="AA1610" s="24"/>
    </row>
    <row r="1611" spans="1:27" s="13" customFormat="1" hidden="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27.6</v>
      </c>
      <c r="V1611" s="13">
        <f>IF(ISNA(VLOOKUP(LOWER(F1611)&amp;H1611,Prices!A:C,2,0)),0,VLOOKUP(LOWER(F1611)&amp;H1611,Prices!A:C,2,0))</f>
        <v>27.7</v>
      </c>
      <c r="W1611" s="13">
        <f t="shared" ref="W1611:W1613" si="868">IF(I1611="B",(V1611+T1611)*K1611,(V1611+T1611)*K1611)</f>
        <v>3352.1612599999967</v>
      </c>
      <c r="X1611" s="13">
        <f t="shared" ref="X1611:X1613" si="869">K1611*(V1611-U1611)</f>
        <v>189.99999999999596</v>
      </c>
      <c r="Y1611" s="43">
        <f t="shared" ref="Y1611:Y1613" si="870">W1611/O1611</f>
        <v>6.8040701889702973E-2</v>
      </c>
      <c r="Z1611" s="49"/>
      <c r="AA1611" s="24"/>
    </row>
    <row r="1612" spans="1:27" s="13" customFormat="1" hidden="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27.6</v>
      </c>
      <c r="V1612" s="13">
        <f>IF(ISNA(VLOOKUP(LOWER(F1612)&amp;H1612,Prices!A:C,2,0)),0,VLOOKUP(LOWER(F1612)&amp;H1612,Prices!A:C,2,0))</f>
        <v>27.7</v>
      </c>
      <c r="W1612" s="13">
        <f t="shared" si="868"/>
        <v>3257.140359999994</v>
      </c>
      <c r="X1612" s="13">
        <f t="shared" si="869"/>
        <v>189.99999999999596</v>
      </c>
      <c r="Y1612" s="43">
        <f t="shared" si="870"/>
        <v>6.5984772902232369E-2</v>
      </c>
      <c r="Z1612" s="49"/>
      <c r="AA1612" s="24"/>
    </row>
    <row r="1613" spans="1:27" s="13" customFormat="1" hidden="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27.6</v>
      </c>
      <c r="V1613" s="13">
        <f>IF(ISNA(VLOOKUP(LOWER(F1613)&amp;H1613,Prices!A:C,2,0)),0,VLOOKUP(LOWER(F1613)&amp;H1613,Prices!A:C,2,0))</f>
        <v>27.7</v>
      </c>
      <c r="W1613" s="13">
        <f t="shared" si="868"/>
        <v>3010.086020000002</v>
      </c>
      <c r="X1613" s="13">
        <f t="shared" si="869"/>
        <v>189.99999999999596</v>
      </c>
      <c r="Y1613" s="43">
        <f t="shared" si="870"/>
        <v>6.0676208349291501E-2</v>
      </c>
      <c r="Z1613" s="49"/>
      <c r="AA1613" s="24"/>
    </row>
    <row r="1614" spans="1:27" s="13" customFormat="1" hidden="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41.35</v>
      </c>
      <c r="V1614" s="13">
        <f>IF(ISNA(VLOOKUP(LOWER(F1614)&amp;H1614,Prices!A:C,2,0)),0,VLOOKUP(LOWER(F1614)&amp;H1614,Prices!A:C,2,0))</f>
        <v>42.03</v>
      </c>
      <c r="W1614" s="13">
        <f t="shared" ref="W1614:W1621" si="875">IF(I1614="B",(V1614+T1614)*K1614,(V1614+T1614)*K1614)</f>
        <v>-5862.4170000000004</v>
      </c>
      <c r="X1614" s="13">
        <f t="shared" ref="X1614:X1621" si="876">K1614*(V1614-U1614)</f>
        <v>747.99999999999966</v>
      </c>
      <c r="Y1614" s="43">
        <f t="shared" ref="Y1614:Y1621" si="877">W1614/O1614</f>
        <v>-0.11255480464625132</v>
      </c>
      <c r="Z1614" s="49"/>
      <c r="AA1614" s="24"/>
    </row>
    <row r="1615" spans="1:27" s="8" customFormat="1" hidden="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59.95</v>
      </c>
      <c r="V1615" s="8">
        <f>IF(ISNA(VLOOKUP(LOWER(F1615)&amp;H1615,Prices!A:C,2,0)),0,VLOOKUP(LOWER(F1615)&amp;H1615,Prices!A:C,2,0))</f>
        <v>59.2</v>
      </c>
      <c r="W1615" s="8">
        <f t="shared" si="875"/>
        <v>-14020.392200000002</v>
      </c>
      <c r="X1615" s="8">
        <f t="shared" si="876"/>
        <v>825</v>
      </c>
      <c r="Y1615" s="57">
        <f t="shared" si="877"/>
        <v>-0.27404453001309598</v>
      </c>
      <c r="Z1615" s="58"/>
      <c r="AA1615" s="59"/>
    </row>
    <row r="1616" spans="1:27" s="8" customFormat="1" hidden="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59.95</v>
      </c>
      <c r="V1616" s="8">
        <f>IF(ISNA(VLOOKUP(LOWER(F1616)&amp;H1616,Prices!A:C,2,0)),0,VLOOKUP(LOWER(F1616)&amp;H1616,Prices!A:C,2,0))</f>
        <v>59.2</v>
      </c>
      <c r="W1616" s="8">
        <f t="shared" si="875"/>
        <v>6810.0000000000018</v>
      </c>
      <c r="X1616" s="8">
        <f t="shared" si="876"/>
        <v>-375</v>
      </c>
      <c r="Y1616" s="57">
        <f t="shared" si="877"/>
        <v>0.2988808426596446</v>
      </c>
      <c r="Z1616" s="58"/>
      <c r="AA1616" s="59"/>
    </row>
    <row r="1617" spans="1:27" s="13" customFormat="1" hidden="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27.6</v>
      </c>
      <c r="V1617" s="13">
        <f>IF(ISNA(VLOOKUP(LOWER(F1617)&amp;H1617,Prices!A:C,2,0)),0,VLOOKUP(LOWER(F1617)&amp;H1617,Prices!A:C,2,0))</f>
        <v>27.7</v>
      </c>
      <c r="W1617" s="13">
        <f t="shared" si="875"/>
        <v>4758.4705799999974</v>
      </c>
      <c r="X1617" s="13">
        <f t="shared" si="876"/>
        <v>189.99999999999596</v>
      </c>
      <c r="Y1617" s="43">
        <f t="shared" si="877"/>
        <v>9.9422715363239322E-2</v>
      </c>
      <c r="Z1617" s="49"/>
      <c r="AA1617" s="24"/>
    </row>
    <row r="1618" spans="1:27" s="8" customFormat="1" hidden="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27.59</v>
      </c>
      <c r="V1618" s="8">
        <f>IF(ISNA(VLOOKUP(LOWER(F1618)&amp;H1618,Prices!A:C,2,0)),0,VLOOKUP(LOWER(F1618)&amp;H1618,Prices!A:C,2,0))</f>
        <v>28.05</v>
      </c>
      <c r="W1618" s="8">
        <f t="shared" si="875"/>
        <v>-13822.328840000002</v>
      </c>
      <c r="X1618" s="8">
        <f t="shared" si="876"/>
        <v>-1426.0000000000027</v>
      </c>
      <c r="Y1618" s="57">
        <f t="shared" si="877"/>
        <v>-0.18877289393898011</v>
      </c>
      <c r="Z1618" s="58"/>
      <c r="AA1618" s="59"/>
    </row>
    <row r="1619" spans="1:27" s="13" customFormat="1" hidden="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27.6</v>
      </c>
      <c r="V1619" s="13">
        <f>IF(ISNA(VLOOKUP(LOWER(F1619)&amp;H1619,Prices!A:C,2,0)),0,VLOOKUP(LOWER(F1619)&amp;H1619,Prices!A:C,2,0))</f>
        <v>27.7</v>
      </c>
      <c r="W1619" s="13">
        <f t="shared" si="875"/>
        <v>3053.3604000000009</v>
      </c>
      <c r="X1619" s="13">
        <f t="shared" si="876"/>
        <v>119.99999999999744</v>
      </c>
      <c r="Y1619" s="43">
        <f t="shared" si="877"/>
        <v>0.10117165009940361</v>
      </c>
      <c r="Z1619" s="49"/>
      <c r="AA1619" s="24"/>
    </row>
    <row r="1620" spans="1:27" s="13" customFormat="1" hidden="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27.6</v>
      </c>
      <c r="V1620" s="13">
        <f>IF(ISNA(VLOOKUP(LOWER(F1620)&amp;H1620,Prices!A:C,2,0)),0,VLOOKUP(LOWER(F1620)&amp;H1620,Prices!A:C,2,0))</f>
        <v>27.7</v>
      </c>
      <c r="W1620" s="13">
        <f t="shared" si="875"/>
        <v>4587.4329600000028</v>
      </c>
      <c r="X1620" s="13">
        <f t="shared" si="876"/>
        <v>189.99999999999596</v>
      </c>
      <c r="Y1620" s="43">
        <f t="shared" si="877"/>
        <v>9.5507848101265877E-2</v>
      </c>
      <c r="Z1620" s="49"/>
      <c r="AA1620" s="24"/>
    </row>
    <row r="1621" spans="1:27" s="13" customFormat="1" hidden="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27.07</v>
      </c>
      <c r="V1621" s="13">
        <f>IF(ISNA(VLOOKUP(LOWER(F1621)&amp;H1621,Prices!A:C,2,0)),0,VLOOKUP(LOWER(F1621)&amp;H1621,Prices!A:C,2,0))</f>
        <v>27.07</v>
      </c>
      <c r="W1621" s="13">
        <f t="shared" si="875"/>
        <v>-20721.721279999994</v>
      </c>
      <c r="X1621" s="13">
        <f t="shared" si="876"/>
        <v>0</v>
      </c>
      <c r="Y1621" s="43">
        <f t="shared" si="877"/>
        <v>-0.26972978860772667</v>
      </c>
      <c r="Z1621" s="49"/>
      <c r="AA1621" s="24"/>
    </row>
    <row r="1622" spans="1:27" s="13" customFormat="1" hidden="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27.6</v>
      </c>
      <c r="V1622" s="13">
        <f>IF(ISNA(VLOOKUP(LOWER(F1622)&amp;H1622,Prices!A:C,2,0)),0,VLOOKUP(LOWER(F1622)&amp;H1622,Prices!A:C,2,0))</f>
        <v>27.7</v>
      </c>
      <c r="W1622" s="13">
        <f t="shared" ref="W1622" si="882">IF(I1622="B",(V1622+T1622)*K1622,(V1622+T1622)*K1622)</f>
        <v>2199.5454999999984</v>
      </c>
      <c r="X1622" s="13">
        <f t="shared" ref="X1622" si="883">K1622*(V1622-U1622)</f>
        <v>89.999999999998082</v>
      </c>
      <c r="Y1622" s="43">
        <f t="shared" ref="Y1622" si="884">W1622/O1622</f>
        <v>9.6789680968096731E-2</v>
      </c>
      <c r="Z1622" s="49"/>
      <c r="AA1622" s="24"/>
    </row>
    <row r="1623" spans="1:27" s="13" customFormat="1" hidden="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55.39</v>
      </c>
      <c r="V1623" s="13">
        <f>IF(ISNA(VLOOKUP(LOWER(F1623)&amp;H1623,Prices!A:C,2,0)),0,VLOOKUP(LOWER(F1623)&amp;H1623,Prices!A:C,2,0))</f>
        <v>57.19</v>
      </c>
      <c r="W1623" s="13">
        <f t="shared" ref="W1623:W1637" si="889">IF(I1623="B",(V1623+T1623)*K1623,(V1623+T1623)*K1623)</f>
        <v>-84454.01999999999</v>
      </c>
      <c r="X1623" s="13">
        <f t="shared" ref="X1623:X1637" si="890">K1623*(V1623-U1623)</f>
        <v>-6299.99999999999</v>
      </c>
      <c r="Y1623" s="43">
        <f t="shared" ref="Y1623:Y1637" si="891">W1623/O1623</f>
        <v>-0.72899456193353462</v>
      </c>
      <c r="Z1623" s="49"/>
      <c r="AA1623" s="24"/>
    </row>
    <row r="1624" spans="1:27" s="13" customFormat="1" hidden="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73.09</v>
      </c>
      <c r="V1624" s="13">
        <f>IF(ISNA(VLOOKUP(LOWER(F1624)&amp;H1624,Prices!A:C,2,0)),0,VLOOKUP(LOWER(F1624)&amp;H1624,Prices!A:C,2,0))</f>
        <v>73.459999999999994</v>
      </c>
      <c r="W1624" s="13">
        <f t="shared" si="889"/>
        <v>-24818.439999999988</v>
      </c>
      <c r="X1624" s="13">
        <f t="shared" si="890"/>
        <v>-369.99999999999034</v>
      </c>
      <c r="Y1624" s="43">
        <f t="shared" si="891"/>
        <v>-0.50961889117043091</v>
      </c>
      <c r="Z1624" s="49"/>
      <c r="AA1624" s="24"/>
    </row>
    <row r="1625" spans="1:27" s="8" customFormat="1" hidden="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59.95</v>
      </c>
      <c r="V1625" s="8">
        <f>IF(ISNA(VLOOKUP(LOWER(F1625)&amp;H1625,Prices!A:C,2,0)),0,VLOOKUP(LOWER(F1625)&amp;H1625,Prices!A:C,2,0))</f>
        <v>59.2</v>
      </c>
      <c r="W1625" s="8">
        <f t="shared" si="889"/>
        <v>12740.71</v>
      </c>
      <c r="X1625" s="8">
        <f t="shared" si="890"/>
        <v>-750</v>
      </c>
      <c r="Y1625" s="57">
        <f t="shared" si="891"/>
        <v>0.27428869752421958</v>
      </c>
      <c r="Z1625" s="58"/>
      <c r="AA1625" s="59"/>
    </row>
    <row r="1626" spans="1:27" s="8" customFormat="1" hidden="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59.95</v>
      </c>
      <c r="V1626" s="8">
        <f>IF(ISNA(VLOOKUP(LOWER(F1626)&amp;H1626,Prices!A:C,2,0)),0,VLOOKUP(LOWER(F1626)&amp;H1626,Prices!A:C,2,0))</f>
        <v>59.2</v>
      </c>
      <c r="W1626" s="8">
        <f t="shared" si="889"/>
        <v>12770.716</v>
      </c>
      <c r="X1626" s="8">
        <f t="shared" si="890"/>
        <v>-750</v>
      </c>
      <c r="Y1626" s="57">
        <f t="shared" si="891"/>
        <v>0.27511236535975875</v>
      </c>
      <c r="Z1626" s="58"/>
      <c r="AA1626" s="59"/>
    </row>
    <row r="1627" spans="1:27" s="8" customFormat="1" hidden="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59.95</v>
      </c>
      <c r="V1627" s="8">
        <f>IF(ISNA(VLOOKUP(LOWER(F1627)&amp;H1627,Prices!A:C,2,0)),0,VLOOKUP(LOWER(F1627)&amp;H1627,Prices!A:C,2,0))</f>
        <v>59.2</v>
      </c>
      <c r="W1627" s="8">
        <f t="shared" si="889"/>
        <v>12740.71</v>
      </c>
      <c r="X1627" s="8">
        <f t="shared" si="890"/>
        <v>-750</v>
      </c>
      <c r="Y1627" s="57">
        <f t="shared" si="891"/>
        <v>0.27428869752421958</v>
      </c>
      <c r="Z1627" s="58"/>
      <c r="AA1627" s="59"/>
    </row>
    <row r="1628" spans="1:27" s="8" customFormat="1" hidden="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59.95</v>
      </c>
      <c r="V1628" s="8">
        <f>IF(ISNA(VLOOKUP(LOWER(F1628)&amp;H1628,Prices!A:C,2,0)),0,VLOOKUP(LOWER(F1628)&amp;H1628,Prices!A:C,2,0))</f>
        <v>59.2</v>
      </c>
      <c r="W1628" s="8">
        <f t="shared" si="889"/>
        <v>12760.714</v>
      </c>
      <c r="X1628" s="8">
        <f t="shared" si="890"/>
        <v>-750</v>
      </c>
      <c r="Y1628" s="57">
        <f t="shared" si="891"/>
        <v>0.27483769114796469</v>
      </c>
      <c r="Z1628" s="58"/>
      <c r="AA1628" s="59"/>
    </row>
    <row r="1629" spans="1:27" s="13" customFormat="1" hidden="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41.35</v>
      </c>
      <c r="V1629" s="13">
        <f>IF(ISNA(VLOOKUP(LOWER(F1629)&amp;H1629,Prices!A:C,2,0)),0,VLOOKUP(LOWER(F1629)&amp;H1629,Prices!A:C,2,0))</f>
        <v>42.03</v>
      </c>
      <c r="W1629" s="13">
        <f t="shared" si="889"/>
        <v>31699.628400000016</v>
      </c>
      <c r="X1629" s="13">
        <f t="shared" si="890"/>
        <v>-3127.9999999999986</v>
      </c>
      <c r="Y1629" s="43">
        <f t="shared" si="891"/>
        <v>0.14069464200117179</v>
      </c>
      <c r="Z1629" s="49"/>
      <c r="AA1629" s="24"/>
    </row>
    <row r="1630" spans="1:27" s="13" customFormat="1" hidden="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41.3</v>
      </c>
      <c r="V1630" s="13">
        <f>IF(ISNA(VLOOKUP(LOWER(F1630)&amp;H1630,Prices!A:C,2,0)),0,VLOOKUP(LOWER(F1630)&amp;H1630,Prices!A:C,2,0))</f>
        <v>42.53</v>
      </c>
      <c r="W1630" s="13">
        <f t="shared" si="889"/>
        <v>27386.168400000002</v>
      </c>
      <c r="X1630" s="13">
        <f t="shared" si="890"/>
        <v>2214.0000000000073</v>
      </c>
      <c r="Y1630" s="43">
        <f t="shared" si="891"/>
        <v>0.55710501647748079</v>
      </c>
      <c r="Z1630" s="49"/>
      <c r="AA1630" s="24"/>
    </row>
    <row r="1631" spans="1:27" s="13" customFormat="1" hidden="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27.07</v>
      </c>
      <c r="V1631" s="13">
        <f>IF(ISNA(VLOOKUP(LOWER(F1631)&amp;H1631,Prices!A:C,2,0)),0,VLOOKUP(LOWER(F1631)&amp;H1631,Prices!A:C,2,0))</f>
        <v>27.07</v>
      </c>
      <c r="W1631" s="13">
        <f t="shared" si="889"/>
        <v>-7502.3502799999969</v>
      </c>
      <c r="X1631" s="13">
        <f t="shared" si="890"/>
        <v>0</v>
      </c>
      <c r="Y1631" s="43">
        <f t="shared" si="891"/>
        <v>-0.18176940156030424</v>
      </c>
      <c r="Z1631" s="49"/>
      <c r="AA1631" s="24"/>
    </row>
    <row r="1632" spans="1:27" s="13" customFormat="1" hidden="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55.39</v>
      </c>
      <c r="V1632" s="13">
        <f>IF(ISNA(VLOOKUP(LOWER(F1632)&amp;H1632,Prices!A:C,2,0)),0,VLOOKUP(LOWER(F1632)&amp;H1632,Prices!A:C,2,0))</f>
        <v>57.19</v>
      </c>
      <c r="W1632" s="13">
        <f t="shared" si="889"/>
        <v>37310.306999999993</v>
      </c>
      <c r="X1632" s="13">
        <f t="shared" si="890"/>
        <v>2699.9999999999959</v>
      </c>
      <c r="Y1632" s="43">
        <f t="shared" si="891"/>
        <v>0.76984023522129363</v>
      </c>
      <c r="Z1632" s="49"/>
      <c r="AA1632" s="24"/>
    </row>
    <row r="1633" spans="1:27" s="8" customFormat="1" hidden="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32.79</v>
      </c>
      <c r="V1633" s="8">
        <f>IF(ISNA(VLOOKUP(LOWER(F1633)&amp;H1633,Prices!A:C,2,0)),0,VLOOKUP(LOWER(F1633)&amp;H1633,Prices!A:C,2,0))</f>
        <v>34.03</v>
      </c>
      <c r="W1633" s="8">
        <f t="shared" si="889"/>
        <v>-14674.306220000002</v>
      </c>
      <c r="X1633" s="8">
        <f t="shared" si="890"/>
        <v>-3348.0000000000055</v>
      </c>
      <c r="Y1633" s="57">
        <f t="shared" si="891"/>
        <v>-0.18983332971112926</v>
      </c>
      <c r="Z1633" s="58"/>
      <c r="AA1633" s="59"/>
    </row>
    <row r="1634" spans="1:27" s="13" customFormat="1" hidden="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27.6</v>
      </c>
      <c r="V1634" s="13">
        <f>IF(ISNA(VLOOKUP(LOWER(F1634)&amp;H1634,Prices!A:C,2,0)),0,VLOOKUP(LOWER(F1634)&amp;H1634,Prices!A:C,2,0))</f>
        <v>27.7</v>
      </c>
      <c r="W1634" s="13">
        <f t="shared" si="889"/>
        <v>5388.9999999999955</v>
      </c>
      <c r="X1634" s="13">
        <f t="shared" si="890"/>
        <v>199.99999999999574</v>
      </c>
      <c r="Y1634" s="43">
        <f t="shared" si="891"/>
        <v>0.1077799999999999</v>
      </c>
      <c r="Z1634" s="49"/>
      <c r="AA1634" s="24"/>
    </row>
    <row r="1635" spans="1:27" s="8" customFormat="1" hidden="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59.95</v>
      </c>
      <c r="V1635" s="8">
        <f>IF(ISNA(VLOOKUP(LOWER(F1635)&amp;H1635,Prices!A:C,2,0)),0,VLOOKUP(LOWER(F1635)&amp;H1635,Prices!A:C,2,0))</f>
        <v>59.2</v>
      </c>
      <c r="W1635" s="8">
        <f t="shared" si="889"/>
        <v>12820.726000000008</v>
      </c>
      <c r="X1635" s="8">
        <f t="shared" si="890"/>
        <v>-750</v>
      </c>
      <c r="Y1635" s="57">
        <f t="shared" si="891"/>
        <v>0.27648751347854233</v>
      </c>
      <c r="Z1635" s="58"/>
      <c r="AA1635" s="59"/>
    </row>
    <row r="1636" spans="1:27" s="13" customFormat="1" hidden="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27.6</v>
      </c>
      <c r="V1636" s="13">
        <f>IF(ISNA(VLOOKUP(LOWER(F1636)&amp;H1636,Prices!A:C,2,0)),0,VLOOKUP(LOWER(F1636)&amp;H1636,Prices!A:C,2,0))</f>
        <v>27.7</v>
      </c>
      <c r="W1636" s="13">
        <f t="shared" si="889"/>
        <v>5020.7282640000003</v>
      </c>
      <c r="X1636" s="13">
        <f t="shared" si="890"/>
        <v>189.99999999999596</v>
      </c>
      <c r="Y1636" s="43">
        <f t="shared" si="891"/>
        <v>0.10548014370110173</v>
      </c>
      <c r="Z1636" s="49"/>
      <c r="AA1636" s="24"/>
    </row>
    <row r="1637" spans="1:27" s="13" customFormat="1" hidden="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27.6</v>
      </c>
      <c r="V1637" s="13">
        <f>IF(ISNA(VLOOKUP(LOWER(F1637)&amp;H1637,Prices!A:C,2,0)),0,VLOOKUP(LOWER(F1637)&amp;H1637,Prices!A:C,2,0))</f>
        <v>27.7</v>
      </c>
      <c r="W1637" s="13">
        <f t="shared" si="889"/>
        <v>4967.5165599999937</v>
      </c>
      <c r="X1637" s="13">
        <f t="shared" si="890"/>
        <v>189.99999999999596</v>
      </c>
      <c r="Y1637" s="43">
        <f t="shared" si="891"/>
        <v>0.10424570972886749</v>
      </c>
      <c r="Z1637" s="49"/>
      <c r="AA1637" s="24"/>
    </row>
    <row r="1638" spans="1:27" s="13" customFormat="1" hidden="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650.07000000000005</v>
      </c>
      <c r="V1638" s="13">
        <f>IF(ISNA(VLOOKUP(LOWER(F1638)&amp;H1638,Prices!A:C,2,0)),0,VLOOKUP(LOWER(F1638)&amp;H1638,Prices!A:C,2,0))</f>
        <v>677.95</v>
      </c>
      <c r="W1638" s="13">
        <f t="shared" ref="W1638:W1642" si="896">IF(I1638="B",(V1638+T1638)*K1638,(V1638+T1638)*K1638)</f>
        <v>46974.508880000009</v>
      </c>
      <c r="X1638" s="13">
        <f t="shared" ref="X1638:X1642" si="897">K1638*(V1638-U1638)</f>
        <v>5575.9999999999991</v>
      </c>
      <c r="Y1638" s="43">
        <f t="shared" ref="Y1638:Y1642" si="898">W1638/O1638</f>
        <v>0.53021026773217761</v>
      </c>
      <c r="Z1638" s="49"/>
      <c r="AA1638" s="24"/>
    </row>
    <row r="1639" spans="1:27" s="13" customFormat="1" hidden="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55.39</v>
      </c>
      <c r="V1639" s="13">
        <f>IF(ISNA(VLOOKUP(LOWER(F1639)&amp;H1639,Prices!A:C,2,0)),0,VLOOKUP(LOWER(F1639)&amp;H1639,Prices!A:C,2,0))</f>
        <v>57.19</v>
      </c>
      <c r="W1639" s="13">
        <f t="shared" si="896"/>
        <v>-52074.856</v>
      </c>
      <c r="X1639" s="13">
        <f t="shared" si="897"/>
        <v>-3599.9999999999945</v>
      </c>
      <c r="Y1639" s="43">
        <f t="shared" si="898"/>
        <v>-0.83480051298493108</v>
      </c>
      <c r="Z1639" s="49"/>
      <c r="AA1639" s="24"/>
    </row>
    <row r="1640" spans="1:27" s="8" customFormat="1" ht="27" hidden="1"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59.95</v>
      </c>
      <c r="V1640" s="8">
        <f>IF(ISNA(VLOOKUP(LOWER(F1640)&amp;H1640,Prices!A:C,2,0)),0,VLOOKUP(LOWER(F1640)&amp;H1640,Prices!A:C,2,0))</f>
        <v>59.2</v>
      </c>
      <c r="W1640" s="8">
        <f t="shared" si="896"/>
        <v>16008.996000000005</v>
      </c>
      <c r="X1640" s="8">
        <f t="shared" si="897"/>
        <v>-900</v>
      </c>
      <c r="Y1640" s="57">
        <f t="shared" si="898"/>
        <v>0.29096684841875692</v>
      </c>
      <c r="Z1640" s="58" t="s">
        <v>3716</v>
      </c>
      <c r="AA1640" s="59"/>
    </row>
    <row r="1641" spans="1:27" s="8" customFormat="1" hidden="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32.79</v>
      </c>
      <c r="V1641" s="8">
        <f>IF(ISNA(VLOOKUP(LOWER(F1641)&amp;H1641,Prices!A:C,2,0)),0,VLOOKUP(LOWER(F1641)&amp;H1641,Prices!A:C,2,0))</f>
        <v>34.03</v>
      </c>
      <c r="W1641" s="8">
        <f t="shared" si="896"/>
        <v>11907.649200000002</v>
      </c>
      <c r="X1641" s="8">
        <f t="shared" si="897"/>
        <v>2480.0000000000041</v>
      </c>
      <c r="Y1641" s="57">
        <f t="shared" si="898"/>
        <v>0.21210632703954402</v>
      </c>
      <c r="Z1641" s="58"/>
      <c r="AA1641" s="59"/>
    </row>
    <row r="1642" spans="1:27" s="13" customFormat="1" hidden="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31.44</v>
      </c>
      <c r="V1642" s="13">
        <f>IF(ISNA(VLOOKUP(LOWER(F1642)&amp;H1642,Prices!A:C,2,0)),0,VLOOKUP(LOWER(F1642)&amp;H1642,Prices!A:C,2,0))</f>
        <v>32.450000000000003</v>
      </c>
      <c r="W1642" s="13">
        <f t="shared" si="896"/>
        <v>-9666.7416000000085</v>
      </c>
      <c r="X1642" s="13">
        <f t="shared" si="897"/>
        <v>-4040.0000000000064</v>
      </c>
      <c r="Y1642" s="43">
        <f t="shared" si="898"/>
        <v>-8.0368653142667182E-2</v>
      </c>
      <c r="Z1642" s="49"/>
      <c r="AA1642" s="24"/>
    </row>
    <row r="1643" spans="1:27" s="13" customFormat="1" ht="40.5" hidden="1"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27.6</v>
      </c>
      <c r="V1643" s="13">
        <f>IF(ISNA(VLOOKUP(LOWER(F1643)&amp;H1643,Prices!A:C,2,0)),0,VLOOKUP(LOWER(F1643)&amp;H1643,Prices!A:C,2,0))</f>
        <v>27.7</v>
      </c>
      <c r="W1643" s="13">
        <f t="shared" ref="W1643" si="903">IF(I1643="B",(V1643+T1643)*K1643,(V1643+T1643)*K1643)</f>
        <v>1236.6924400000003</v>
      </c>
      <c r="X1643" s="13">
        <f t="shared" ref="X1643" si="904">K1643*(V1643-U1643)</f>
        <v>59.999999999998721</v>
      </c>
      <c r="Y1643" s="43">
        <f t="shared" ref="Y1643" si="905">W1643/O1643</f>
        <v>8.041958902328003E-2</v>
      </c>
      <c r="Z1643" s="49" t="s">
        <v>3714</v>
      </c>
      <c r="AA1643" s="24"/>
    </row>
    <row r="1644" spans="1:27" s="13" customFormat="1" hidden="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43.74</v>
      </c>
      <c r="V1644" s="13">
        <f>IF(ISNA(VLOOKUP(LOWER(F1644)&amp;H1644,Prices!A:C,2,0)),0,VLOOKUP(LOWER(F1644)&amp;H1644,Prices!A:C,2,0))</f>
        <v>45.67</v>
      </c>
      <c r="W1644" s="13">
        <f t="shared" ref="W1644:W1648" si="910">IF(I1644="B",(V1644+T1644)*K1644,(V1644+T1644)*K1644)</f>
        <v>17028.62000000001</v>
      </c>
      <c r="X1644" s="13">
        <f t="shared" ref="X1644:X1648" si="911">K1644*(V1644-U1644)</f>
        <v>2701.9999999999995</v>
      </c>
      <c r="Y1644" s="43">
        <f t="shared" ref="Y1644:Y1648" si="912">W1644/O1644</f>
        <v>0.36308358208955244</v>
      </c>
      <c r="Z1644" s="49"/>
      <c r="AA1644" s="24"/>
    </row>
    <row r="1645" spans="1:27" s="13" customFormat="1" hidden="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27.07</v>
      </c>
      <c r="V1645" s="13">
        <f>IF(ISNA(VLOOKUP(LOWER(F1645)&amp;H1645,Prices!A:C,2,0)),0,VLOOKUP(LOWER(F1645)&amp;H1645,Prices!A:C,2,0))</f>
        <v>27.07</v>
      </c>
      <c r="W1645" s="13">
        <f t="shared" si="910"/>
        <v>10835.284240000001</v>
      </c>
      <c r="X1645" s="13">
        <f t="shared" si="911"/>
        <v>0</v>
      </c>
      <c r="Y1645" s="43">
        <f t="shared" si="912"/>
        <v>0.22245389340560073</v>
      </c>
      <c r="Z1645" s="49"/>
      <c r="AA1645" s="24"/>
    </row>
    <row r="1646" spans="1:27" s="13" customFormat="1" hidden="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43.74</v>
      </c>
      <c r="V1646" s="13">
        <f>IF(ISNA(VLOOKUP(LOWER(F1646)&amp;H1646,Prices!A:C,2,0)),0,VLOOKUP(LOWER(F1646)&amp;H1646,Prices!A:C,2,0))</f>
        <v>45.67</v>
      </c>
      <c r="W1646" s="13">
        <f t="shared" si="910"/>
        <v>17028.62000000001</v>
      </c>
      <c r="X1646" s="13">
        <f t="shared" si="911"/>
        <v>2701.9999999999995</v>
      </c>
      <c r="Y1646" s="43">
        <f t="shared" si="912"/>
        <v>0.36308358208955244</v>
      </c>
      <c r="Z1646" s="49"/>
      <c r="AA1646" s="24"/>
    </row>
    <row r="1647" spans="1:27" s="13" customFormat="1" hidden="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27.07</v>
      </c>
      <c r="V1647" s="13">
        <f>IF(ISNA(VLOOKUP(LOWER(F1647)&amp;H1647,Prices!A:C,2,0)),0,VLOOKUP(LOWER(F1647)&amp;H1647,Prices!A:C,2,0))</f>
        <v>27.07</v>
      </c>
      <c r="W1647" s="13">
        <f t="shared" si="910"/>
        <v>10835.284240000001</v>
      </c>
      <c r="X1647" s="13">
        <f t="shared" si="911"/>
        <v>0</v>
      </c>
      <c r="Y1647" s="43">
        <f t="shared" si="912"/>
        <v>0.22245389340560073</v>
      </c>
      <c r="Z1647" s="49"/>
      <c r="AA1647" s="24"/>
    </row>
    <row r="1648" spans="1:27" s="13" customFormat="1" hidden="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27.6</v>
      </c>
      <c r="V1648" s="13">
        <f>IF(ISNA(VLOOKUP(LOWER(F1648)&amp;H1648,Prices!A:C,2,0)),0,VLOOKUP(LOWER(F1648)&amp;H1648,Prices!A:C,2,0))</f>
        <v>27.7</v>
      </c>
      <c r="W1648" s="13">
        <f t="shared" si="910"/>
        <v>-13787.675999999987</v>
      </c>
      <c r="X1648" s="13">
        <f t="shared" si="911"/>
        <v>-899.99999999998079</v>
      </c>
      <c r="Y1648" s="43">
        <f t="shared" si="912"/>
        <v>-5.8471908396946506E-2</v>
      </c>
      <c r="Z1648" s="49" t="s">
        <v>3715</v>
      </c>
      <c r="AA1648" s="24"/>
    </row>
    <row r="1649" spans="1:27" s="13" customFormat="1" hidden="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31.44</v>
      </c>
      <c r="V1649" s="13">
        <f>IF(ISNA(VLOOKUP(LOWER(F1649)&amp;H1649,Prices!A:C,2,0)),0,VLOOKUP(LOWER(F1649)&amp;H1649,Prices!A:C,2,0))</f>
        <v>32.450000000000003</v>
      </c>
      <c r="W1649" s="13">
        <f t="shared" ref="W1649:W1652" si="917">IF(I1649="B",(V1649+T1649)*K1649,(V1649+T1649)*K1649)</f>
        <v>5412.0567600000068</v>
      </c>
      <c r="X1649" s="13">
        <f t="shared" ref="X1649:X1652" si="918">K1649*(V1649-U1649)</f>
        <v>1717.0000000000027</v>
      </c>
      <c r="Y1649" s="43">
        <f t="shared" ref="Y1649:Y1652" si="919">W1649/O1649</f>
        <v>0.10880255639097758</v>
      </c>
      <c r="Z1649" s="49"/>
      <c r="AA1649" s="24"/>
    </row>
    <row r="1650" spans="1:27" s="13" customFormat="1" hidden="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55.39</v>
      </c>
      <c r="V1650" s="13">
        <f>IF(ISNA(VLOOKUP(LOWER(F1650)&amp;H1650,Prices!A:C,2,0)),0,VLOOKUP(LOWER(F1650)&amp;H1650,Prices!A:C,2,0))</f>
        <v>57.19</v>
      </c>
      <c r="W1650" s="13">
        <f t="shared" si="917"/>
        <v>-37033.572</v>
      </c>
      <c r="X1650" s="13">
        <f t="shared" si="918"/>
        <v>-2699.9999999999959</v>
      </c>
      <c r="Y1650" s="43">
        <f t="shared" si="919"/>
        <v>-0.75872919483712353</v>
      </c>
      <c r="Z1650" s="49"/>
      <c r="AA1650" s="24"/>
    </row>
    <row r="1651" spans="1:27" s="8" customFormat="1" hidden="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59.95</v>
      </c>
      <c r="V1651" s="8">
        <f>IF(ISNA(VLOOKUP(LOWER(F1651)&amp;H1651,Prices!A:C,2,0)),0,VLOOKUP(LOWER(F1651)&amp;H1651,Prices!A:C,2,0))</f>
        <v>59.2</v>
      </c>
      <c r="W1651" s="8">
        <f t="shared" si="917"/>
        <v>-24293.064000000002</v>
      </c>
      <c r="X1651" s="8">
        <f t="shared" si="918"/>
        <v>1500</v>
      </c>
      <c r="Y1651" s="57">
        <f t="shared" si="919"/>
        <v>-0.25783341116535768</v>
      </c>
      <c r="Z1651" s="58"/>
      <c r="AA1651" s="59"/>
    </row>
    <row r="1652" spans="1:27" s="13" customFormat="1" hidden="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13.35</v>
      </c>
      <c r="V1652" s="13">
        <f>IF(ISNA(VLOOKUP(LOWER(F1652)&amp;H1652,Prices!A:C,2,0)),0,VLOOKUP(LOWER(F1652)&amp;H1652,Prices!A:C,2,0))</f>
        <v>13.6</v>
      </c>
      <c r="W1652" s="13">
        <f t="shared" si="917"/>
        <v>5614.788800000003</v>
      </c>
      <c r="X1652" s="13">
        <f t="shared" si="918"/>
        <v>950</v>
      </c>
      <c r="Y1652" s="43">
        <f t="shared" si="919"/>
        <v>0.12191221122112218</v>
      </c>
      <c r="Z1652" s="49"/>
      <c r="AA1652" s="24"/>
    </row>
    <row r="1653" spans="1:27" s="8" customFormat="1" hidden="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32.79</v>
      </c>
      <c r="V1653" s="8">
        <f>IF(ISNA(VLOOKUP(LOWER(F1653)&amp;H1653,Prices!A:C,2,0)),0,VLOOKUP(LOWER(F1653)&amp;H1653,Prices!A:C,2,0))</f>
        <v>34.03</v>
      </c>
      <c r="W1653" s="8">
        <f t="shared" ref="W1653:W1662" si="924">IF(I1653="B",(V1653+T1653)*K1653,(V1653+T1653)*K1653)</f>
        <v>-30426.198059999995</v>
      </c>
      <c r="X1653" s="8">
        <f t="shared" ref="X1653:X1662" si="925">K1653*(V1653-U1653)</f>
        <v>-5828.0000000000091</v>
      </c>
      <c r="Y1653" s="57">
        <f t="shared" ref="Y1653:Y1662" si="926">W1653/O1653</f>
        <v>-0.23463788190294044</v>
      </c>
      <c r="Z1653" s="58"/>
      <c r="AA1653" s="59"/>
    </row>
    <row r="1654" spans="1:27" s="8" customFormat="1" hidden="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27.59</v>
      </c>
      <c r="V1654" s="8">
        <f>IF(ISNA(VLOOKUP(LOWER(F1654)&amp;H1654,Prices!A:C,2,0)),0,VLOOKUP(LOWER(F1654)&amp;H1654,Prices!A:C,2,0))</f>
        <v>28.05</v>
      </c>
      <c r="W1654" s="8">
        <f t="shared" si="924"/>
        <v>-3240.3368000000014</v>
      </c>
      <c r="X1654" s="8">
        <f t="shared" si="925"/>
        <v>-460.00000000000085</v>
      </c>
      <c r="Y1654" s="57">
        <f t="shared" si="926"/>
        <v>-0.13044834138486319</v>
      </c>
      <c r="Z1654" s="58"/>
      <c r="AA1654" s="59"/>
    </row>
    <row r="1655" spans="1:27" s="8" customFormat="1" hidden="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59.95</v>
      </c>
      <c r="V1655" s="8">
        <f>IF(ISNA(VLOOKUP(LOWER(F1655)&amp;H1655,Prices!A:C,2,0)),0,VLOOKUP(LOWER(F1655)&amp;H1655,Prices!A:C,2,0))</f>
        <v>59.2</v>
      </c>
      <c r="W1655" s="8">
        <f t="shared" si="924"/>
        <v>-27293.799400000007</v>
      </c>
      <c r="X1655" s="8">
        <f t="shared" si="925"/>
        <v>1725</v>
      </c>
      <c r="Y1655" s="57">
        <f t="shared" si="926"/>
        <v>-0.25040872134095438</v>
      </c>
      <c r="Z1655" s="58"/>
      <c r="AA1655" s="59"/>
    </row>
    <row r="1656" spans="1:27" s="13" customFormat="1" hidden="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650.07000000000005</v>
      </c>
      <c r="V1656" s="13">
        <f>IF(ISNA(VLOOKUP(LOWER(F1656)&amp;H1656,Prices!A:C,2,0)),0,VLOOKUP(LOWER(F1656)&amp;H1656,Prices!A:C,2,0))</f>
        <v>677.95</v>
      </c>
      <c r="W1656" s="13">
        <f t="shared" si="924"/>
        <v>-45937.507640000003</v>
      </c>
      <c r="X1656" s="13">
        <f t="shared" si="925"/>
        <v>-5575.9999999999991</v>
      </c>
      <c r="Y1656" s="43">
        <f t="shared" si="926"/>
        <v>-0.51177009915108851</v>
      </c>
      <c r="Z1656" s="49"/>
      <c r="AA1656" s="24"/>
    </row>
    <row r="1657" spans="1:27" s="8" customFormat="1" hidden="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32.79</v>
      </c>
      <c r="V1657" s="8">
        <f>IF(ISNA(VLOOKUP(LOWER(F1657)&amp;H1657,Prices!A:C,2,0)),0,VLOOKUP(LOWER(F1657)&amp;H1657,Prices!A:C,2,0))</f>
        <v>34.03</v>
      </c>
      <c r="W1657" s="8">
        <f t="shared" si="924"/>
        <v>12499.276320000001</v>
      </c>
      <c r="X1657" s="8">
        <f t="shared" si="925"/>
        <v>2232.0000000000036</v>
      </c>
      <c r="Y1657" s="57">
        <f t="shared" si="926"/>
        <v>0.25642697193500741</v>
      </c>
      <c r="Z1657" s="58"/>
      <c r="AA1657" s="59"/>
    </row>
    <row r="1658" spans="1:27" s="8" customFormat="1" hidden="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32.79</v>
      </c>
      <c r="V1658" s="8">
        <f>IF(ISNA(VLOOKUP(LOWER(F1658)&amp;H1658,Prices!A:C,2,0)),0,VLOOKUP(LOWER(F1658)&amp;H1658,Prices!A:C,2,0))</f>
        <v>34.03</v>
      </c>
      <c r="W1658" s="8">
        <f t="shared" si="924"/>
        <v>5546.5665599999993</v>
      </c>
      <c r="X1658" s="8">
        <f t="shared" si="925"/>
        <v>992.00000000000159</v>
      </c>
      <c r="Y1658" s="57">
        <f t="shared" si="926"/>
        <v>0.25593238095238091</v>
      </c>
      <c r="Z1658" s="58"/>
      <c r="AA1658" s="59"/>
    </row>
    <row r="1659" spans="1:27" s="8" customFormat="1" hidden="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32.79</v>
      </c>
      <c r="V1659" s="8">
        <f>IF(ISNA(VLOOKUP(LOWER(F1659)&amp;H1659,Prices!A:C,2,0)),0,VLOOKUP(LOWER(F1659)&amp;H1659,Prices!A:C,2,0))</f>
        <v>34.03</v>
      </c>
      <c r="W1659" s="8">
        <f t="shared" si="924"/>
        <v>12517.280279999999</v>
      </c>
      <c r="X1659" s="8">
        <f t="shared" si="925"/>
        <v>2232.0000000000036</v>
      </c>
      <c r="Y1659" s="57">
        <f t="shared" si="926"/>
        <v>0.25689119320280751</v>
      </c>
      <c r="Z1659" s="58"/>
      <c r="AA1659" s="59"/>
    </row>
    <row r="1660" spans="1:27" s="13" customFormat="1" hidden="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27.6</v>
      </c>
      <c r="V1660" s="13">
        <f>IF(ISNA(VLOOKUP(LOWER(F1660)&amp;H1660,Prices!A:C,2,0)),0,VLOOKUP(LOWER(F1660)&amp;H1660,Prices!A:C,2,0))</f>
        <v>27.7</v>
      </c>
      <c r="W1660" s="13">
        <f t="shared" si="924"/>
        <v>-4242.0821000000033</v>
      </c>
      <c r="X1660" s="13">
        <f t="shared" si="925"/>
        <v>-449.99999999999039</v>
      </c>
      <c r="Y1660" s="43">
        <f t="shared" si="926"/>
        <v>-3.5187939944423735E-2</v>
      </c>
      <c r="Z1660" s="49"/>
      <c r="AA1660" s="24"/>
    </row>
    <row r="1661" spans="1:27" s="13" customFormat="1" hidden="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27.07</v>
      </c>
      <c r="V1661" s="13">
        <f>IF(ISNA(VLOOKUP(LOWER(F1661)&amp;H1661,Prices!A:C,2,0)),0,VLOOKUP(LOWER(F1661)&amp;H1661,Prices!A:C,2,0))</f>
        <v>27.07</v>
      </c>
      <c r="W1661" s="13">
        <f t="shared" si="924"/>
        <v>10670.4388</v>
      </c>
      <c r="X1661" s="13">
        <f t="shared" si="925"/>
        <v>0</v>
      </c>
      <c r="Y1661" s="43">
        <f t="shared" si="926"/>
        <v>0.24552321214910261</v>
      </c>
      <c r="Z1661" s="49"/>
      <c r="AA1661" s="24"/>
    </row>
    <row r="1662" spans="1:27" s="13" customFormat="1" hidden="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27.07</v>
      </c>
      <c r="V1662" s="13">
        <f>IF(ISNA(VLOOKUP(LOWER(F1662)&amp;H1662,Prices!A:C,2,0)),0,VLOOKUP(LOWER(F1662)&amp;H1662,Prices!A:C,2,0))</f>
        <v>27.07</v>
      </c>
      <c r="W1662" s="13">
        <f t="shared" si="924"/>
        <v>12294.009680000005</v>
      </c>
      <c r="X1662" s="13">
        <f t="shared" si="925"/>
        <v>0</v>
      </c>
      <c r="Y1662" s="43">
        <f t="shared" si="926"/>
        <v>0.24609675874769807</v>
      </c>
      <c r="Z1662" s="49"/>
      <c r="AA1662" s="24"/>
    </row>
    <row r="1663" spans="1:27" s="13" customFormat="1" hidden="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31.44</v>
      </c>
      <c r="V1663" s="13">
        <f>IF(ISNA(VLOOKUP(LOWER(F1663)&amp;H1663,Prices!A:C,2,0)),0,VLOOKUP(LOWER(F1663)&amp;H1663,Prices!A:C,2,0))</f>
        <v>32.450000000000003</v>
      </c>
      <c r="W1663" s="13">
        <f t="shared" ref="W1663:W1667" si="931">IF(I1663="B",(V1663+T1663)*K1663,(V1663+T1663)*K1663)</f>
        <v>4374.8286200000057</v>
      </c>
      <c r="X1663" s="13">
        <f t="shared" ref="X1663:X1667" si="932">K1663*(V1663-U1663)</f>
        <v>1717.0000000000027</v>
      </c>
      <c r="Y1663" s="43">
        <f t="shared" ref="Y1663:Y1667" si="933">W1663/O1663</f>
        <v>8.6154288583863523E-2</v>
      </c>
      <c r="Z1663" s="49"/>
      <c r="AA1663" s="24"/>
    </row>
    <row r="1664" spans="1:27" s="13" customFormat="1" hidden="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31.44</v>
      </c>
      <c r="V1664" s="13">
        <f>IF(ISNA(VLOOKUP(LOWER(F1664)&amp;H1664,Prices!A:C,2,0)),0,VLOOKUP(LOWER(F1664)&amp;H1664,Prices!A:C,2,0))</f>
        <v>32.450000000000003</v>
      </c>
      <c r="W1664" s="13">
        <f t="shared" si="931"/>
        <v>5106.8484000000108</v>
      </c>
      <c r="X1664" s="13">
        <f t="shared" si="932"/>
        <v>2020.0000000000032</v>
      </c>
      <c r="Y1664" s="43">
        <f t="shared" si="933"/>
        <v>8.5427373703579973E-2</v>
      </c>
      <c r="Z1664" s="49"/>
      <c r="AA1664" s="24"/>
    </row>
    <row r="1665" spans="1:27" s="8" customFormat="1" hidden="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27.59</v>
      </c>
      <c r="V1665" s="8">
        <f>IF(ISNA(VLOOKUP(LOWER(F1665)&amp;H1665,Prices!A:C,2,0)),0,VLOOKUP(LOWER(F1665)&amp;H1665,Prices!A:C,2,0))</f>
        <v>28.05</v>
      </c>
      <c r="W1665" s="8">
        <f t="shared" si="931"/>
        <v>7738.8950400000085</v>
      </c>
      <c r="X1665" s="8">
        <f t="shared" si="932"/>
        <v>1104.000000000002</v>
      </c>
      <c r="Y1665" s="57">
        <f t="shared" si="933"/>
        <v>0.12991698630137</v>
      </c>
      <c r="Z1665" s="58"/>
      <c r="AA1665" s="59"/>
    </row>
    <row r="1666" spans="1:27" s="8" customFormat="1" hidden="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59.95</v>
      </c>
      <c r="V1666" s="8">
        <f>IF(ISNA(VLOOKUP(LOWER(F1666)&amp;H1666,Prices!A:C,2,0)),0,VLOOKUP(LOWER(F1666)&amp;H1666,Prices!A:C,2,0))</f>
        <v>59.2</v>
      </c>
      <c r="W1666" s="8">
        <f t="shared" si="931"/>
        <v>-8942.1527999999962</v>
      </c>
      <c r="X1666" s="8">
        <f t="shared" si="932"/>
        <v>600</v>
      </c>
      <c r="Y1666" s="57">
        <f t="shared" si="933"/>
        <v>-0.23248109400998326</v>
      </c>
      <c r="Z1666" s="58"/>
      <c r="AA1666" s="59"/>
    </row>
    <row r="1667" spans="1:27" s="13" customFormat="1" hidden="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27.07</v>
      </c>
      <c r="V1667" s="13">
        <f>IF(ISNA(VLOOKUP(LOWER(F1667)&amp;H1667,Prices!A:C,2,0)),0,VLOOKUP(LOWER(F1667)&amp;H1667,Prices!A:C,2,0))</f>
        <v>27.07</v>
      </c>
      <c r="W1667" s="13">
        <f t="shared" si="931"/>
        <v>-16056.122699999996</v>
      </c>
      <c r="X1667" s="13">
        <f t="shared" si="932"/>
        <v>0</v>
      </c>
      <c r="Y1667" s="43">
        <f t="shared" si="933"/>
        <v>-0.20379669607158718</v>
      </c>
      <c r="Z1667" s="49"/>
      <c r="AA1667" s="24"/>
    </row>
    <row r="1668" spans="1:27" s="13" customFormat="1" hidden="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31.44</v>
      </c>
      <c r="V1668" s="13">
        <f>IF(ISNA(VLOOKUP(LOWER(F1668)&amp;H1668,Prices!A:C,2,0)),0,VLOOKUP(LOWER(F1668)&amp;H1668,Prices!A:C,2,0))</f>
        <v>32.450000000000003</v>
      </c>
      <c r="W1668" s="13">
        <f t="shared" ref="W1668:W1672" si="941">IF(I1668="B",(V1668+T1668)*K1668,(V1668+T1668)*K1668)</f>
        <v>-7743.8385600000156</v>
      </c>
      <c r="X1668" s="13">
        <f t="shared" ref="X1668:X1672" si="942">K1668*(V1668-U1668)</f>
        <v>-4747.0000000000073</v>
      </c>
      <c r="Y1668" s="43">
        <f t="shared" ref="Y1668:Y1672" si="943">W1668/O1668</f>
        <v>-5.3424942462124453E-2</v>
      </c>
      <c r="Z1668" s="49"/>
      <c r="AA1668" s="24"/>
    </row>
    <row r="1669" spans="1:27" s="13" customFormat="1" hidden="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43.74</v>
      </c>
      <c r="V1669" s="13">
        <f>IF(ISNA(VLOOKUP(LOWER(F1669)&amp;H1669,Prices!A:C,2,0)),0,VLOOKUP(LOWER(F1669)&amp;H1669,Prices!A:C,2,0))</f>
        <v>45.67</v>
      </c>
      <c r="W1669" s="13">
        <f t="shared" si="941"/>
        <v>-29199.528000000024</v>
      </c>
      <c r="X1669" s="13">
        <f t="shared" si="942"/>
        <v>-5789.9999999999991</v>
      </c>
      <c r="Y1669" s="43">
        <f t="shared" si="943"/>
        <v>-0.2705162868260147</v>
      </c>
      <c r="Z1669" s="49"/>
      <c r="AA1669" s="24"/>
    </row>
    <row r="1670" spans="1:27" s="8" customFormat="1" hidden="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27.59</v>
      </c>
      <c r="V1670" s="8">
        <f>IF(ISNA(VLOOKUP(LOWER(F1670)&amp;H1670,Prices!A:C,2,0)),0,VLOOKUP(LOWER(F1670)&amp;H1670,Prices!A:C,2,0))</f>
        <v>28.05</v>
      </c>
      <c r="W1670" s="8">
        <f t="shared" si="941"/>
        <v>-6395.9918000000071</v>
      </c>
      <c r="X1670" s="8">
        <f t="shared" si="942"/>
        <v>-1058.000000000002</v>
      </c>
      <c r="Y1670" s="57">
        <f t="shared" si="943"/>
        <v>-0.10991565217391316</v>
      </c>
      <c r="Z1670" s="58" t="s">
        <v>3749</v>
      </c>
      <c r="AA1670" s="59"/>
    </row>
    <row r="1671" spans="1:27" s="8" customFormat="1" hidden="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59.95</v>
      </c>
      <c r="V1671" s="8">
        <f>IF(ISNA(VLOOKUP(LOWER(F1671)&amp;H1671,Prices!A:C,2,0)),0,VLOOKUP(LOWER(F1671)&amp;H1671,Prices!A:C,2,0))</f>
        <v>59.2</v>
      </c>
      <c r="W1671" s="8">
        <f t="shared" si="941"/>
        <v>-8654.5004000000008</v>
      </c>
      <c r="X1671" s="8">
        <f t="shared" si="942"/>
        <v>600</v>
      </c>
      <c r="Y1671" s="57">
        <f t="shared" si="943"/>
        <v>-0.22333041907514453</v>
      </c>
      <c r="Z1671" s="58" t="s">
        <v>3749</v>
      </c>
      <c r="AA1671" s="59"/>
    </row>
    <row r="1672" spans="1:27" s="13" customFormat="1" hidden="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41.3</v>
      </c>
      <c r="V1672" s="13">
        <f>IF(ISNA(VLOOKUP(LOWER(F1672)&amp;H1672,Prices!A:C,2,0)),0,VLOOKUP(LOWER(F1672)&amp;H1672,Prices!A:C,2,0))</f>
        <v>42.53</v>
      </c>
      <c r="W1672" s="13">
        <f t="shared" si="941"/>
        <v>-34521.491200000004</v>
      </c>
      <c r="X1672" s="13">
        <f t="shared" si="942"/>
        <v>-3321.0000000000109</v>
      </c>
      <c r="Y1672" s="43">
        <f t="shared" si="943"/>
        <v>-0.42933974081536208</v>
      </c>
      <c r="Z1672" s="49"/>
      <c r="AA1672" s="24"/>
    </row>
    <row r="1673" spans="1:27" s="13" customFormat="1" hidden="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43.74</v>
      </c>
      <c r="V1673" s="13">
        <f>IF(ISNA(VLOOKUP(LOWER(F1673)&amp;H1673,Prices!A:C,2,0)),0,VLOOKUP(LOWER(F1673)&amp;H1673,Prices!A:C,2,0))</f>
        <v>45.67</v>
      </c>
      <c r="W1673" s="13">
        <f t="shared" ref="W1673:W1679" si="948">IF(I1673="B",(V1673+T1673)*K1673,(V1673+T1673)*K1673)</f>
        <v>12483.624400000004</v>
      </c>
      <c r="X1673" s="13">
        <f t="shared" ref="X1673:X1679" si="949">K1673*(V1673-U1673)</f>
        <v>2508.9999999999995</v>
      </c>
      <c r="Y1673" s="43">
        <f t="shared" ref="Y1673:Y1679" si="950">W1673/O1673</f>
        <v>0.2663002773155852</v>
      </c>
      <c r="Z1673" s="49"/>
      <c r="AA1673" s="24"/>
    </row>
    <row r="1674" spans="1:27" s="13" customFormat="1" hidden="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43.74</v>
      </c>
      <c r="V1674" s="13">
        <f>IF(ISNA(VLOOKUP(LOWER(F1674)&amp;H1674,Prices!A:C,2,0)),0,VLOOKUP(LOWER(F1674)&amp;H1674,Prices!A:C,2,0))</f>
        <v>45.67</v>
      </c>
      <c r="W1674" s="13">
        <f t="shared" si="948"/>
        <v>12509.629600000006</v>
      </c>
      <c r="X1674" s="13">
        <f t="shared" si="949"/>
        <v>2508.9999999999995</v>
      </c>
      <c r="Y1674" s="43">
        <f t="shared" si="950"/>
        <v>0.26700310765815771</v>
      </c>
      <c r="Z1674" s="49"/>
      <c r="AA1674" s="24"/>
    </row>
    <row r="1675" spans="1:27" s="13" customFormat="1" hidden="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13.35</v>
      </c>
      <c r="V1675" s="13">
        <f>IF(ISNA(VLOOKUP(LOWER(F1675)&amp;H1675,Prices!A:C,2,0)),0,VLOOKUP(LOWER(F1675)&amp;H1675,Prices!A:C,2,0))</f>
        <v>13.6</v>
      </c>
      <c r="W1675" s="13">
        <f t="shared" si="948"/>
        <v>4790.0800000000036</v>
      </c>
      <c r="X1675" s="13">
        <f t="shared" si="949"/>
        <v>1000</v>
      </c>
      <c r="Y1675" s="43">
        <f t="shared" si="950"/>
        <v>9.6574193548387172E-2</v>
      </c>
      <c r="Z1675" s="49"/>
      <c r="AA1675" s="24"/>
    </row>
    <row r="1676" spans="1:27" s="13" customFormat="1" hidden="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43.74</v>
      </c>
      <c r="V1676" s="13">
        <f>IF(ISNA(VLOOKUP(LOWER(F1676)&amp;H1676,Prices!A:C,2,0)),0,VLOOKUP(LOWER(F1676)&amp;H1676,Prices!A:C,2,0))</f>
        <v>45.67</v>
      </c>
      <c r="W1676" s="13">
        <f t="shared" si="948"/>
        <v>12314.590600000003</v>
      </c>
      <c r="X1676" s="13">
        <f t="shared" si="949"/>
        <v>2508.9999999999995</v>
      </c>
      <c r="Y1676" s="43">
        <f t="shared" si="950"/>
        <v>0.26175081514230458</v>
      </c>
      <c r="Z1676" s="49"/>
      <c r="AA1676" s="24"/>
    </row>
    <row r="1677" spans="1:27" s="13" customFormat="1" hidden="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13.35</v>
      </c>
      <c r="V1677" s="13">
        <f>IF(ISNA(VLOOKUP(LOWER(F1677)&amp;H1677,Prices!A:C,2,0)),0,VLOOKUP(LOWER(F1677)&amp;H1677,Prices!A:C,2,0))</f>
        <v>13.6</v>
      </c>
      <c r="W1677" s="13">
        <f t="shared" si="948"/>
        <v>4830.0880000000034</v>
      </c>
      <c r="X1677" s="13">
        <f t="shared" si="949"/>
        <v>1000</v>
      </c>
      <c r="Y1677" s="43">
        <f t="shared" si="950"/>
        <v>9.7459402744148577E-2</v>
      </c>
      <c r="Z1677" s="49"/>
      <c r="AA1677" s="24"/>
    </row>
    <row r="1678" spans="1:27" s="13" customFormat="1" hidden="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31.44</v>
      </c>
      <c r="V1678" s="13">
        <f>IF(ISNA(VLOOKUP(LOWER(F1678)&amp;H1678,Prices!A:C,2,0)),0,VLOOKUP(LOWER(F1678)&amp;H1678,Prices!A:C,2,0))</f>
        <v>32.450000000000003</v>
      </c>
      <c r="W1678" s="13">
        <f t="shared" si="948"/>
        <v>2453.1196800000089</v>
      </c>
      <c r="X1678" s="13">
        <f t="shared" si="949"/>
        <v>1616.0000000000025</v>
      </c>
      <c r="Y1678" s="43">
        <f t="shared" si="950"/>
        <v>4.9602064056939683E-2</v>
      </c>
      <c r="Z1678" s="49"/>
      <c r="AA1678" s="24"/>
    </row>
    <row r="1679" spans="1:27" s="13" customFormat="1" hidden="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27.07</v>
      </c>
      <c r="V1679" s="13">
        <f>IF(ISNA(VLOOKUP(LOWER(F1679)&amp;H1679,Prices!A:C,2,0)),0,VLOOKUP(LOWER(F1679)&amp;H1679,Prices!A:C,2,0))</f>
        <v>27.07</v>
      </c>
      <c r="W1679" s="13">
        <f t="shared" si="948"/>
        <v>9061.489500000007</v>
      </c>
      <c r="X1679" s="13">
        <f t="shared" si="949"/>
        <v>0</v>
      </c>
      <c r="Y1679" s="43">
        <f t="shared" si="950"/>
        <v>0.18967010989011004</v>
      </c>
      <c r="Z1679" s="49"/>
      <c r="AA1679" s="24"/>
    </row>
    <row r="1680" spans="1:27" s="13" customFormat="1" hidden="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43.74</v>
      </c>
      <c r="V1680" s="13">
        <f>IF(ISNA(VLOOKUP(LOWER(F1680)&amp;H1680,Prices!A:C,2,0)),0,VLOOKUP(LOWER(F1680)&amp;H1680,Prices!A:C,2,0))</f>
        <v>45.67</v>
      </c>
      <c r="W1680" s="13">
        <f t="shared" ref="W1680:W1687" si="956">IF(I1680="B",(V1680+T1680)*K1680,(V1680+T1680)*K1680)</f>
        <v>-16290.168000000009</v>
      </c>
      <c r="X1680" s="13">
        <f t="shared" ref="X1680:X1687" si="957">K1680*(V1680-U1680)</f>
        <v>-3859.9999999999995</v>
      </c>
      <c r="Y1680" s="43">
        <f t="shared" ref="Y1680:Y1687" si="958">W1680/O1680</f>
        <v>-0.21679755123768976</v>
      </c>
      <c r="Z1680" s="49"/>
      <c r="AA1680" s="24"/>
    </row>
    <row r="1681" spans="1:27" s="8" customFormat="1" hidden="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59.95</v>
      </c>
      <c r="V1681" s="8">
        <f>IF(ISNA(VLOOKUP(LOWER(F1681)&amp;H1681,Prices!A:C,2,0)),0,VLOOKUP(LOWER(F1681)&amp;H1681,Prices!A:C,2,0))</f>
        <v>59.2</v>
      </c>
      <c r="W1681" s="8">
        <f t="shared" si="956"/>
        <v>9830.1280000000024</v>
      </c>
      <c r="X1681" s="8">
        <f t="shared" si="957"/>
        <v>-750</v>
      </c>
      <c r="Y1681" s="57">
        <f t="shared" si="958"/>
        <v>0.19915170178282016</v>
      </c>
      <c r="Z1681" s="58"/>
      <c r="AA1681" s="59"/>
    </row>
    <row r="1682" spans="1:27" s="13" customFormat="1" hidden="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13.35</v>
      </c>
      <c r="V1682" s="13">
        <f>IF(ISNA(VLOOKUP(LOWER(F1682)&amp;H1682,Prices!A:C,2,0)),0,VLOOKUP(LOWER(F1682)&amp;H1682,Prices!A:C,2,0))</f>
        <v>13.6</v>
      </c>
      <c r="W1682" s="13">
        <f t="shared" si="956"/>
        <v>5190.1599999999989</v>
      </c>
      <c r="X1682" s="13">
        <f t="shared" si="957"/>
        <v>1000</v>
      </c>
      <c r="Y1682" s="43">
        <f t="shared" si="958"/>
        <v>0.10549105691056908</v>
      </c>
      <c r="Z1682" s="49"/>
      <c r="AA1682" s="24"/>
    </row>
    <row r="1683" spans="1:27" s="13" customFormat="1" hidden="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41.3</v>
      </c>
      <c r="V1683" s="13">
        <f>IF(ISNA(VLOOKUP(LOWER(F1683)&amp;H1683,Prices!A:C,2,0)),0,VLOOKUP(LOWER(F1683)&amp;H1683,Prices!A:C,2,0))</f>
        <v>42.53</v>
      </c>
      <c r="W1683" s="13">
        <f t="shared" si="956"/>
        <v>19206.233600000003</v>
      </c>
      <c r="X1683" s="13">
        <f t="shared" si="957"/>
        <v>1968.0000000000064</v>
      </c>
      <c r="Y1683" s="43">
        <f t="shared" si="958"/>
        <v>0.39331245085190047</v>
      </c>
      <c r="Z1683" s="49"/>
      <c r="AA1683" s="24"/>
    </row>
    <row r="1684" spans="1:27" s="13" customFormat="1" hidden="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41.3</v>
      </c>
      <c r="V1684" s="13">
        <f>IF(ISNA(VLOOKUP(LOWER(F1684)&amp;H1684,Prices!A:C,2,0)),0,VLOOKUP(LOWER(F1684)&amp;H1684,Prices!A:C,2,0))</f>
        <v>42.53</v>
      </c>
      <c r="W1684" s="13">
        <f t="shared" si="956"/>
        <v>19158.224000000002</v>
      </c>
      <c r="X1684" s="13">
        <f t="shared" si="957"/>
        <v>1968.0000000000064</v>
      </c>
      <c r="Y1684" s="43">
        <f t="shared" si="958"/>
        <v>0.39194402618657942</v>
      </c>
      <c r="Z1684" s="49"/>
      <c r="AA1684" s="24"/>
    </row>
    <row r="1685" spans="1:27" s="13" customFormat="1" hidden="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55.39</v>
      </c>
      <c r="V1685" s="13">
        <f>IF(ISNA(VLOOKUP(LOWER(F1685)&amp;H1685,Prices!A:C,2,0)),0,VLOOKUP(LOWER(F1685)&amp;H1685,Prices!A:C,2,0))</f>
        <v>57.19</v>
      </c>
      <c r="W1685" s="13">
        <f t="shared" si="956"/>
        <v>41237.948799999991</v>
      </c>
      <c r="X1685" s="13">
        <f t="shared" si="957"/>
        <v>2879.9999999999955</v>
      </c>
      <c r="Y1685" s="43">
        <f t="shared" si="958"/>
        <v>0.82055772047118736</v>
      </c>
      <c r="Z1685" s="49"/>
      <c r="AA1685" s="24"/>
    </row>
    <row r="1686" spans="1:27" s="13" customFormat="1" hidden="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41.3</v>
      </c>
      <c r="V1686" s="13">
        <f>IF(ISNA(VLOOKUP(LOWER(F1686)&amp;H1686,Prices!A:C,2,0)),0,VLOOKUP(LOWER(F1686)&amp;H1686,Prices!A:C,2,0))</f>
        <v>42.53</v>
      </c>
      <c r="W1686" s="13">
        <f t="shared" si="956"/>
        <v>18806.153599999998</v>
      </c>
      <c r="X1686" s="13">
        <f t="shared" si="957"/>
        <v>1968.0000000000064</v>
      </c>
      <c r="Y1686" s="43">
        <f t="shared" si="958"/>
        <v>0.38199044523886899</v>
      </c>
      <c r="Z1686" s="49"/>
      <c r="AA1686" s="24"/>
    </row>
    <row r="1687" spans="1:27" s="13" customFormat="1" hidden="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55.39</v>
      </c>
      <c r="V1687" s="13">
        <f>IF(ISNA(VLOOKUP(LOWER(F1687)&amp;H1687,Prices!A:C,2,0)),0,VLOOKUP(LOWER(F1687)&amp;H1687,Prices!A:C,2,0))</f>
        <v>57.19</v>
      </c>
      <c r="W1687" s="13">
        <f t="shared" si="956"/>
        <v>50667.26</v>
      </c>
      <c r="X1687" s="13">
        <f t="shared" si="957"/>
        <v>3599.9999999999945</v>
      </c>
      <c r="Y1687" s="43">
        <f t="shared" si="958"/>
        <v>0.79540439560439569</v>
      </c>
      <c r="Z1687" s="49"/>
      <c r="AA1687" s="24"/>
    </row>
    <row r="1688" spans="1:27" s="13" customFormat="1" hidden="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55.39</v>
      </c>
      <c r="V1688" s="13">
        <f>IF(ISNA(VLOOKUP(LOWER(F1688)&amp;H1688,Prices!A:C,2,0)),0,VLOOKUP(LOWER(F1688)&amp;H1688,Prices!A:C,2,0))</f>
        <v>57.19</v>
      </c>
      <c r="W1688" s="13">
        <f t="shared" ref="W1688:W1692" si="963">IF(I1688="B",(V1688+T1688)*K1688,(V1688+T1688)*K1688)</f>
        <v>-50476.775999999998</v>
      </c>
      <c r="X1688" s="13">
        <f t="shared" ref="X1688:X1692" si="964">K1688*(V1688-U1688)</f>
        <v>-3599.9999999999945</v>
      </c>
      <c r="Y1688" s="43">
        <f t="shared" ref="Y1688:Y1692" si="965">W1688/O1688</f>
        <v>-0.78894617067833694</v>
      </c>
      <c r="Z1688" s="49"/>
      <c r="AA1688" s="24"/>
    </row>
    <row r="1689" spans="1:27" s="13" customFormat="1" hidden="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650.07000000000005</v>
      </c>
      <c r="V1689" s="13">
        <f>IF(ISNA(VLOOKUP(LOWER(F1689)&amp;H1689,Prices!A:C,2,0)),0,VLOOKUP(LOWER(F1689)&amp;H1689,Prices!A:C,2,0))</f>
        <v>677.95</v>
      </c>
      <c r="W1689" s="13">
        <f t="shared" si="963"/>
        <v>-61682.092720000037</v>
      </c>
      <c r="X1689" s="13">
        <f t="shared" si="964"/>
        <v>-8363.9999999999982</v>
      </c>
      <c r="Y1689" s="43">
        <f t="shared" si="965"/>
        <v>-0.4347605847359669</v>
      </c>
      <c r="Z1689" s="49"/>
      <c r="AA1689" s="24"/>
    </row>
    <row r="1690" spans="1:27" s="13" customFormat="1" hidden="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31.44</v>
      </c>
      <c r="V1690" s="13">
        <f>IF(ISNA(VLOOKUP(LOWER(F1690)&amp;H1690,Prices!A:C,2,0)),0,VLOOKUP(LOWER(F1690)&amp;H1690,Prices!A:C,2,0))</f>
        <v>32.450000000000003</v>
      </c>
      <c r="W1690" s="13">
        <f t="shared" si="963"/>
        <v>589.40223999999398</v>
      </c>
      <c r="X1690" s="13">
        <f t="shared" si="964"/>
        <v>-3131.000000000005</v>
      </c>
      <c r="Y1690" s="43">
        <f t="shared" si="965"/>
        <v>5.8179239546728191E-3</v>
      </c>
      <c r="Z1690" s="49"/>
      <c r="AA1690" s="24"/>
    </row>
    <row r="1691" spans="1:27" s="13" customFormat="1" hidden="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55.39</v>
      </c>
      <c r="V1691" s="13">
        <f>IF(ISNA(VLOOKUP(LOWER(F1691)&amp;H1691,Prices!A:C,2,0)),0,VLOOKUP(LOWER(F1691)&amp;H1691,Prices!A:C,2,0))</f>
        <v>57.19</v>
      </c>
      <c r="W1691" s="13">
        <f t="shared" si="963"/>
        <v>41221.945599999999</v>
      </c>
      <c r="X1691" s="13">
        <f t="shared" si="964"/>
        <v>2879.9999999999955</v>
      </c>
      <c r="Y1691" s="43">
        <f t="shared" si="965"/>
        <v>0.81997823042647988</v>
      </c>
      <c r="Z1691" s="49"/>
      <c r="AA1691" s="24"/>
    </row>
    <row r="1692" spans="1:27" s="13" customFormat="1" hidden="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55.39</v>
      </c>
      <c r="V1692" s="13">
        <f>IF(ISNA(VLOOKUP(LOWER(F1692)&amp;H1692,Prices!A:C,2,0)),0,VLOOKUP(LOWER(F1692)&amp;H1692,Prices!A:C,2,0))</f>
        <v>57.19</v>
      </c>
      <c r="W1692" s="13">
        <f t="shared" si="963"/>
        <v>41237.948799999991</v>
      </c>
      <c r="X1692" s="13">
        <f t="shared" si="964"/>
        <v>2879.9999999999955</v>
      </c>
      <c r="Y1692" s="43">
        <f t="shared" si="965"/>
        <v>0.82055772047118736</v>
      </c>
      <c r="Z1692" s="49"/>
      <c r="AA1692" s="24"/>
    </row>
    <row r="1693" spans="1:27" s="13" customFormat="1" hidden="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43.74</v>
      </c>
      <c r="V1693" s="13">
        <f>IF(ISNA(VLOOKUP(LOWER(F1693)&amp;H1693,Prices!A:C,2,0)),0,VLOOKUP(LOWER(F1693)&amp;H1693,Prices!A:C,2,0))</f>
        <v>45.67</v>
      </c>
      <c r="W1693" s="13">
        <f t="shared" ref="W1693:W1699" si="970">IF(I1693="B",(V1693+T1693)*K1693,(V1693+T1693)*K1693)</f>
        <v>9122.6920000000082</v>
      </c>
      <c r="X1693" s="13">
        <f t="shared" ref="X1693:X1699" si="971">K1693*(V1693-U1693)</f>
        <v>1929.9999999999998</v>
      </c>
      <c r="Y1693" s="43">
        <f t="shared" ref="Y1693:Y1699" si="972">W1693/O1693</f>
        <v>0.24966316365626734</v>
      </c>
      <c r="Z1693" s="49"/>
      <c r="AA1693" s="24"/>
    </row>
    <row r="1694" spans="1:27" s="8" customFormat="1" hidden="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27.59</v>
      </c>
      <c r="V1694" s="8">
        <f>IF(ISNA(VLOOKUP(LOWER(F1694)&amp;H1694,Prices!A:C,2,0)),0,VLOOKUP(LOWER(F1694)&amp;H1694,Prices!A:C,2,0))</f>
        <v>28.05</v>
      </c>
      <c r="W1694" s="8">
        <f t="shared" si="970"/>
        <v>2494.3790000000022</v>
      </c>
      <c r="X1694" s="8">
        <f t="shared" si="971"/>
        <v>460.00000000000085</v>
      </c>
      <c r="Y1694" s="57">
        <f t="shared" si="972"/>
        <v>9.7627358121330804E-2</v>
      </c>
      <c r="Z1694" s="58"/>
      <c r="AA1694" s="59"/>
    </row>
    <row r="1695" spans="1:27" s="13" customFormat="1" hidden="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43.74</v>
      </c>
      <c r="V1695" s="13">
        <f>IF(ISNA(VLOOKUP(LOWER(F1695)&amp;H1695,Prices!A:C,2,0)),0,VLOOKUP(LOWER(F1695)&amp;H1695,Prices!A:C,2,0))</f>
        <v>45.67</v>
      </c>
      <c r="W1695" s="13">
        <f t="shared" si="970"/>
        <v>13684.038</v>
      </c>
      <c r="X1695" s="13">
        <f t="shared" si="971"/>
        <v>2894.9999999999995</v>
      </c>
      <c r="Y1695" s="43">
        <f t="shared" si="972"/>
        <v>0.24966316365626712</v>
      </c>
      <c r="Z1695" s="49"/>
      <c r="AA1695" s="24"/>
    </row>
    <row r="1696" spans="1:27" s="13" customFormat="1" hidden="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41.3</v>
      </c>
      <c r="V1696" s="13">
        <f>IF(ISNA(VLOOKUP(LOWER(F1696)&amp;H1696,Prices!A:C,2,0)),0,VLOOKUP(LOWER(F1696)&amp;H1696,Prices!A:C,2,0))</f>
        <v>42.53</v>
      </c>
      <c r="W1696" s="13">
        <f t="shared" si="970"/>
        <v>20662.524799999999</v>
      </c>
      <c r="X1696" s="13">
        <f t="shared" si="971"/>
        <v>1968.0000000000064</v>
      </c>
      <c r="Y1696" s="43">
        <f t="shared" si="972"/>
        <v>0.43613907463694696</v>
      </c>
      <c r="Z1696" s="49"/>
      <c r="AA1696" s="24"/>
    </row>
    <row r="1697" spans="1:27" s="8" customFormat="1" hidden="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27.59</v>
      </c>
      <c r="V1697" s="8">
        <f>IF(ISNA(VLOOKUP(LOWER(F1697)&amp;H1697,Prices!A:C,2,0)),0,VLOOKUP(LOWER(F1697)&amp;H1697,Prices!A:C,2,0))</f>
        <v>28.05</v>
      </c>
      <c r="W1697" s="8">
        <f t="shared" si="970"/>
        <v>4448.6392000000023</v>
      </c>
      <c r="X1697" s="8">
        <f t="shared" si="971"/>
        <v>920.00000000000171</v>
      </c>
      <c r="Y1697" s="57">
        <f t="shared" si="972"/>
        <v>8.6147157242447758E-2</v>
      </c>
      <c r="Z1697" s="58"/>
      <c r="AA1697" s="59"/>
    </row>
    <row r="1698" spans="1:27" s="8" customFormat="1" hidden="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32.79</v>
      </c>
      <c r="V1698" s="8">
        <f>IF(ISNA(VLOOKUP(LOWER(F1698)&amp;H1698,Prices!A:C,2,0)),0,VLOOKUP(LOWER(F1698)&amp;H1698,Prices!A:C,2,0))</f>
        <v>34.03</v>
      </c>
      <c r="W1698" s="8">
        <f t="shared" si="970"/>
        <v>11887.644799999996</v>
      </c>
      <c r="X1698" s="8">
        <f t="shared" si="971"/>
        <v>2480.0000000000041</v>
      </c>
      <c r="Y1698" s="57">
        <f t="shared" si="972"/>
        <v>0.21167458689458682</v>
      </c>
      <c r="Z1698" s="58"/>
      <c r="AA1698" s="59"/>
    </row>
    <row r="1699" spans="1:27" s="8" customFormat="1" hidden="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27.59</v>
      </c>
      <c r="V1699" s="8">
        <f>IF(ISNA(VLOOKUP(LOWER(F1699)&amp;H1699,Prices!A:C,2,0)),0,VLOOKUP(LOWER(F1699)&amp;H1699,Prices!A:C,2,0))</f>
        <v>28.05</v>
      </c>
      <c r="W1699" s="8">
        <f t="shared" si="970"/>
        <v>4528.656800000007</v>
      </c>
      <c r="X1699" s="8">
        <f t="shared" si="971"/>
        <v>920.00000000000171</v>
      </c>
      <c r="Y1699" s="57">
        <f t="shared" si="972"/>
        <v>8.7832754072924887E-2</v>
      </c>
      <c r="Z1699" s="58"/>
      <c r="AA1699" s="59"/>
    </row>
    <row r="1700" spans="1:27" s="13" customFormat="1" hidden="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27.6</v>
      </c>
      <c r="V1700" s="13">
        <f>IF(ISNA(VLOOKUP(LOWER(F1700)&amp;H1700,Prices!A:C,2,0)),0,VLOOKUP(LOWER(F1700)&amp;H1700,Prices!A:C,2,0))</f>
        <v>27.7</v>
      </c>
      <c r="W1700" s="13">
        <f t="shared" ref="W1700" si="977">IF(I1700="B",(V1700+T1700)*K1700,(V1700+T1700)*K1700)</f>
        <v>-33.794000000000324</v>
      </c>
      <c r="X1700" s="13">
        <f t="shared" ref="X1700" si="978">K1700*(V1700-U1700)</f>
        <v>-99.999999999997868</v>
      </c>
      <c r="Y1700" s="43">
        <f t="shared" ref="Y1700" si="979">W1700/O1700</f>
        <v>-1.2200000000000117E-3</v>
      </c>
      <c r="Z1700" s="49"/>
      <c r="AA1700" s="24"/>
    </row>
    <row r="1701" spans="1:27" s="13" customFormat="1" hidden="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43.74</v>
      </c>
      <c r="V1701" s="13">
        <f>IF(ISNA(VLOOKUP(LOWER(F1701)&amp;H1701,Prices!A:C,2,0)),0,VLOOKUP(LOWER(F1701)&amp;H1701,Prices!A:C,2,0))</f>
        <v>45.67</v>
      </c>
      <c r="W1701" s="13">
        <f t="shared" ref="W1701:W1705" si="984">IF(I1701="B",(V1701+T1701)*K1701,(V1701+T1701)*K1701)</f>
        <v>-16809.544000000002</v>
      </c>
      <c r="X1701" s="13">
        <f t="shared" ref="X1701:X1705" si="985">K1701*(V1701-U1701)</f>
        <v>-3859.9999999999995</v>
      </c>
      <c r="Y1701" s="43">
        <f t="shared" ref="Y1701:Y1705" si="986">W1701/O1701</f>
        <v>-0.22526861431251677</v>
      </c>
      <c r="Z1701" s="49"/>
      <c r="AA1701" s="24"/>
    </row>
    <row r="1702" spans="1:27" s="13" customFormat="1" hidden="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650.07000000000005</v>
      </c>
      <c r="V1702" s="13">
        <f>IF(ISNA(VLOOKUP(LOWER(F1702)&amp;H1702,Prices!A:C,2,0)),0,VLOOKUP(LOWER(F1702)&amp;H1702,Prices!A:C,2,0))</f>
        <v>677.95</v>
      </c>
      <c r="W1702" s="13">
        <f t="shared" si="984"/>
        <v>-20861.328020000008</v>
      </c>
      <c r="X1702" s="13">
        <f t="shared" si="985"/>
        <v>-2787.9999999999995</v>
      </c>
      <c r="Y1702" s="43">
        <f t="shared" si="986"/>
        <v>-0.44394305335064177</v>
      </c>
      <c r="Z1702" s="49"/>
      <c r="AA1702" s="24"/>
    </row>
    <row r="1703" spans="1:27" s="13" customFormat="1" hidden="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31.44</v>
      </c>
      <c r="V1703" s="13">
        <f>IF(ISNA(VLOOKUP(LOWER(F1703)&amp;H1703,Prices!A:C,2,0)),0,VLOOKUP(LOWER(F1703)&amp;H1703,Prices!A:C,2,0))</f>
        <v>32.450000000000003</v>
      </c>
      <c r="W1703" s="13">
        <f t="shared" si="984"/>
        <v>5531.0829400000057</v>
      </c>
      <c r="X1703" s="13">
        <f t="shared" si="985"/>
        <v>1717.0000000000027</v>
      </c>
      <c r="Y1703" s="43">
        <f t="shared" si="986"/>
        <v>0.11146208290510461</v>
      </c>
      <c r="Z1703" s="49"/>
      <c r="AA1703" s="24"/>
    </row>
    <row r="1704" spans="1:27" s="13" customFormat="1" hidden="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43.74</v>
      </c>
      <c r="V1704" s="13">
        <f>IF(ISNA(VLOOKUP(LOWER(F1704)&amp;H1704,Prices!A:C,2,0)),0,VLOOKUP(LOWER(F1704)&amp;H1704,Prices!A:C,2,0))</f>
        <v>45.67</v>
      </c>
      <c r="W1704" s="13">
        <f t="shared" si="984"/>
        <v>-17049.256000000016</v>
      </c>
      <c r="X1704" s="13">
        <f t="shared" si="985"/>
        <v>-3859.9999999999995</v>
      </c>
      <c r="Y1704" s="43">
        <f t="shared" si="986"/>
        <v>-0.22921828448507683</v>
      </c>
      <c r="Z1704" s="49"/>
      <c r="AA1704" s="24"/>
    </row>
    <row r="1705" spans="1:27" s="13" customFormat="1" hidden="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31.44</v>
      </c>
      <c r="V1705" s="13">
        <f>IF(ISNA(VLOOKUP(LOWER(F1705)&amp;H1705,Prices!A:C,2,0)),0,VLOOKUP(LOWER(F1705)&amp;H1705,Prices!A:C,2,0))</f>
        <v>32.450000000000003</v>
      </c>
      <c r="W1705" s="13">
        <f t="shared" si="984"/>
        <v>2594.5328000000018</v>
      </c>
      <c r="X1705" s="13">
        <f t="shared" si="985"/>
        <v>808.00000000000125</v>
      </c>
      <c r="Y1705" s="43">
        <f t="shared" si="986"/>
        <v>0.11106732876712336</v>
      </c>
      <c r="Z1705" s="49"/>
      <c r="AA1705" s="24"/>
    </row>
    <row r="1706" spans="1:27" s="13" customFormat="1" hidden="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13.35</v>
      </c>
      <c r="V1706" s="13">
        <f>IF(ISNA(VLOOKUP(LOWER(F1706)&amp;H1706,Prices!A:C,2,0)),0,VLOOKUP(LOWER(F1706)&amp;H1706,Prices!A:C,2,0))</f>
        <v>13.6</v>
      </c>
      <c r="W1706" s="13">
        <f t="shared" ref="W1706:W1725" si="991">IF(I1706="B",(V1706+T1706)*K1706,(V1706+T1706)*K1706)</f>
        <v>388.00000000000045</v>
      </c>
      <c r="X1706" s="13">
        <f t="shared" ref="X1706:X1725" si="992">K1706*(V1706-U1706)</f>
        <v>75</v>
      </c>
      <c r="Y1706" s="43">
        <f t="shared" ref="Y1706:Y1725" si="993">W1706/O1706</f>
        <v>0.105234608082452</v>
      </c>
      <c r="Z1706" s="49"/>
      <c r="AA1706" s="24"/>
    </row>
    <row r="1707" spans="1:27" s="13" customFormat="1" hidden="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13.35</v>
      </c>
      <c r="V1707" s="13">
        <f>IF(ISNA(VLOOKUP(LOWER(F1707)&amp;H1707,Prices!A:C,2,0)),0,VLOOKUP(LOWER(F1707)&amp;H1707,Prices!A:C,2,0))</f>
        <v>13.6</v>
      </c>
      <c r="W1707" s="13">
        <f t="shared" si="991"/>
        <v>634.99999999999977</v>
      </c>
      <c r="X1707" s="13">
        <f t="shared" si="992"/>
        <v>125</v>
      </c>
      <c r="Y1707" s="43">
        <f t="shared" si="993"/>
        <v>0.10308441558441554</v>
      </c>
      <c r="Z1707" s="49"/>
      <c r="AA1707" s="24"/>
    </row>
    <row r="1708" spans="1:27" s="13" customFormat="1" hidden="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31.44</v>
      </c>
      <c r="V1708" s="13">
        <f>IF(ISNA(VLOOKUP(LOWER(F1708)&amp;H1708,Prices!A:C,2,0)),0,VLOOKUP(LOWER(F1708)&amp;H1708,Prices!A:C,2,0))</f>
        <v>32.450000000000003</v>
      </c>
      <c r="W1708" s="13">
        <f t="shared" si="991"/>
        <v>1864.7129000000025</v>
      </c>
      <c r="X1708" s="13">
        <f t="shared" si="992"/>
        <v>505.0000000000008</v>
      </c>
      <c r="Y1708" s="43">
        <f t="shared" si="993"/>
        <v>0.12989988854057838</v>
      </c>
      <c r="Z1708" s="49"/>
      <c r="AA1708" s="24"/>
    </row>
    <row r="1709" spans="1:27" s="13" customFormat="1" hidden="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31.44</v>
      </c>
      <c r="V1709" s="13">
        <f>IF(ISNA(VLOOKUP(LOWER(F1709)&amp;H1709,Prices!A:C,2,0)),0,VLOOKUP(LOWER(F1709)&amp;H1709,Prices!A:C,2,0))</f>
        <v>32.450000000000003</v>
      </c>
      <c r="W1709" s="13">
        <f t="shared" si="991"/>
        <v>2226.6552400000014</v>
      </c>
      <c r="X1709" s="13">
        <f t="shared" si="992"/>
        <v>606.00000000000091</v>
      </c>
      <c r="Y1709" s="43">
        <f t="shared" si="993"/>
        <v>0.12917132149901389</v>
      </c>
      <c r="Z1709" s="49"/>
      <c r="AA1709" s="24"/>
    </row>
    <row r="1710" spans="1:27" s="13" customFormat="1" hidden="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31.44</v>
      </c>
      <c r="V1710" s="13">
        <f>IF(ISNA(VLOOKUP(LOWER(F1710)&amp;H1710,Prices!A:C,2,0)),0,VLOOKUP(LOWER(F1710)&amp;H1710,Prices!A:C,2,0))</f>
        <v>32.450000000000003</v>
      </c>
      <c r="W1710" s="13">
        <f t="shared" si="991"/>
        <v>2226.6552400000014</v>
      </c>
      <c r="X1710" s="13">
        <f t="shared" si="992"/>
        <v>606.00000000000091</v>
      </c>
      <c r="Y1710" s="43">
        <f t="shared" si="993"/>
        <v>0.12917132149901389</v>
      </c>
      <c r="Z1710" s="49"/>
      <c r="AA1710" s="24"/>
    </row>
    <row r="1711" spans="1:27" s="13" customFormat="1" hidden="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55.39</v>
      </c>
      <c r="V1711" s="13">
        <f>IF(ISNA(VLOOKUP(LOWER(F1711)&amp;H1711,Prices!A:C,2,0)),0,VLOOKUP(LOWER(F1711)&amp;H1711,Prices!A:C,2,0))</f>
        <v>57.19</v>
      </c>
      <c r="W1711" s="13">
        <f t="shared" si="991"/>
        <v>-50017.327999999994</v>
      </c>
      <c r="X1711" s="13">
        <f t="shared" si="992"/>
        <v>-3599.9999999999945</v>
      </c>
      <c r="Y1711" s="43">
        <f t="shared" si="993"/>
        <v>-0.77618448168839216</v>
      </c>
      <c r="Z1711" s="49"/>
      <c r="AA1711" s="24"/>
    </row>
    <row r="1712" spans="1:27" s="13" customFormat="1" hidden="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13.35</v>
      </c>
      <c r="V1712" s="13">
        <f>IF(ISNA(VLOOKUP(LOWER(F1712)&amp;H1712,Prices!A:C,2,0)),0,VLOOKUP(LOWER(F1712)&amp;H1712,Prices!A:C,2,0))</f>
        <v>13.6</v>
      </c>
      <c r="W1712" s="13">
        <f t="shared" si="991"/>
        <v>1336.9999999999993</v>
      </c>
      <c r="X1712" s="13">
        <f t="shared" si="992"/>
        <v>275</v>
      </c>
      <c r="Y1712" s="43">
        <f t="shared" si="993"/>
        <v>9.8178880892935777E-2</v>
      </c>
      <c r="Z1712" s="49"/>
      <c r="AA1712" s="24"/>
    </row>
    <row r="1713" spans="1:27" s="13" customFormat="1" hidden="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13.35</v>
      </c>
      <c r="V1713" s="13">
        <f>IF(ISNA(VLOOKUP(LOWER(F1713)&amp;H1713,Prices!A:C,2,0)),0,VLOOKUP(LOWER(F1713)&amp;H1713,Prices!A:C,2,0))</f>
        <v>13.6</v>
      </c>
      <c r="W1713" s="13">
        <f t="shared" si="991"/>
        <v>1154.9999999999993</v>
      </c>
      <c r="X1713" s="13">
        <f t="shared" si="992"/>
        <v>250</v>
      </c>
      <c r="Y1713" s="43">
        <f t="shared" si="993"/>
        <v>9.2845659163987085E-2</v>
      </c>
      <c r="Z1713" s="49"/>
      <c r="AA1713" s="24"/>
    </row>
    <row r="1714" spans="1:27" s="13" customFormat="1" hidden="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13.35</v>
      </c>
      <c r="V1714" s="13">
        <f>IF(ISNA(VLOOKUP(LOWER(F1714)&amp;H1714,Prices!A:C,2,0)),0,VLOOKUP(LOWER(F1714)&amp;H1714,Prices!A:C,2,0))</f>
        <v>13.6</v>
      </c>
      <c r="W1714" s="13">
        <f t="shared" si="991"/>
        <v>1164.9999999999991</v>
      </c>
      <c r="X1714" s="13">
        <f t="shared" si="992"/>
        <v>250</v>
      </c>
      <c r="Y1714" s="43">
        <f t="shared" si="993"/>
        <v>9.3724859211584799E-2</v>
      </c>
      <c r="Z1714" s="49"/>
      <c r="AA1714" s="24"/>
    </row>
    <row r="1715" spans="1:27" s="13" customFormat="1" hidden="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31.44</v>
      </c>
      <c r="V1715" s="13">
        <f>IF(ISNA(VLOOKUP(LOWER(F1715)&amp;H1715,Prices!A:C,2,0)),0,VLOOKUP(LOWER(F1715)&amp;H1715,Prices!A:C,2,0))</f>
        <v>32.450000000000003</v>
      </c>
      <c r="W1715" s="13">
        <f t="shared" si="991"/>
        <v>1866.6480400000019</v>
      </c>
      <c r="X1715" s="13">
        <f t="shared" si="992"/>
        <v>606.00000000000091</v>
      </c>
      <c r="Y1715" s="43">
        <f t="shared" si="993"/>
        <v>0.10607160131833174</v>
      </c>
      <c r="Z1715" s="49" t="s">
        <v>3813</v>
      </c>
      <c r="AA1715" s="24"/>
    </row>
    <row r="1716" spans="1:27" s="13" customFormat="1" hidden="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31.44</v>
      </c>
      <c r="V1716" s="13">
        <f>IF(ISNA(VLOOKUP(LOWER(F1716)&amp;H1716,Prices!A:C,2,0)),0,VLOOKUP(LOWER(F1716)&amp;H1716,Prices!A:C,2,0))</f>
        <v>32.450000000000003</v>
      </c>
      <c r="W1716" s="13">
        <f t="shared" si="991"/>
        <v>1758.6458800000023</v>
      </c>
      <c r="X1716" s="13">
        <f t="shared" si="992"/>
        <v>606.00000000000091</v>
      </c>
      <c r="Y1716" s="43">
        <f t="shared" si="993"/>
        <v>9.9324854851462918E-2</v>
      </c>
      <c r="Z1716" s="49"/>
      <c r="AA1716" s="24"/>
    </row>
    <row r="1717" spans="1:27" s="13" customFormat="1" hidden="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31.44</v>
      </c>
      <c r="V1717" s="13">
        <f>IF(ISNA(VLOOKUP(LOWER(F1717)&amp;H1717,Prices!A:C,2,0)),0,VLOOKUP(LOWER(F1717)&amp;H1717,Prices!A:C,2,0))</f>
        <v>32.450000000000003</v>
      </c>
      <c r="W1717" s="13">
        <f t="shared" si="991"/>
        <v>1752.6457600000022</v>
      </c>
      <c r="X1717" s="13">
        <f t="shared" si="992"/>
        <v>606.00000000000091</v>
      </c>
      <c r="Y1717" s="43">
        <f t="shared" si="993"/>
        <v>9.895244805781403E-2</v>
      </c>
      <c r="Z1717" s="49"/>
      <c r="AA1717" s="24"/>
    </row>
    <row r="1718" spans="1:27" s="13" customFormat="1" hidden="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31.44</v>
      </c>
      <c r="V1718" s="13">
        <f>IF(ISNA(VLOOKUP(LOWER(F1718)&amp;H1718,Prices!A:C,2,0)),0,VLOOKUP(LOWER(F1718)&amp;H1718,Prices!A:C,2,0))</f>
        <v>32.450000000000003</v>
      </c>
      <c r="W1718" s="13">
        <f t="shared" si="991"/>
        <v>1734.6454000000037</v>
      </c>
      <c r="X1718" s="13">
        <f t="shared" si="992"/>
        <v>606.00000000000091</v>
      </c>
      <c r="Y1718" s="43">
        <f t="shared" si="993"/>
        <v>9.783673998871989E-2</v>
      </c>
      <c r="Z1718" s="49"/>
      <c r="AA1718" s="24"/>
    </row>
    <row r="1719" spans="1:27" s="13" customFormat="1" hidden="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55.39</v>
      </c>
      <c r="V1719" s="13">
        <f>IF(ISNA(VLOOKUP(LOWER(F1719)&amp;H1719,Prices!A:C,2,0)),0,VLOOKUP(LOWER(F1719)&amp;H1719,Prices!A:C,2,0))</f>
        <v>57.19</v>
      </c>
      <c r="W1719" s="13">
        <f t="shared" si="991"/>
        <v>-49757.639999999992</v>
      </c>
      <c r="X1719" s="13">
        <f t="shared" si="992"/>
        <v>-3599.9999999999945</v>
      </c>
      <c r="Y1719" s="43">
        <f t="shared" si="993"/>
        <v>-0.76905162287480666</v>
      </c>
      <c r="Z1719" s="49"/>
      <c r="AA1719" s="24"/>
    </row>
    <row r="1720" spans="1:27" s="13" customFormat="1" hidden="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27.07</v>
      </c>
      <c r="V1720" s="13">
        <f>IF(ISNA(VLOOKUP(LOWER(F1720)&amp;H1720,Prices!A:C,2,0)),0,VLOOKUP(LOWER(F1720)&amp;H1720,Prices!A:C,2,0))</f>
        <v>27.07</v>
      </c>
      <c r="W1720" s="13">
        <f t="shared" si="991"/>
        <v>6064.5800000000027</v>
      </c>
      <c r="X1720" s="13">
        <f t="shared" si="992"/>
        <v>0</v>
      </c>
      <c r="Y1720" s="43">
        <f t="shared" si="993"/>
        <v>0.28878952380952394</v>
      </c>
      <c r="Z1720" s="49"/>
      <c r="AA1720" s="24"/>
    </row>
    <row r="1721" spans="1:27" s="13" customFormat="1" hidden="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27.07</v>
      </c>
      <c r="V1721" s="13">
        <f>IF(ISNA(VLOOKUP(LOWER(F1721)&amp;H1721,Prices!A:C,2,0)),0,VLOOKUP(LOWER(F1721)&amp;H1721,Prices!A:C,2,0))</f>
        <v>27.07</v>
      </c>
      <c r="W1721" s="13">
        <f t="shared" si="991"/>
        <v>6104.5808000000006</v>
      </c>
      <c r="X1721" s="13">
        <f t="shared" si="992"/>
        <v>0</v>
      </c>
      <c r="Y1721" s="43">
        <f t="shared" si="993"/>
        <v>0.29124908396946569</v>
      </c>
      <c r="Z1721" s="49"/>
      <c r="AA1721" s="24"/>
    </row>
    <row r="1722" spans="1:27" s="13" customFormat="1" hidden="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43.74</v>
      </c>
      <c r="V1722" s="13">
        <f>IF(ISNA(VLOOKUP(LOWER(F1722)&amp;H1722,Prices!A:C,2,0)),0,VLOOKUP(LOWER(F1722)&amp;H1722,Prices!A:C,2,0))</f>
        <v>45.67</v>
      </c>
      <c r="W1722" s="13">
        <f t="shared" si="991"/>
        <v>-13778.727400000002</v>
      </c>
      <c r="X1722" s="13">
        <f t="shared" si="992"/>
        <v>-3280.9999999999995</v>
      </c>
      <c r="Y1722" s="43">
        <f t="shared" si="993"/>
        <v>-0.21550475311634892</v>
      </c>
      <c r="Z1722" s="49"/>
      <c r="AA1722" s="24"/>
    </row>
    <row r="1723" spans="1:27" s="13" customFormat="1" hidden="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27.07</v>
      </c>
      <c r="V1723" s="13">
        <f>IF(ISNA(VLOOKUP(LOWER(F1723)&amp;H1723,Prices!A:C,2,0)),0,VLOOKUP(LOWER(F1723)&amp;H1723,Prices!A:C,2,0))</f>
        <v>27.07</v>
      </c>
      <c r="W1723" s="13">
        <f t="shared" si="991"/>
        <v>6074.5801999999994</v>
      </c>
      <c r="X1723" s="13">
        <f t="shared" si="992"/>
        <v>0</v>
      </c>
      <c r="Y1723" s="43">
        <f t="shared" si="993"/>
        <v>0.2894035350166746</v>
      </c>
      <c r="Z1723" s="49"/>
      <c r="AA1723" s="24"/>
    </row>
    <row r="1724" spans="1:27" s="8" customFormat="1" hidden="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32.79</v>
      </c>
      <c r="V1724" s="8">
        <f>IF(ISNA(VLOOKUP(LOWER(F1724)&amp;H1724,Prices!A:C,2,0)),0,VLOOKUP(LOWER(F1724)&amp;H1724,Prices!A:C,2,0))</f>
        <v>34.03</v>
      </c>
      <c r="W1724" s="8">
        <f t="shared" si="991"/>
        <v>13687.537680000005</v>
      </c>
      <c r="X1724" s="8">
        <f t="shared" si="992"/>
        <v>2232.0000000000036</v>
      </c>
      <c r="Y1724" s="57">
        <f t="shared" si="993"/>
        <v>0.28781936411809245</v>
      </c>
      <c r="Z1724" s="58"/>
      <c r="AA1724" s="59"/>
    </row>
    <row r="1725" spans="1:27" s="8" customFormat="1" hidden="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32.79</v>
      </c>
      <c r="V1725" s="8">
        <f>IF(ISNA(VLOOKUP(LOWER(F1725)&amp;H1725,Prices!A:C,2,0)),0,VLOOKUP(LOWER(F1725)&amp;H1725,Prices!A:C,2,0))</f>
        <v>34.03</v>
      </c>
      <c r="W1725" s="8">
        <f t="shared" si="991"/>
        <v>13669.533720000001</v>
      </c>
      <c r="X1725" s="8">
        <f t="shared" si="992"/>
        <v>2232.0000000000036</v>
      </c>
      <c r="Y1725" s="57">
        <f t="shared" si="993"/>
        <v>0.28733202421490733</v>
      </c>
      <c r="Z1725" s="58"/>
      <c r="AA1725" s="59"/>
    </row>
    <row r="1726" spans="1:27" s="13" customFormat="1" hidden="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31.44</v>
      </c>
      <c r="V1726" s="13">
        <f>IF(ISNA(VLOOKUP(LOWER(F1726)&amp;H1726,Prices!A:C,2,0)),0,VLOOKUP(LOWER(F1726)&amp;H1726,Prices!A:C,2,0))</f>
        <v>32.450000000000003</v>
      </c>
      <c r="W1726" s="13">
        <f t="shared" ref="W1726:W1749" si="998">IF(I1726="B",(V1726+T1726)*K1726,(V1726+T1726)*K1726)</f>
        <v>-5558.4106400000119</v>
      </c>
      <c r="X1726" s="13">
        <f t="shared" ref="X1726:X1749" si="999">K1726*(V1726-U1726)</f>
        <v>-2222.0000000000036</v>
      </c>
      <c r="Y1726" s="43">
        <f t="shared" ref="Y1726:Y1749" si="1000">W1726/O1726</f>
        <v>-8.4330784075737533E-2</v>
      </c>
      <c r="Z1726" s="49">
        <v>-528</v>
      </c>
      <c r="AA1726" s="24"/>
    </row>
    <row r="1727" spans="1:27" s="13" customFormat="1" hidden="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27.07</v>
      </c>
      <c r="V1727" s="13">
        <f>IF(ISNA(VLOOKUP(LOWER(F1727)&amp;H1727,Prices!A:C,2,0)),0,VLOOKUP(LOWER(F1727)&amp;H1727,Prices!A:C,2,0))</f>
        <v>27.07</v>
      </c>
      <c r="W1727" s="13">
        <f t="shared" si="998"/>
        <v>-11552.0208</v>
      </c>
      <c r="X1727" s="13">
        <f t="shared" si="999"/>
        <v>0</v>
      </c>
      <c r="Y1727" s="43">
        <f t="shared" si="1000"/>
        <v>-0.27091981238273921</v>
      </c>
      <c r="Z1727" s="49">
        <v>-888</v>
      </c>
      <c r="AA1727" s="24"/>
    </row>
    <row r="1728" spans="1:27" s="13" customFormat="1" hidden="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27.07</v>
      </c>
      <c r="V1728" s="13">
        <f>IF(ISNA(VLOOKUP(LOWER(F1728)&amp;H1728,Prices!A:C,2,0)),0,VLOOKUP(LOWER(F1728)&amp;H1728,Prices!A:C,2,0))</f>
        <v>27.07</v>
      </c>
      <c r="W1728" s="13">
        <f t="shared" si="998"/>
        <v>-23104.0416</v>
      </c>
      <c r="X1728" s="13">
        <f t="shared" si="999"/>
        <v>0</v>
      </c>
      <c r="Y1728" s="43">
        <f t="shared" si="1000"/>
        <v>-0.27091981238273921</v>
      </c>
      <c r="Z1728" s="49">
        <v>0</v>
      </c>
      <c r="AA1728" s="24"/>
    </row>
    <row r="1729" spans="1:27" s="8" customFormat="1" hidden="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27.59</v>
      </c>
      <c r="V1729" s="8">
        <f>IF(ISNA(VLOOKUP(LOWER(F1729)&amp;H1729,Prices!A:C,2,0)),0,VLOOKUP(LOWER(F1729)&amp;H1729,Prices!A:C,2,0))</f>
        <v>28.05</v>
      </c>
      <c r="W1729" s="8">
        <f t="shared" si="998"/>
        <v>-3941.4203200000029</v>
      </c>
      <c r="X1729" s="8">
        <f t="shared" si="999"/>
        <v>-1104.000000000002</v>
      </c>
      <c r="Y1729" s="57">
        <f t="shared" si="1000"/>
        <v>-6.2112650025214371E-2</v>
      </c>
      <c r="Z1729" s="58"/>
      <c r="AA1729" s="59"/>
    </row>
    <row r="1730" spans="1:27" s="13" customFormat="1" hidden="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41.3</v>
      </c>
      <c r="V1730" s="13">
        <f>IF(ISNA(VLOOKUP(LOWER(F1730)&amp;H1730,Prices!A:C,2,0)),0,VLOOKUP(LOWER(F1730)&amp;H1730,Prices!A:C,2,0))</f>
        <v>42.53</v>
      </c>
      <c r="W1730" s="13">
        <f t="shared" si="998"/>
        <v>-22974.592000000008</v>
      </c>
      <c r="X1730" s="13">
        <f t="shared" si="999"/>
        <v>-2460.0000000000082</v>
      </c>
      <c r="Y1730" s="43">
        <f t="shared" si="1000"/>
        <v>-0.36960411840411855</v>
      </c>
      <c r="Z1730" s="49"/>
      <c r="AA1730" s="24"/>
    </row>
    <row r="1731" spans="1:27" s="13" customFormat="1" hidden="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41.3</v>
      </c>
      <c r="V1731" s="13">
        <f>IF(ISNA(VLOOKUP(LOWER(F1731)&amp;H1731,Prices!A:C,2,0)),0,VLOOKUP(LOWER(F1731)&amp;H1731,Prices!A:C,2,0))</f>
        <v>42.53</v>
      </c>
      <c r="W1731" s="13">
        <f t="shared" si="998"/>
        <v>-28793.155000000006</v>
      </c>
      <c r="X1731" s="13">
        <f t="shared" si="999"/>
        <v>-3075.00000000001</v>
      </c>
      <c r="Y1731" s="43">
        <f t="shared" si="1000"/>
        <v>-0.37092631239935597</v>
      </c>
      <c r="Z1731" s="49"/>
      <c r="AA1731" s="24"/>
    </row>
    <row r="1732" spans="1:27" s="8" customFormat="1" hidden="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32.79</v>
      </c>
      <c r="V1732" s="8">
        <f>IF(ISNA(VLOOKUP(LOWER(F1732)&amp;H1732,Prices!A:C,2,0)),0,VLOOKUP(LOWER(F1732)&amp;H1732,Prices!A:C,2,0))</f>
        <v>34.03</v>
      </c>
      <c r="W1732" s="8">
        <f t="shared" si="998"/>
        <v>-24263.531459999998</v>
      </c>
      <c r="X1732" s="8">
        <f t="shared" si="999"/>
        <v>-4092.0000000000064</v>
      </c>
      <c r="Y1732" s="57">
        <f t="shared" si="1000"/>
        <v>-0.2752746271399884</v>
      </c>
      <c r="Z1732" s="58">
        <v>-100.8</v>
      </c>
      <c r="AA1732" s="59"/>
    </row>
    <row r="1733" spans="1:27" s="13" customFormat="1" hidden="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31.44</v>
      </c>
      <c r="V1733" s="13">
        <f>IF(ISNA(VLOOKUP(LOWER(F1733)&amp;H1733,Prices!A:C,2,0)),0,VLOOKUP(LOWER(F1733)&amp;H1733,Prices!A:C,2,0))</f>
        <v>32.450000000000003</v>
      </c>
      <c r="W1733" s="13">
        <f t="shared" si="998"/>
        <v>-8372.608480000019</v>
      </c>
      <c r="X1733" s="13">
        <f t="shared" si="999"/>
        <v>-3232.000000000005</v>
      </c>
      <c r="Y1733" s="43">
        <f t="shared" si="1000"/>
        <v>-8.7594246735855572E-2</v>
      </c>
      <c r="Z1733" s="49">
        <v>-528</v>
      </c>
      <c r="AA1733" s="24"/>
    </row>
    <row r="1734" spans="1:27" s="13" customFormat="1" hidden="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13.35</v>
      </c>
      <c r="V1734" s="13">
        <f>IF(ISNA(VLOOKUP(LOWER(F1734)&amp;H1734,Prices!A:C,2,0)),0,VLOOKUP(LOWER(F1734)&amp;H1734,Prices!A:C,2,0))</f>
        <v>13.6</v>
      </c>
      <c r="W1734" s="13">
        <f t="shared" si="998"/>
        <v>5190.1599999999989</v>
      </c>
      <c r="X1734" s="13">
        <f t="shared" si="999"/>
        <v>1000</v>
      </c>
      <c r="Y1734" s="43">
        <f t="shared" si="1000"/>
        <v>0.10549105691056908</v>
      </c>
      <c r="Z1734" s="49"/>
      <c r="AA1734" s="24"/>
    </row>
    <row r="1735" spans="1:27" s="13" customFormat="1" hidden="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41.3</v>
      </c>
      <c r="V1735" s="13">
        <f>IF(ISNA(VLOOKUP(LOWER(F1735)&amp;H1735,Prices!A:C,2,0)),0,VLOOKUP(LOWER(F1735)&amp;H1735,Prices!A:C,2,0))</f>
        <v>42.53</v>
      </c>
      <c r="W1735" s="13">
        <f t="shared" si="998"/>
        <v>-18114.886999999999</v>
      </c>
      <c r="X1735" s="13">
        <f t="shared" si="999"/>
        <v>-1845.0000000000059</v>
      </c>
      <c r="Y1735" s="43">
        <f t="shared" si="1000"/>
        <v>-0.39608367770853831</v>
      </c>
      <c r="Z1735" s="49"/>
      <c r="AA1735" s="24"/>
    </row>
    <row r="1736" spans="1:27" s="13" customFormat="1" hidden="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27.6</v>
      </c>
      <c r="V1736" s="13">
        <f>IF(ISNA(VLOOKUP(LOWER(F1736)&amp;H1736,Prices!A:C,2,0)),0,VLOOKUP(LOWER(F1736)&amp;H1736,Prices!A:C,2,0))</f>
        <v>27.7</v>
      </c>
      <c r="W1736" s="13">
        <f t="shared" si="998"/>
        <v>214.72739999999925</v>
      </c>
      <c r="X1736" s="13">
        <f t="shared" si="999"/>
        <v>49.999999999998934</v>
      </c>
      <c r="Y1736" s="43">
        <f t="shared" si="1000"/>
        <v>1.5754027879677127E-2</v>
      </c>
      <c r="Z1736" s="49"/>
      <c r="AA1736" s="24"/>
    </row>
    <row r="1737" spans="1:27" s="13" customFormat="1" hidden="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27.6</v>
      </c>
      <c r="V1737" s="13">
        <f>IF(ISNA(VLOOKUP(LOWER(F1737)&amp;H1737,Prices!A:C,2,0)),0,VLOOKUP(LOWER(F1737)&amp;H1737,Prices!A:C,2,0))</f>
        <v>27.7</v>
      </c>
      <c r="W1737" s="13">
        <f t="shared" si="998"/>
        <v>184.72679999999997</v>
      </c>
      <c r="X1737" s="13">
        <f t="shared" si="999"/>
        <v>49.999999999998934</v>
      </c>
      <c r="Y1737" s="43">
        <f t="shared" si="1000"/>
        <v>1.3523191800878475E-2</v>
      </c>
      <c r="Z1737" s="49"/>
      <c r="AA1737" s="24"/>
    </row>
    <row r="1738" spans="1:27" s="13" customFormat="1" hidden="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27.6</v>
      </c>
      <c r="V1738" s="13">
        <f>IF(ISNA(VLOOKUP(LOWER(F1738)&amp;H1738,Prices!A:C,2,0)),0,VLOOKUP(LOWER(F1738)&amp;H1738,Prices!A:C,2,0))</f>
        <v>27.7</v>
      </c>
      <c r="W1738" s="13">
        <f t="shared" si="998"/>
        <v>174.72659999999962</v>
      </c>
      <c r="X1738" s="13">
        <f t="shared" si="999"/>
        <v>49.999999999998934</v>
      </c>
      <c r="Y1738" s="43">
        <f t="shared" si="1000"/>
        <v>1.2781755669348912E-2</v>
      </c>
      <c r="Z1738" s="49"/>
      <c r="AA1738" s="24"/>
    </row>
    <row r="1739" spans="1:27" s="13" customFormat="1" hidden="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27.6</v>
      </c>
      <c r="V1739" s="13">
        <f>IF(ISNA(VLOOKUP(LOWER(F1739)&amp;H1739,Prices!A:C,2,0)),0,VLOOKUP(LOWER(F1739)&amp;H1739,Prices!A:C,2,0))</f>
        <v>27.7</v>
      </c>
      <c r="W1739" s="13">
        <f t="shared" si="998"/>
        <v>164.72639999999927</v>
      </c>
      <c r="X1739" s="13">
        <f t="shared" si="999"/>
        <v>49.999999999998934</v>
      </c>
      <c r="Y1739" s="43">
        <f t="shared" si="1000"/>
        <v>1.2041403508771876E-2</v>
      </c>
      <c r="Z1739" s="49"/>
      <c r="AA1739" s="24"/>
    </row>
    <row r="1740" spans="1:27" s="13" customFormat="1" hidden="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27.6</v>
      </c>
      <c r="V1740" s="13">
        <f>IF(ISNA(VLOOKUP(LOWER(F1740)&amp;H1740,Prices!A:C,2,0)),0,VLOOKUP(LOWER(F1740)&amp;H1740,Prices!A:C,2,0))</f>
        <v>27.7</v>
      </c>
      <c r="W1740" s="13">
        <f t="shared" si="998"/>
        <v>153.7261799999996</v>
      </c>
      <c r="X1740" s="13">
        <f t="shared" si="999"/>
        <v>49.999999999998934</v>
      </c>
      <c r="Y1740" s="43">
        <f t="shared" si="1000"/>
        <v>1.1228265283763026E-2</v>
      </c>
      <c r="Z1740" s="49"/>
      <c r="AA1740" s="24"/>
    </row>
    <row r="1741" spans="1:27" s="13" customFormat="1" hidden="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27.6</v>
      </c>
      <c r="V1741" s="13">
        <f>IF(ISNA(VLOOKUP(LOWER(F1741)&amp;H1741,Prices!A:C,2,0)),0,VLOOKUP(LOWER(F1741)&amp;H1741,Prices!A:C,2,0))</f>
        <v>27.7</v>
      </c>
      <c r="W1741" s="13">
        <f t="shared" si="998"/>
        <v>144.72600000000034</v>
      </c>
      <c r="X1741" s="13">
        <f t="shared" si="999"/>
        <v>49.999999999998934</v>
      </c>
      <c r="Y1741" s="43">
        <f t="shared" si="1000"/>
        <v>1.0563941605839441E-2</v>
      </c>
      <c r="Z1741" s="49"/>
      <c r="AA1741" s="24"/>
    </row>
    <row r="1742" spans="1:27" s="13" customFormat="1" hidden="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27.6</v>
      </c>
      <c r="V1742" s="13">
        <f>IF(ISNA(VLOOKUP(LOWER(F1742)&amp;H1742,Prices!A:C,2,0)),0,VLOOKUP(LOWER(F1742)&amp;H1742,Prices!A:C,2,0))</f>
        <v>27.7</v>
      </c>
      <c r="W1742" s="13">
        <f t="shared" si="998"/>
        <v>273.96759999999887</v>
      </c>
      <c r="X1742" s="13">
        <f t="shared" si="999"/>
        <v>99.999999999997868</v>
      </c>
      <c r="Y1742" s="43">
        <f t="shared" si="1000"/>
        <v>9.9915244347191425E-3</v>
      </c>
      <c r="Z1742" s="49"/>
      <c r="AA1742" s="24"/>
    </row>
    <row r="1743" spans="1:27" s="13" customFormat="1" hidden="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27.6</v>
      </c>
      <c r="V1743" s="13">
        <f>IF(ISNA(VLOOKUP(LOWER(F1743)&amp;H1743,Prices!A:C,2,0)),0,VLOOKUP(LOWER(F1743)&amp;H1743,Prices!A:C,2,0))</f>
        <v>27.7</v>
      </c>
      <c r="W1743" s="13">
        <f t="shared" si="998"/>
        <v>223.95660000000106</v>
      </c>
      <c r="X1743" s="13">
        <f t="shared" si="999"/>
        <v>99.999999999997868</v>
      </c>
      <c r="Y1743" s="43">
        <f t="shared" si="1000"/>
        <v>8.1527702948671656E-3</v>
      </c>
      <c r="Z1743" s="49"/>
      <c r="AA1743" s="24"/>
    </row>
    <row r="1744" spans="1:27" s="13" customFormat="1" hidden="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27.6</v>
      </c>
      <c r="V1744" s="13">
        <f>IF(ISNA(VLOOKUP(LOWER(F1744)&amp;H1744,Prices!A:C,2,0)),0,VLOOKUP(LOWER(F1744)&amp;H1744,Prices!A:C,2,0))</f>
        <v>27.7</v>
      </c>
      <c r="W1744" s="13">
        <f t="shared" si="998"/>
        <v>174.50500000000133</v>
      </c>
      <c r="X1744" s="13">
        <f t="shared" si="999"/>
        <v>89.999999999998082</v>
      </c>
      <c r="Y1744" s="43">
        <f t="shared" si="1000"/>
        <v>7.0507070707071249E-3</v>
      </c>
      <c r="Z1744" s="49"/>
      <c r="AA1744" s="24"/>
    </row>
    <row r="1745" spans="1:27" s="13" customFormat="1" hidden="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27.6</v>
      </c>
      <c r="V1745" s="13">
        <f>IF(ISNA(VLOOKUP(LOWER(F1745)&amp;H1745,Prices!A:C,2,0)),0,VLOOKUP(LOWER(F1745)&amp;H1745,Prices!A:C,2,0))</f>
        <v>27.7</v>
      </c>
      <c r="W1745" s="13">
        <f t="shared" si="998"/>
        <v>201.50553999999909</v>
      </c>
      <c r="X1745" s="13">
        <f t="shared" si="999"/>
        <v>89.999999999998082</v>
      </c>
      <c r="Y1745" s="43">
        <f t="shared" si="1000"/>
        <v>8.1505294664886586E-3</v>
      </c>
      <c r="Z1745" s="49"/>
      <c r="AA1745" s="24"/>
    </row>
    <row r="1746" spans="1:27" s="13" customFormat="1" hidden="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27.6</v>
      </c>
      <c r="V1746" s="13">
        <f>IF(ISNA(VLOOKUP(LOWER(F1746)&amp;H1746,Prices!A:C,2,0)),0,VLOOKUP(LOWER(F1746)&amp;H1746,Prices!A:C,2,0))</f>
        <v>27.7</v>
      </c>
      <c r="W1746" s="13">
        <f t="shared" si="998"/>
        <v>219.50589999999971</v>
      </c>
      <c r="X1746" s="13">
        <f t="shared" si="999"/>
        <v>89.999999999998082</v>
      </c>
      <c r="Y1746" s="43">
        <f t="shared" si="1000"/>
        <v>8.8850799433312973E-3</v>
      </c>
      <c r="Z1746" s="49"/>
      <c r="AA1746" s="24"/>
    </row>
    <row r="1747" spans="1:27" s="13" customFormat="1" hidden="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27.6</v>
      </c>
      <c r="V1747" s="13">
        <f>IF(ISNA(VLOOKUP(LOWER(F1747)&amp;H1747,Prices!A:C,2,0)),0,VLOOKUP(LOWER(F1747)&amp;H1747,Prices!A:C,2,0))</f>
        <v>27.7</v>
      </c>
      <c r="W1747" s="13">
        <f t="shared" si="998"/>
        <v>83.925799999999384</v>
      </c>
      <c r="X1747" s="13">
        <f t="shared" si="999"/>
        <v>99.999999999997868</v>
      </c>
      <c r="Y1747" s="43">
        <f t="shared" si="1000"/>
        <v>3.03968851865264E-3</v>
      </c>
      <c r="Z1747" s="49"/>
      <c r="AA1747" s="24"/>
    </row>
    <row r="1748" spans="1:27" s="13" customFormat="1" hidden="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27.6</v>
      </c>
      <c r="V1748" s="13">
        <f>IF(ISNA(VLOOKUP(LOWER(F1748)&amp;H1748,Prices!A:C,2,0)),0,VLOOKUP(LOWER(F1748)&amp;H1748,Prices!A:C,2,0))</f>
        <v>27.7</v>
      </c>
      <c r="W1748" s="13">
        <f t="shared" si="998"/>
        <v>-10.277099999999706</v>
      </c>
      <c r="X1748" s="13">
        <f t="shared" si="999"/>
        <v>49.999999999998934</v>
      </c>
      <c r="Y1748" s="43">
        <f t="shared" si="1000"/>
        <v>-7.4176109707684631E-4</v>
      </c>
      <c r="Z1748" s="49"/>
      <c r="AA1748" s="24"/>
    </row>
    <row r="1749" spans="1:27" s="13" customFormat="1" hidden="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27.07</v>
      </c>
      <c r="V1749" s="13">
        <f>IF(ISNA(VLOOKUP(LOWER(F1749)&amp;H1749,Prices!A:C,2,0)),0,VLOOKUP(LOWER(F1749)&amp;H1749,Prices!A:C,2,0))</f>
        <v>27.07</v>
      </c>
      <c r="W1749" s="13">
        <f t="shared" si="998"/>
        <v>-10393.436000000002</v>
      </c>
      <c r="X1749" s="13">
        <f t="shared" si="999"/>
        <v>0</v>
      </c>
      <c r="Y1749" s="43">
        <f t="shared" si="1000"/>
        <v>-0.23729305936073064</v>
      </c>
      <c r="Z1749" s="49" t="s">
        <v>3853</v>
      </c>
      <c r="AA1749" s="24"/>
    </row>
    <row r="1750" spans="1:27" s="8" customFormat="1" hidden="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27.59</v>
      </c>
      <c r="V1750" s="8">
        <f>IF(ISNA(VLOOKUP(LOWER(F1750)&amp;H1750,Prices!A:C,2,0)),0,VLOOKUP(LOWER(F1750)&amp;H1750,Prices!A:C,2,0))</f>
        <v>28.05</v>
      </c>
      <c r="W1750" s="8">
        <f t="shared" ref="W1750:W1765" si="1009">IF(I1750="B",(V1750+T1750)*K1750,(V1750+T1750)*K1750)</f>
        <v>-2947.2164800000028</v>
      </c>
      <c r="X1750" s="8">
        <f t="shared" ref="X1750:X1765" si="1010">K1750*(V1750-U1750)</f>
        <v>-736.00000000000136</v>
      </c>
      <c r="Y1750" s="57">
        <f t="shared" ref="Y1750:Y1765" si="1011">W1750/O1750</f>
        <v>-7.0198563262195188E-2</v>
      </c>
      <c r="Z1750" s="58"/>
      <c r="AA1750" s="59"/>
    </row>
    <row r="1751" spans="1:27" s="13" customFormat="1" hidden="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27.6</v>
      </c>
      <c r="V1751" s="13">
        <f>IF(ISNA(VLOOKUP(LOWER(F1751)&amp;H1751,Prices!A:C,2,0)),0,VLOOKUP(LOWER(F1751)&amp;H1751,Prices!A:C,2,0))</f>
        <v>27.7</v>
      </c>
      <c r="W1751" s="13">
        <f t="shared" si="1009"/>
        <v>112.19239999999786</v>
      </c>
      <c r="X1751" s="13">
        <f t="shared" si="1010"/>
        <v>-199.99999999999574</v>
      </c>
      <c r="Y1751" s="43">
        <f t="shared" si="1011"/>
        <v>2.0185750269880866E-3</v>
      </c>
      <c r="Z1751" s="49"/>
      <c r="AA1751" s="24"/>
    </row>
    <row r="1752" spans="1:27" s="13" customFormat="1" hidden="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27.6</v>
      </c>
      <c r="V1752" s="13">
        <f>IF(ISNA(VLOOKUP(LOWER(F1752)&amp;H1752,Prices!A:C,2,0)),0,VLOOKUP(LOWER(F1752)&amp;H1752,Prices!A:C,2,0))</f>
        <v>27.7</v>
      </c>
      <c r="W1752" s="13">
        <f t="shared" si="1009"/>
        <v>-287.31960000000356</v>
      </c>
      <c r="X1752" s="13">
        <f t="shared" si="1010"/>
        <v>-199.99999999999574</v>
      </c>
      <c r="Y1752" s="43">
        <f t="shared" si="1011"/>
        <v>-5.206951794128372E-3</v>
      </c>
      <c r="Z1752" s="49"/>
      <c r="AA1752" s="24"/>
    </row>
    <row r="1753" spans="1:27" s="13" customFormat="1" hidden="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13.35</v>
      </c>
      <c r="V1753" s="13">
        <f>IF(ISNA(VLOOKUP(LOWER(F1753)&amp;H1753,Prices!A:C,2,0)),0,VLOOKUP(LOWER(F1753)&amp;H1753,Prices!A:C,2,0))</f>
        <v>13.6</v>
      </c>
      <c r="W1753" s="13">
        <f t="shared" si="1009"/>
        <v>-5356.6801999999961</v>
      </c>
      <c r="X1753" s="13">
        <f t="shared" si="1010"/>
        <v>-675</v>
      </c>
      <c r="Y1753" s="43">
        <f t="shared" si="1011"/>
        <v>-0.17058947804210042</v>
      </c>
      <c r="Z1753" s="49"/>
      <c r="AA1753" s="24"/>
    </row>
    <row r="1754" spans="1:27" s="13" customFormat="1" hidden="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13.35</v>
      </c>
      <c r="V1754" s="13">
        <f>IF(ISNA(VLOOKUP(LOWER(F1754)&amp;H1754,Prices!A:C,2,0)),0,VLOOKUP(LOWER(F1754)&amp;H1754,Prices!A:C,2,0))</f>
        <v>13.6</v>
      </c>
      <c r="W1754" s="13">
        <f t="shared" si="1009"/>
        <v>-3988.2400000000011</v>
      </c>
      <c r="X1754" s="13">
        <f t="shared" si="1010"/>
        <v>-500</v>
      </c>
      <c r="Y1754" s="43">
        <f t="shared" si="1011"/>
        <v>-0.17161101549053362</v>
      </c>
      <c r="Z1754" s="49"/>
      <c r="AA1754" s="24"/>
    </row>
    <row r="1755" spans="1:27" s="13" customFormat="1" hidden="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13.35</v>
      </c>
      <c r="V1755" s="13">
        <f>IF(ISNA(VLOOKUP(LOWER(F1755)&amp;H1755,Prices!A:C,2,0)),0,VLOOKUP(LOWER(F1755)&amp;H1755,Prices!A:C,2,0))</f>
        <v>13.6</v>
      </c>
      <c r="W1755" s="13">
        <f t="shared" si="1009"/>
        <v>-4028.2000000000016</v>
      </c>
      <c r="X1755" s="13">
        <f t="shared" si="1010"/>
        <v>-500</v>
      </c>
      <c r="Y1755" s="43">
        <f t="shared" si="1011"/>
        <v>-0.17362931034482765</v>
      </c>
      <c r="Z1755" s="49"/>
      <c r="AA1755" s="24"/>
    </row>
    <row r="1756" spans="1:27" s="13" customFormat="1" hidden="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13.35</v>
      </c>
      <c r="V1756" s="13">
        <f>IF(ISNA(VLOOKUP(LOWER(F1756)&amp;H1756,Prices!A:C,2,0)),0,VLOOKUP(LOWER(F1756)&amp;H1756,Prices!A:C,2,0))</f>
        <v>13.6</v>
      </c>
      <c r="W1756" s="13">
        <f t="shared" si="1009"/>
        <v>-4048.1799999999985</v>
      </c>
      <c r="X1756" s="13">
        <f t="shared" si="1010"/>
        <v>-500</v>
      </c>
      <c r="Y1756" s="43">
        <f t="shared" si="1011"/>
        <v>-0.17464106988783426</v>
      </c>
      <c r="Z1756" s="49"/>
      <c r="AA1756" s="24"/>
    </row>
    <row r="1757" spans="1:27" s="13" customFormat="1" hidden="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13.35</v>
      </c>
      <c r="V1757" s="13">
        <f>IF(ISNA(VLOOKUP(LOWER(F1757)&amp;H1757,Prices!A:C,2,0)),0,VLOOKUP(LOWER(F1757)&amp;H1757,Prices!A:C,2,0))</f>
        <v>13.6</v>
      </c>
      <c r="W1757" s="13">
        <f t="shared" si="1009"/>
        <v>-4068.1599999999989</v>
      </c>
      <c r="X1757" s="13">
        <f t="shared" si="1010"/>
        <v>-500</v>
      </c>
      <c r="Y1757" s="43">
        <f t="shared" si="1011"/>
        <v>-0.17565457685664934</v>
      </c>
      <c r="Z1757" s="49"/>
      <c r="AA1757" s="24"/>
    </row>
    <row r="1758" spans="1:27" s="13" customFormat="1" hidden="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13.35</v>
      </c>
      <c r="V1758" s="13">
        <f>IF(ISNA(VLOOKUP(LOWER(F1758)&amp;H1758,Prices!A:C,2,0)),0,VLOOKUP(LOWER(F1758)&amp;H1758,Prices!A:C,2,0))</f>
        <v>13.6</v>
      </c>
      <c r="W1758" s="13">
        <f t="shared" si="1009"/>
        <v>-4108.12</v>
      </c>
      <c r="X1758" s="13">
        <f t="shared" si="1010"/>
        <v>-500</v>
      </c>
      <c r="Y1758" s="43">
        <f t="shared" si="1011"/>
        <v>-0.17768685121107267</v>
      </c>
      <c r="Z1758" s="49"/>
      <c r="AA1758" s="24"/>
    </row>
    <row r="1759" spans="1:27" s="13" customFormat="1" hidden="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13.35</v>
      </c>
      <c r="V1759" s="13">
        <f>IF(ISNA(VLOOKUP(LOWER(F1759)&amp;H1759,Prices!A:C,2,0)),0,VLOOKUP(LOWER(F1759)&amp;H1759,Prices!A:C,2,0))</f>
        <v>13.6</v>
      </c>
      <c r="W1759" s="13">
        <f t="shared" si="1009"/>
        <v>-4128.0999999999967</v>
      </c>
      <c r="X1759" s="13">
        <f t="shared" si="1010"/>
        <v>-500</v>
      </c>
      <c r="Y1759" s="43">
        <f t="shared" si="1011"/>
        <v>-0.17870562770562756</v>
      </c>
      <c r="Z1759" s="49"/>
      <c r="AA1759" s="24"/>
    </row>
    <row r="1760" spans="1:27" s="13" customFormat="1" hidden="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13.35</v>
      </c>
      <c r="V1760" s="13">
        <f>IF(ISNA(VLOOKUP(LOWER(F1760)&amp;H1760,Prices!A:C,2,0)),0,VLOOKUP(LOWER(F1760)&amp;H1760,Prices!A:C,2,0))</f>
        <v>13.6</v>
      </c>
      <c r="W1760" s="13">
        <f t="shared" si="1009"/>
        <v>-4168.0600000000004</v>
      </c>
      <c r="X1760" s="13">
        <f t="shared" si="1010"/>
        <v>-500</v>
      </c>
      <c r="Y1760" s="43">
        <f t="shared" si="1011"/>
        <v>-0.18074848222029491</v>
      </c>
      <c r="Z1760" s="49"/>
      <c r="AA1760" s="24"/>
    </row>
    <row r="1761" spans="1:27" s="13" customFormat="1" hidden="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13.35</v>
      </c>
      <c r="V1761" s="13">
        <f>IF(ISNA(VLOOKUP(LOWER(F1761)&amp;H1761,Prices!A:C,2,0)),0,VLOOKUP(LOWER(F1761)&amp;H1761,Prices!A:C,2,0))</f>
        <v>13.6</v>
      </c>
      <c r="W1761" s="13">
        <f t="shared" si="1009"/>
        <v>-4188.0400000000009</v>
      </c>
      <c r="X1761" s="13">
        <f t="shared" si="1010"/>
        <v>-500</v>
      </c>
      <c r="Y1761" s="43">
        <f t="shared" si="1011"/>
        <v>-0.18177256944444448</v>
      </c>
      <c r="Z1761" s="49"/>
      <c r="AA1761" s="24"/>
    </row>
    <row r="1762" spans="1:27" s="13" customFormat="1" hidden="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27.6</v>
      </c>
      <c r="V1762" s="13">
        <f>IF(ISNA(VLOOKUP(LOWER(F1762)&amp;H1762,Prices!A:C,2,0)),0,VLOOKUP(LOWER(F1762)&amp;H1762,Prices!A:C,2,0))</f>
        <v>27.7</v>
      </c>
      <c r="W1762" s="13">
        <f t="shared" si="1009"/>
        <v>-367.22199999999106</v>
      </c>
      <c r="X1762" s="13">
        <f t="shared" si="1010"/>
        <v>-199.99999999999574</v>
      </c>
      <c r="Y1762" s="43">
        <f t="shared" si="1011"/>
        <v>-6.6646460980034671E-3</v>
      </c>
      <c r="Z1762" s="49"/>
      <c r="AA1762" s="24"/>
    </row>
    <row r="1763" spans="1:27" s="13" customFormat="1" hidden="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13.35</v>
      </c>
      <c r="V1763" s="13">
        <f>IF(ISNA(VLOOKUP(LOWER(F1763)&amp;H1763,Prices!A:C,2,0)),0,VLOOKUP(LOWER(F1763)&amp;H1763,Prices!A:C,2,0))</f>
        <v>13.6</v>
      </c>
      <c r="W1763" s="13">
        <f t="shared" si="1009"/>
        <v>-10469.11999999999</v>
      </c>
      <c r="X1763" s="13">
        <f t="shared" si="1010"/>
        <v>-1250</v>
      </c>
      <c r="Y1763" s="43">
        <f t="shared" si="1011"/>
        <v>-0.18175555555555539</v>
      </c>
      <c r="Z1763" s="49"/>
      <c r="AA1763" s="24"/>
    </row>
    <row r="1764" spans="1:27" s="13" customFormat="1" hidden="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27.6</v>
      </c>
      <c r="V1764" s="13">
        <f>IF(ISNA(VLOOKUP(LOWER(F1764)&amp;H1764,Prices!A:C,2,0)),0,VLOOKUP(LOWER(F1764)&amp;H1764,Prices!A:C,2,0))</f>
        <v>27.7</v>
      </c>
      <c r="W1764" s="13">
        <f t="shared" si="1009"/>
        <v>-327.27079999999376</v>
      </c>
      <c r="X1764" s="13">
        <f t="shared" si="1010"/>
        <v>-199.99999999999574</v>
      </c>
      <c r="Y1764" s="43">
        <f t="shared" si="1011"/>
        <v>-5.9352702212548741E-3</v>
      </c>
      <c r="Z1764" s="49"/>
      <c r="AA1764" s="24"/>
    </row>
    <row r="1765" spans="1:27" s="8" customFormat="1" hidden="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27.59</v>
      </c>
      <c r="V1765" s="8">
        <f>IF(ISNA(VLOOKUP(LOWER(F1765)&amp;H1765,Prices!A:C,2,0)),0,VLOOKUP(LOWER(F1765)&amp;H1765,Prices!A:C,2,0))</f>
        <v>28.05</v>
      </c>
      <c r="W1765" s="8">
        <f t="shared" si="1009"/>
        <v>4739.3200999999972</v>
      </c>
      <c r="X1765" s="8">
        <f t="shared" si="1010"/>
        <v>874.00000000000159</v>
      </c>
      <c r="Y1765" s="57">
        <f t="shared" si="1011"/>
        <v>9.7627358121330665E-2</v>
      </c>
      <c r="Z1765" s="58"/>
      <c r="AA1765" s="59"/>
    </row>
    <row r="1766" spans="1:27" s="13" customFormat="1" hidden="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41.3</v>
      </c>
      <c r="V1766" s="13">
        <f>IF(ISNA(VLOOKUP(LOWER(F1766)&amp;H1766,Prices!A:C,2,0)),0,VLOOKUP(LOWER(F1766)&amp;H1766,Prices!A:C,2,0))</f>
        <v>42.53</v>
      </c>
      <c r="W1766" s="13">
        <f t="shared" ref="W1766:W1804" si="1016">IF(I1766="B",(V1766+T1766)*K1766,(V1766+T1766)*K1766)</f>
        <v>6859.0000000000009</v>
      </c>
      <c r="X1766" s="13">
        <f t="shared" ref="X1766:X1804" si="1017">K1766*(V1766-U1766)</f>
        <v>738.00000000000239</v>
      </c>
      <c r="Y1766" s="43">
        <f t="shared" ref="Y1766:Y1804" si="1018">W1766/O1766</f>
        <v>0.36769593652835858</v>
      </c>
      <c r="Z1766" s="49"/>
      <c r="AA1766" s="24"/>
    </row>
    <row r="1767" spans="1:27" s="13" customFormat="1" hidden="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41.3</v>
      </c>
      <c r="V1767" s="13">
        <f>IF(ISNA(VLOOKUP(LOWER(F1767)&amp;H1767,Prices!A:C,2,0)),0,VLOOKUP(LOWER(F1767)&amp;H1767,Prices!A:C,2,0))</f>
        <v>42.53</v>
      </c>
      <c r="W1767" s="13">
        <f t="shared" si="1016"/>
        <v>6787</v>
      </c>
      <c r="X1767" s="13">
        <f t="shared" si="1017"/>
        <v>738.00000000000239</v>
      </c>
      <c r="Y1767" s="43">
        <f t="shared" si="1018"/>
        <v>0.36243725301719537</v>
      </c>
      <c r="Z1767" s="49"/>
      <c r="AA1767" s="24"/>
    </row>
    <row r="1768" spans="1:27" s="13" customFormat="1" hidden="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55.39</v>
      </c>
      <c r="V1768" s="13">
        <f>IF(ISNA(VLOOKUP(LOWER(F1768)&amp;H1768,Prices!A:C,2,0)),0,VLOOKUP(LOWER(F1768)&amp;H1768,Prices!A:C,2,0))</f>
        <v>57.19</v>
      </c>
      <c r="W1768" s="13">
        <f t="shared" si="1016"/>
        <v>14413.000000000002</v>
      </c>
      <c r="X1768" s="13">
        <f t="shared" si="1017"/>
        <v>1079.9999999999982</v>
      </c>
      <c r="Y1768" s="43">
        <f t="shared" si="1018"/>
        <v>0.72441696823482127</v>
      </c>
      <c r="Z1768" s="49"/>
      <c r="AA1768" s="24"/>
    </row>
    <row r="1769" spans="1:27" s="13" customFormat="1" hidden="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55.39</v>
      </c>
      <c r="V1769" s="13">
        <f>IF(ISNA(VLOOKUP(LOWER(F1769)&amp;H1769,Prices!A:C,2,0)),0,VLOOKUP(LOWER(F1769)&amp;H1769,Prices!A:C,2,0))</f>
        <v>57.19</v>
      </c>
      <c r="W1769" s="13">
        <f t="shared" si="1016"/>
        <v>14377</v>
      </c>
      <c r="X1769" s="13">
        <f t="shared" si="1017"/>
        <v>1079.9999999999982</v>
      </c>
      <c r="Y1769" s="43">
        <f t="shared" si="1018"/>
        <v>0.7213024282560706</v>
      </c>
      <c r="Z1769" s="49"/>
      <c r="AA1769" s="24"/>
    </row>
    <row r="1770" spans="1:27" s="8" customFormat="1" hidden="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59.95</v>
      </c>
      <c r="V1770" s="8">
        <f>IF(ISNA(VLOOKUP(LOWER(F1770)&amp;H1770,Prices!A:C,2,0)),0,VLOOKUP(LOWER(F1770)&amp;H1770,Prices!A:C,2,0))</f>
        <v>59.2</v>
      </c>
      <c r="W1770" s="8">
        <f t="shared" si="1016"/>
        <v>5215.0000000000009</v>
      </c>
      <c r="X1770" s="8">
        <f t="shared" si="1017"/>
        <v>-300</v>
      </c>
      <c r="Y1770" s="57">
        <f t="shared" si="1018"/>
        <v>0.28250270855904663</v>
      </c>
      <c r="Z1770" s="58"/>
      <c r="AA1770" s="59"/>
    </row>
    <row r="1771" spans="1:27" s="13" customFormat="1" hidden="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55.39</v>
      </c>
      <c r="V1771" s="13">
        <f>IF(ISNA(VLOOKUP(LOWER(F1771)&amp;H1771,Prices!A:C,2,0)),0,VLOOKUP(LOWER(F1771)&amp;H1771,Prices!A:C,2,0))</f>
        <v>57.19</v>
      </c>
      <c r="W1771" s="13">
        <f t="shared" si="1016"/>
        <v>14346.999999999996</v>
      </c>
      <c r="X1771" s="13">
        <f t="shared" si="1017"/>
        <v>1079.9999999999982</v>
      </c>
      <c r="Y1771" s="43">
        <f t="shared" si="1018"/>
        <v>0.71871555956316968</v>
      </c>
      <c r="Z1771" s="49"/>
      <c r="AA1771" s="24"/>
    </row>
    <row r="1772" spans="1:27" s="8" customFormat="1" hidden="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59.95</v>
      </c>
      <c r="V1772" s="8">
        <f>IF(ISNA(VLOOKUP(LOWER(F1772)&amp;H1772,Prices!A:C,2,0)),0,VLOOKUP(LOWER(F1772)&amp;H1772,Prices!A:C,2,0))</f>
        <v>59.2</v>
      </c>
      <c r="W1772" s="8">
        <f t="shared" si="1016"/>
        <v>5155.0000000000009</v>
      </c>
      <c r="X1772" s="8">
        <f t="shared" si="1017"/>
        <v>-300</v>
      </c>
      <c r="Y1772" s="57">
        <f t="shared" si="1018"/>
        <v>0.27834773218142556</v>
      </c>
      <c r="Z1772" s="58"/>
      <c r="AA1772" s="59"/>
    </row>
    <row r="1773" spans="1:27" s="8" customFormat="1" hidden="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59.95</v>
      </c>
      <c r="V1773" s="8">
        <f>IF(ISNA(VLOOKUP(LOWER(F1773)&amp;H1773,Prices!A:C,2,0)),0,VLOOKUP(LOWER(F1773)&amp;H1773,Prices!A:C,2,0))</f>
        <v>59.2</v>
      </c>
      <c r="W1773" s="8">
        <f t="shared" si="1016"/>
        <v>5119</v>
      </c>
      <c r="X1773" s="8">
        <f t="shared" si="1017"/>
        <v>-300</v>
      </c>
      <c r="Y1773" s="57">
        <f t="shared" si="1018"/>
        <v>0.27586764388876911</v>
      </c>
      <c r="Z1773" s="58"/>
      <c r="AA1773" s="59"/>
    </row>
    <row r="1774" spans="1:27" s="13" customFormat="1" hidden="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55.39</v>
      </c>
      <c r="V1774" s="13">
        <f>IF(ISNA(VLOOKUP(LOWER(F1774)&amp;H1774,Prices!A:C,2,0)),0,VLOOKUP(LOWER(F1774)&amp;H1774,Prices!A:C,2,0))</f>
        <v>57.19</v>
      </c>
      <c r="W1774" s="13">
        <f t="shared" si="1016"/>
        <v>14340.999999999998</v>
      </c>
      <c r="X1774" s="13">
        <f t="shared" si="1017"/>
        <v>1079.9999999999982</v>
      </c>
      <c r="Y1774" s="43">
        <f t="shared" si="1018"/>
        <v>0.7181991185897435</v>
      </c>
      <c r="Z1774" s="49"/>
      <c r="AA1774" s="24"/>
    </row>
    <row r="1775" spans="1:27" s="13" customFormat="1" hidden="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55.39</v>
      </c>
      <c r="V1775" s="13">
        <f>IF(ISNA(VLOOKUP(LOWER(F1775)&amp;H1775,Prices!A:C,2,0)),0,VLOOKUP(LOWER(F1775)&amp;H1775,Prices!A:C,2,0))</f>
        <v>57.19</v>
      </c>
      <c r="W1775" s="13">
        <f t="shared" si="1016"/>
        <v>11869.999999999998</v>
      </c>
      <c r="X1775" s="13">
        <f t="shared" si="1017"/>
        <v>899.99999999999864</v>
      </c>
      <c r="Y1775" s="43">
        <f t="shared" si="1018"/>
        <v>0.70992822966507163</v>
      </c>
      <c r="Z1775" s="49"/>
      <c r="AA1775" s="24"/>
    </row>
    <row r="1776" spans="1:27" s="13" customFormat="1" hidden="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55.39</v>
      </c>
      <c r="V1776" s="13">
        <f>IF(ISNA(VLOOKUP(LOWER(F1776)&amp;H1776,Prices!A:C,2,0)),0,VLOOKUP(LOWER(F1776)&amp;H1776,Prices!A:C,2,0))</f>
        <v>57.19</v>
      </c>
      <c r="W1776" s="13">
        <f t="shared" si="1016"/>
        <v>11860</v>
      </c>
      <c r="X1776" s="13">
        <f t="shared" si="1017"/>
        <v>899.99999999999864</v>
      </c>
      <c r="Y1776" s="43">
        <f t="shared" si="1018"/>
        <v>0.70890615660490142</v>
      </c>
      <c r="Z1776" s="49"/>
      <c r="AA1776" s="24"/>
    </row>
    <row r="1777" spans="1:27" s="13" customFormat="1" hidden="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41.3</v>
      </c>
      <c r="V1777" s="13">
        <f>IF(ISNA(VLOOKUP(LOWER(F1777)&amp;H1777,Prices!A:C,2,0)),0,VLOOKUP(LOWER(F1777)&amp;H1777,Prices!A:C,2,0))</f>
        <v>42.53</v>
      </c>
      <c r="W1777" s="13">
        <f t="shared" si="1016"/>
        <v>6769</v>
      </c>
      <c r="X1777" s="13">
        <f t="shared" si="1017"/>
        <v>738.00000000000239</v>
      </c>
      <c r="Y1777" s="43">
        <f t="shared" si="1018"/>
        <v>0.36112889457959879</v>
      </c>
      <c r="Z1777" s="49"/>
      <c r="AA1777" s="24"/>
    </row>
    <row r="1778" spans="1:27" s="13" customFormat="1" hidden="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27.6</v>
      </c>
      <c r="V1778" s="13">
        <f>IF(ISNA(VLOOKUP(LOWER(F1778)&amp;H1778,Prices!A:C,2,0)),0,VLOOKUP(LOWER(F1778)&amp;H1778,Prices!A:C,2,0))</f>
        <v>27.7</v>
      </c>
      <c r="W1778" s="13">
        <f t="shared" si="1016"/>
        <v>225.61681999999797</v>
      </c>
      <c r="X1778" s="13">
        <f t="shared" si="1017"/>
        <v>69.999999999998508</v>
      </c>
      <c r="Y1778" s="43">
        <f t="shared" si="1018"/>
        <v>1.1776022756928753E-2</v>
      </c>
      <c r="Z1778" s="49"/>
      <c r="AA1778" s="24"/>
    </row>
    <row r="1779" spans="1:27" s="13" customFormat="1" hidden="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55.39</v>
      </c>
      <c r="V1779" s="13">
        <f>IF(ISNA(VLOOKUP(LOWER(F1779)&amp;H1779,Prices!A:C,2,0)),0,VLOOKUP(LOWER(F1779)&amp;H1779,Prices!A:C,2,0))</f>
        <v>57.19</v>
      </c>
      <c r="W1779" s="13">
        <f t="shared" si="1016"/>
        <v>11910</v>
      </c>
      <c r="X1779" s="13">
        <f t="shared" si="1017"/>
        <v>899.99999999999864</v>
      </c>
      <c r="Y1779" s="43">
        <f t="shared" si="1018"/>
        <v>0.71402877697841727</v>
      </c>
      <c r="Z1779" s="49"/>
      <c r="AA1779" s="24"/>
    </row>
    <row r="1780" spans="1:27" s="13" customFormat="1" hidden="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27.6</v>
      </c>
      <c r="V1780" s="13">
        <f>IF(ISNA(VLOOKUP(LOWER(F1780)&amp;H1780,Prices!A:C,2,0)),0,VLOOKUP(LOWER(F1780)&amp;H1780,Prices!A:C,2,0))</f>
        <v>27.7</v>
      </c>
      <c r="W1780" s="13">
        <f t="shared" si="1016"/>
        <v>232.61695999999824</v>
      </c>
      <c r="X1780" s="13">
        <f t="shared" si="1017"/>
        <v>69.999999999998508</v>
      </c>
      <c r="Y1780" s="43">
        <f t="shared" si="1018"/>
        <v>1.2145831244778521E-2</v>
      </c>
      <c r="Z1780" s="49"/>
      <c r="AA1780" s="24"/>
    </row>
    <row r="1781" spans="1:27" s="8" customFormat="1" hidden="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59.95</v>
      </c>
      <c r="V1781" s="8">
        <f>IF(ISNA(VLOOKUP(LOWER(F1781)&amp;H1781,Prices!A:C,2,0)),0,VLOOKUP(LOWER(F1781)&amp;H1781,Prices!A:C,2,0))</f>
        <v>59.2</v>
      </c>
      <c r="W1781" s="8">
        <f t="shared" si="1016"/>
        <v>5055.0000000000009</v>
      </c>
      <c r="X1781" s="8">
        <f t="shared" si="1017"/>
        <v>-300</v>
      </c>
      <c r="Y1781" s="57">
        <f t="shared" si="1018"/>
        <v>0.2714822771213749</v>
      </c>
      <c r="Z1781" s="58"/>
      <c r="AA1781" s="59"/>
    </row>
    <row r="1782" spans="1:27" s="13" customFormat="1" hidden="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55.39</v>
      </c>
      <c r="V1782" s="13">
        <f>IF(ISNA(VLOOKUP(LOWER(F1782)&amp;H1782,Prices!A:C,2,0)),0,VLOOKUP(LOWER(F1782)&amp;H1782,Prices!A:C,2,0))</f>
        <v>57.19</v>
      </c>
      <c r="W1782" s="13">
        <f t="shared" si="1016"/>
        <v>11890</v>
      </c>
      <c r="X1782" s="13">
        <f t="shared" si="1017"/>
        <v>899.99999999999864</v>
      </c>
      <c r="Y1782" s="43">
        <f t="shared" si="1018"/>
        <v>0.71197604790419167</v>
      </c>
      <c r="Z1782" s="49"/>
      <c r="AA1782" s="24"/>
    </row>
    <row r="1783" spans="1:27" s="13" customFormat="1" hidden="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27.6</v>
      </c>
      <c r="V1783" s="13">
        <f>IF(ISNA(VLOOKUP(LOWER(F1783)&amp;H1783,Prices!A:C,2,0)),0,VLOOKUP(LOWER(F1783)&amp;H1783,Prices!A:C,2,0))</f>
        <v>27.7</v>
      </c>
      <c r="W1783" s="13">
        <f t="shared" si="1016"/>
        <v>218.61667999999776</v>
      </c>
      <c r="X1783" s="13">
        <f t="shared" si="1017"/>
        <v>69.999999999998508</v>
      </c>
      <c r="Y1783" s="43">
        <f t="shared" si="1018"/>
        <v>1.1406484399457255E-2</v>
      </c>
      <c r="Z1783" s="49"/>
      <c r="AA1783" s="24"/>
    </row>
    <row r="1784" spans="1:27" s="13" customFormat="1" hidden="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55.39</v>
      </c>
      <c r="V1784" s="13">
        <f>IF(ISNA(VLOOKUP(LOWER(F1784)&amp;H1784,Prices!A:C,2,0)),0,VLOOKUP(LOWER(F1784)&amp;H1784,Prices!A:C,2,0))</f>
        <v>57.19</v>
      </c>
      <c r="W1784" s="13">
        <f t="shared" si="1016"/>
        <v>14371</v>
      </c>
      <c r="X1784" s="13">
        <f t="shared" si="1017"/>
        <v>1079.9999999999982</v>
      </c>
      <c r="Y1784" s="43">
        <f t="shared" si="1018"/>
        <v>0.72078443173838913</v>
      </c>
      <c r="Z1784" s="49"/>
      <c r="AA1784" s="24"/>
    </row>
    <row r="1785" spans="1:27" s="13" customFormat="1" hidden="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55.39</v>
      </c>
      <c r="V1785" s="13">
        <f>IF(ISNA(VLOOKUP(LOWER(F1785)&amp;H1785,Prices!A:C,2,0)),0,VLOOKUP(LOWER(F1785)&amp;H1785,Prices!A:C,2,0))</f>
        <v>57.19</v>
      </c>
      <c r="W1785" s="13">
        <f t="shared" si="1016"/>
        <v>14395</v>
      </c>
      <c r="X1785" s="13">
        <f t="shared" si="1017"/>
        <v>1079.9999999999982</v>
      </c>
      <c r="Y1785" s="43">
        <f t="shared" si="1018"/>
        <v>0.72285829064979412</v>
      </c>
      <c r="Z1785" s="49"/>
      <c r="AA1785" s="24"/>
    </row>
    <row r="1786" spans="1:27" s="8" customFormat="1" hidden="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59.95</v>
      </c>
      <c r="V1786" s="8">
        <f>IF(ISNA(VLOOKUP(LOWER(F1786)&amp;H1786,Prices!A:C,2,0)),0,VLOOKUP(LOWER(F1786)&amp;H1786,Prices!A:C,2,0))</f>
        <v>59.2</v>
      </c>
      <c r="W1786" s="8">
        <f t="shared" si="1016"/>
        <v>5019</v>
      </c>
      <c r="X1786" s="8">
        <f t="shared" si="1017"/>
        <v>-300</v>
      </c>
      <c r="Y1786" s="57">
        <f t="shared" si="1018"/>
        <v>0.269028730703259</v>
      </c>
      <c r="Z1786" s="58"/>
      <c r="AA1786" s="59"/>
    </row>
    <row r="1787" spans="1:27" s="13" customFormat="1" hidden="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41.3</v>
      </c>
      <c r="V1787" s="13">
        <f>IF(ISNA(VLOOKUP(LOWER(F1787)&amp;H1787,Prices!A:C,2,0)),0,VLOOKUP(LOWER(F1787)&amp;H1787,Prices!A:C,2,0))</f>
        <v>42.53</v>
      </c>
      <c r="W1787" s="13">
        <f t="shared" si="1016"/>
        <v>6805.0000000000009</v>
      </c>
      <c r="X1787" s="13">
        <f t="shared" si="1017"/>
        <v>738.00000000000239</v>
      </c>
      <c r="Y1787" s="43">
        <f t="shared" si="1018"/>
        <v>0.36374812914261284</v>
      </c>
      <c r="Z1787" s="49"/>
      <c r="AA1787" s="24"/>
    </row>
    <row r="1788" spans="1:27" s="13" customFormat="1" hidden="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55.39</v>
      </c>
      <c r="V1788" s="13">
        <f>IF(ISNA(VLOOKUP(LOWER(F1788)&amp;H1788,Prices!A:C,2,0)),0,VLOOKUP(LOWER(F1788)&amp;H1788,Prices!A:C,2,0))</f>
        <v>57.19</v>
      </c>
      <c r="W1788" s="13">
        <f t="shared" si="1016"/>
        <v>11844.999999999998</v>
      </c>
      <c r="X1788" s="13">
        <f t="shared" si="1017"/>
        <v>899.99999999999864</v>
      </c>
      <c r="Y1788" s="43">
        <f t="shared" si="1018"/>
        <v>0.70737533592117041</v>
      </c>
      <c r="Z1788" s="49"/>
      <c r="AA1788" s="24"/>
    </row>
    <row r="1789" spans="1:27" s="8" customFormat="1" hidden="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59.95</v>
      </c>
      <c r="V1789" s="8">
        <f>IF(ISNA(VLOOKUP(LOWER(F1789)&amp;H1789,Prices!A:C,2,0)),0,VLOOKUP(LOWER(F1789)&amp;H1789,Prices!A:C,2,0))</f>
        <v>59.2</v>
      </c>
      <c r="W1789" s="8">
        <f t="shared" si="1016"/>
        <v>5035.0000000000018</v>
      </c>
      <c r="X1789" s="8">
        <f t="shared" si="1017"/>
        <v>-300</v>
      </c>
      <c r="Y1789" s="57">
        <f t="shared" si="1018"/>
        <v>0.27011802575107308</v>
      </c>
      <c r="Z1789" s="58"/>
      <c r="AA1789" s="59"/>
    </row>
    <row r="1790" spans="1:27" s="8" customFormat="1" hidden="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59.95</v>
      </c>
      <c r="V1790" s="8">
        <f>IF(ISNA(VLOOKUP(LOWER(F1790)&amp;H1790,Prices!A:C,2,0)),0,VLOOKUP(LOWER(F1790)&amp;H1790,Prices!A:C,2,0))</f>
        <v>59.2</v>
      </c>
      <c r="W1790" s="8">
        <f t="shared" si="1016"/>
        <v>4963.0000000000027</v>
      </c>
      <c r="X1790" s="8">
        <f t="shared" si="1017"/>
        <v>-300</v>
      </c>
      <c r="Y1790" s="57">
        <f t="shared" si="1018"/>
        <v>0.2652308678922618</v>
      </c>
      <c r="Z1790" s="58"/>
      <c r="AA1790" s="59"/>
    </row>
    <row r="1791" spans="1:27" s="13" customFormat="1" hidden="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27.6</v>
      </c>
      <c r="V1791" s="13">
        <f>IF(ISNA(VLOOKUP(LOWER(F1791)&amp;H1791,Prices!A:C,2,0)),0,VLOOKUP(LOWER(F1791)&amp;H1791,Prices!A:C,2,0))</f>
        <v>27.7</v>
      </c>
      <c r="W1791" s="13">
        <f t="shared" si="1016"/>
        <v>211.61653999999749</v>
      </c>
      <c r="X1791" s="13">
        <f t="shared" si="1017"/>
        <v>69.999999999998508</v>
      </c>
      <c r="Y1791" s="43">
        <f t="shared" si="1018"/>
        <v>1.1037215876492854E-2</v>
      </c>
      <c r="Z1791" s="49"/>
      <c r="AA1791" s="24"/>
    </row>
    <row r="1792" spans="1:27" s="13" customFormat="1" hidden="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27.6</v>
      </c>
      <c r="V1792" s="13">
        <f>IF(ISNA(VLOOKUP(LOWER(F1792)&amp;H1792,Prices!A:C,2,0)),0,VLOOKUP(LOWER(F1792)&amp;H1792,Prices!A:C,2,0))</f>
        <v>27.7</v>
      </c>
      <c r="W1792" s="13">
        <f t="shared" si="1016"/>
        <v>211.61653999999749</v>
      </c>
      <c r="X1792" s="13">
        <f t="shared" si="1017"/>
        <v>69.999999999998508</v>
      </c>
      <c r="Y1792" s="43">
        <f t="shared" si="1018"/>
        <v>1.1037215876492854E-2</v>
      </c>
      <c r="Z1792" s="49"/>
      <c r="AA1792" s="24"/>
    </row>
    <row r="1793" spans="1:27" s="13" customFormat="1" hidden="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27.6</v>
      </c>
      <c r="V1793" s="13">
        <f>IF(ISNA(VLOOKUP(LOWER(F1793)&amp;H1793,Prices!A:C,2,0)),0,VLOOKUP(LOWER(F1793)&amp;H1793,Prices!A:C,2,0))</f>
        <v>27.7</v>
      </c>
      <c r="W1793" s="13">
        <f t="shared" si="1016"/>
        <v>134.61500000000228</v>
      </c>
      <c r="X1793" s="13">
        <f t="shared" si="1017"/>
        <v>69.999999999998508</v>
      </c>
      <c r="Y1793" s="43">
        <f t="shared" si="1018"/>
        <v>6.9929870129871313E-3</v>
      </c>
      <c r="Z1793" s="49"/>
      <c r="AA1793" s="24"/>
    </row>
    <row r="1794" spans="1:27" s="13" customFormat="1" hidden="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55.39</v>
      </c>
      <c r="V1794" s="13">
        <f>IF(ISNA(VLOOKUP(LOWER(F1794)&amp;H1794,Prices!A:C,2,0)),0,VLOOKUP(LOWER(F1794)&amp;H1794,Prices!A:C,2,0))</f>
        <v>57.19</v>
      </c>
      <c r="W1794" s="13">
        <f t="shared" si="1016"/>
        <v>11739.999999999998</v>
      </c>
      <c r="X1794" s="13">
        <f t="shared" si="1017"/>
        <v>899.99999999999864</v>
      </c>
      <c r="Y1794" s="43">
        <f t="shared" si="1018"/>
        <v>0.69673590504451033</v>
      </c>
      <c r="Z1794" s="49"/>
      <c r="AA1794" s="24"/>
    </row>
    <row r="1795" spans="1:27" s="8" customFormat="1" hidden="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59.95</v>
      </c>
      <c r="V1795" s="8">
        <f>IF(ISNA(VLOOKUP(LOWER(F1795)&amp;H1795,Prices!A:C,2,0)),0,VLOOKUP(LOWER(F1795)&amp;H1795,Prices!A:C,2,0))</f>
        <v>59.2</v>
      </c>
      <c r="W1795" s="8">
        <f t="shared" si="1016"/>
        <v>6140.0000000000009</v>
      </c>
      <c r="X1795" s="8">
        <f t="shared" si="1017"/>
        <v>-375</v>
      </c>
      <c r="Y1795" s="57">
        <f t="shared" si="1018"/>
        <v>0.26177787252185036</v>
      </c>
      <c r="Z1795" s="58"/>
      <c r="AA1795" s="59"/>
    </row>
    <row r="1796" spans="1:27" s="8" customFormat="1" hidden="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27.59</v>
      </c>
      <c r="V1796" s="8">
        <f>IF(ISNA(VLOOKUP(LOWER(F1796)&amp;H1796,Prices!A:C,2,0)),0,VLOOKUP(LOWER(F1796)&amp;H1796,Prices!A:C,2,0))</f>
        <v>28.05</v>
      </c>
      <c r="W1796" s="8">
        <f t="shared" si="1016"/>
        <v>2174.3085999999998</v>
      </c>
      <c r="X1796" s="8">
        <f t="shared" si="1017"/>
        <v>460.00000000000085</v>
      </c>
      <c r="Y1796" s="57">
        <f t="shared" si="1018"/>
        <v>8.4047491302667171E-2</v>
      </c>
      <c r="Z1796" s="58"/>
      <c r="AA1796" s="59"/>
    </row>
    <row r="1797" spans="1:27" s="13" customFormat="1" hidden="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650.07000000000005</v>
      </c>
      <c r="V1797" s="13">
        <f>IF(ISNA(VLOOKUP(LOWER(F1797)&amp;H1797,Prices!A:C,2,0)),0,VLOOKUP(LOWER(F1797)&amp;H1797,Prices!A:C,2,0))</f>
        <v>677.95</v>
      </c>
      <c r="W1797" s="13">
        <f t="shared" si="1016"/>
        <v>20004.488400000009</v>
      </c>
      <c r="X1797" s="13">
        <f t="shared" si="1017"/>
        <v>2787.9999999999995</v>
      </c>
      <c r="Y1797" s="43">
        <f t="shared" si="1018"/>
        <v>0.41867912097111781</v>
      </c>
      <c r="Z1797" s="49"/>
      <c r="AA1797" s="24"/>
    </row>
    <row r="1798" spans="1:27" s="8" customFormat="1" hidden="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59.95</v>
      </c>
      <c r="V1798" s="8">
        <f>IF(ISNA(VLOOKUP(LOWER(F1798)&amp;H1798,Prices!A:C,2,0)),0,VLOOKUP(LOWER(F1798)&amp;H1798,Prices!A:C,2,0))</f>
        <v>59.2</v>
      </c>
      <c r="W1798" s="8">
        <f t="shared" si="1016"/>
        <v>6111.0000000000009</v>
      </c>
      <c r="X1798" s="8">
        <f t="shared" si="1017"/>
        <v>-375</v>
      </c>
      <c r="Y1798" s="57">
        <f t="shared" si="1018"/>
        <v>0.2602197240674502</v>
      </c>
      <c r="Z1798" s="58"/>
      <c r="AA1798" s="59"/>
    </row>
    <row r="1799" spans="1:27" s="8" customFormat="1" hidden="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59.95</v>
      </c>
      <c r="V1799" s="8">
        <f>IF(ISNA(VLOOKUP(LOWER(F1799)&amp;H1799,Prices!A:C,2,0)),0,VLOOKUP(LOWER(F1799)&amp;H1799,Prices!A:C,2,0))</f>
        <v>59.2</v>
      </c>
      <c r="W1799" s="8">
        <f t="shared" si="1016"/>
        <v>6145.0000000000027</v>
      </c>
      <c r="X1799" s="8">
        <f t="shared" si="1017"/>
        <v>-375</v>
      </c>
      <c r="Y1799" s="57">
        <f t="shared" si="1018"/>
        <v>0.26204690831556515</v>
      </c>
      <c r="Z1799" s="58"/>
      <c r="AA1799" s="59"/>
    </row>
    <row r="1800" spans="1:27" s="13" customFormat="1" hidden="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41.3</v>
      </c>
      <c r="V1800" s="13">
        <f>IF(ISNA(VLOOKUP(LOWER(F1800)&amp;H1800,Prices!A:C,2,0)),0,VLOOKUP(LOWER(F1800)&amp;H1800,Prices!A:C,2,0))</f>
        <v>42.53</v>
      </c>
      <c r="W1800" s="13">
        <f t="shared" si="1016"/>
        <v>16865.616000000005</v>
      </c>
      <c r="X1800" s="13">
        <f t="shared" si="1017"/>
        <v>1845.0000000000059</v>
      </c>
      <c r="Y1800" s="43">
        <f t="shared" si="1018"/>
        <v>0.3594547314578006</v>
      </c>
      <c r="Z1800" s="49"/>
      <c r="AA1800" s="24"/>
    </row>
    <row r="1801" spans="1:27" s="13" customFormat="1" hidden="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41.3</v>
      </c>
      <c r="V1801" s="13">
        <f>IF(ISNA(VLOOKUP(LOWER(F1801)&amp;H1801,Prices!A:C,2,0)),0,VLOOKUP(LOWER(F1801)&amp;H1801,Prices!A:C,2,0))</f>
        <v>42.53</v>
      </c>
      <c r="W1801" s="13">
        <f t="shared" si="1016"/>
        <v>7877.0000000000018</v>
      </c>
      <c r="X1801" s="13">
        <f t="shared" si="1017"/>
        <v>861.00000000000273</v>
      </c>
      <c r="Y1801" s="43">
        <f t="shared" si="1018"/>
        <v>0.35986111745625665</v>
      </c>
      <c r="Z1801" s="49"/>
      <c r="AA1801" s="24"/>
    </row>
    <row r="1802" spans="1:27" s="13" customFormat="1" hidden="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55.39</v>
      </c>
      <c r="V1802" s="13">
        <f>IF(ISNA(VLOOKUP(LOWER(F1802)&amp;H1802,Prices!A:C,2,0)),0,VLOOKUP(LOWER(F1802)&amp;H1802,Prices!A:C,2,0))</f>
        <v>57.19</v>
      </c>
      <c r="W1802" s="13">
        <f t="shared" si="1016"/>
        <v>16297.3</v>
      </c>
      <c r="X1802" s="13">
        <f t="shared" si="1017"/>
        <v>1259.999999999998</v>
      </c>
      <c r="Y1802" s="43">
        <f t="shared" si="1018"/>
        <v>0.68676018827931751</v>
      </c>
      <c r="Z1802" s="49"/>
      <c r="AA1802" s="24"/>
    </row>
    <row r="1803" spans="1:27" s="13" customFormat="1" hidden="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27.6</v>
      </c>
      <c r="V1803" s="13">
        <f>IF(ISNA(VLOOKUP(LOWER(F1803)&amp;H1803,Prices!A:C,2,0)),0,VLOOKUP(LOWER(F1803)&amp;H1803,Prices!A:C,2,0))</f>
        <v>27.7</v>
      </c>
      <c r="W1803" s="13">
        <f t="shared" si="1016"/>
        <v>84.503199999998202</v>
      </c>
      <c r="X1803" s="13">
        <f t="shared" si="1017"/>
        <v>89.999999999998082</v>
      </c>
      <c r="Y1803" s="43">
        <f t="shared" si="1018"/>
        <v>3.4019001610305234E-3</v>
      </c>
      <c r="Z1803" s="49"/>
      <c r="AA1803" s="24"/>
    </row>
    <row r="1804" spans="1:27" s="8" customFormat="1" hidden="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59.95</v>
      </c>
      <c r="V1804" s="8">
        <f>IF(ISNA(VLOOKUP(LOWER(F1804)&amp;H1804,Prices!A:C,2,0)),0,VLOOKUP(LOWER(F1804)&amp;H1804,Prices!A:C,2,0))</f>
        <v>59.2</v>
      </c>
      <c r="W1804" s="8">
        <f t="shared" si="1016"/>
        <v>5955.0000000000018</v>
      </c>
      <c r="X1804" s="8">
        <f t="shared" si="1017"/>
        <v>-375</v>
      </c>
      <c r="Y1804" s="57">
        <f t="shared" si="1018"/>
        <v>0.25190355329949249</v>
      </c>
      <c r="Z1804" s="58"/>
      <c r="AA1804" s="59"/>
    </row>
    <row r="1805" spans="1:27" s="8" customFormat="1" hidden="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59.95</v>
      </c>
      <c r="V1805" s="8">
        <f>IF(ISNA(VLOOKUP(LOWER(F1805)&amp;H1805,Prices!A:C,2,0)),0,VLOOKUP(LOWER(F1805)&amp;H1805,Prices!A:C,2,0))</f>
        <v>59.2</v>
      </c>
      <c r="W1805" s="8">
        <f t="shared" ref="W1805:W1810" si="1027">IF(I1805="B",(V1805+T1805)*K1805,(V1805+T1805)*K1805)</f>
        <v>-16205.995400000003</v>
      </c>
      <c r="X1805" s="8">
        <f t="shared" ref="X1805:X1810" si="1028">K1805*(V1805-U1805)</f>
        <v>975</v>
      </c>
      <c r="Y1805" s="57">
        <f t="shared" ref="Y1805:Y1810" si="1029">W1805/O1805</f>
        <v>-0.26642766205796775</v>
      </c>
      <c r="Z1805" s="58"/>
      <c r="AA1805" s="59"/>
    </row>
    <row r="1806" spans="1:27" s="8" customFormat="1" hidden="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27.59</v>
      </c>
      <c r="V1806" s="8">
        <f>IF(ISNA(VLOOKUP(LOWER(F1806)&amp;H1806,Prices!A:C,2,0)),0,VLOOKUP(LOWER(F1806)&amp;H1806,Prices!A:C,2,0))</f>
        <v>28.05</v>
      </c>
      <c r="W1806" s="8">
        <f t="shared" si="1027"/>
        <v>-4103.5131999999949</v>
      </c>
      <c r="X1806" s="8">
        <f t="shared" si="1028"/>
        <v>-920.00000000000171</v>
      </c>
      <c r="Y1806" s="57">
        <f t="shared" si="1029"/>
        <v>-7.8822766039185463E-2</v>
      </c>
      <c r="Z1806" s="58"/>
      <c r="AA1806" s="59"/>
    </row>
    <row r="1807" spans="1:27" s="8" customFormat="1" hidden="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32.79</v>
      </c>
      <c r="V1807" s="8">
        <f>IF(ISNA(VLOOKUP(LOWER(F1807)&amp;H1807,Prices!A:C,2,0)),0,VLOOKUP(LOWER(F1807)&amp;H1807,Prices!A:C,2,0))</f>
        <v>34.03</v>
      </c>
      <c r="W1807" s="8">
        <f t="shared" si="1027"/>
        <v>-15604.38348000001</v>
      </c>
      <c r="X1807" s="8">
        <f t="shared" si="1028"/>
        <v>-2728.0000000000045</v>
      </c>
      <c r="Y1807" s="57">
        <f t="shared" si="1029"/>
        <v>-0.26299227222166061</v>
      </c>
      <c r="Z1807" s="58"/>
      <c r="AA1807" s="59"/>
    </row>
    <row r="1808" spans="1:27" s="13" customFormat="1" hidden="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55.39</v>
      </c>
      <c r="V1808" s="13">
        <f>IF(ISNA(VLOOKUP(LOWER(F1808)&amp;H1808,Prices!A:C,2,0)),0,VLOOKUP(LOWER(F1808)&amp;H1808,Prices!A:C,2,0))</f>
        <v>57.19</v>
      </c>
      <c r="W1808" s="13">
        <f t="shared" si="1027"/>
        <v>-49657.500400000012</v>
      </c>
      <c r="X1808" s="13">
        <f t="shared" si="1028"/>
        <v>-3959.9999999999936</v>
      </c>
      <c r="Y1808" s="43">
        <f t="shared" si="1029"/>
        <v>-0.65122882547343053</v>
      </c>
      <c r="Z1808" s="49"/>
      <c r="AA1808" s="24"/>
    </row>
    <row r="1809" spans="1:27" s="13" customFormat="1" hidden="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41.3</v>
      </c>
      <c r="V1809" s="13">
        <f>IF(ISNA(VLOOKUP(LOWER(F1809)&amp;H1809,Prices!A:C,2,0)),0,VLOOKUP(LOWER(F1809)&amp;H1809,Prices!A:C,2,0))</f>
        <v>42.53</v>
      </c>
      <c r="W1809" s="13">
        <f t="shared" si="1027"/>
        <v>-22591.272000000001</v>
      </c>
      <c r="X1809" s="13">
        <f t="shared" si="1028"/>
        <v>-2706.0000000000086</v>
      </c>
      <c r="Y1809" s="43">
        <f t="shared" si="1029"/>
        <v>-0.31791826625386999</v>
      </c>
      <c r="Z1809" s="49"/>
      <c r="AA1809" s="24"/>
    </row>
    <row r="1810" spans="1:27" s="8" customFormat="1" hidden="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59.95</v>
      </c>
      <c r="V1810" s="8">
        <f>IF(ISNA(VLOOKUP(LOWER(F1810)&amp;H1810,Prices!A:C,2,0)),0,VLOOKUP(LOWER(F1810)&amp;H1810,Prices!A:C,2,0))</f>
        <v>59.2</v>
      </c>
      <c r="W1810" s="8">
        <f t="shared" si="1027"/>
        <v>-18684.239999999994</v>
      </c>
      <c r="X1810" s="8">
        <f t="shared" si="1028"/>
        <v>1125</v>
      </c>
      <c r="Y1810" s="57">
        <f t="shared" si="1029"/>
        <v>-0.26615726495726488</v>
      </c>
      <c r="Z1810" s="58"/>
      <c r="AA1810" s="59"/>
    </row>
    <row r="1811" spans="1:27" s="13" customFormat="1" hidden="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27.6</v>
      </c>
      <c r="V1811" s="13">
        <f>IF(ISNA(VLOOKUP(LOWER(F1811)&amp;H1811,Prices!A:C,2,0)),0,VLOOKUP(LOWER(F1811)&amp;H1811,Prices!A:C,2,0))</f>
        <v>27.7</v>
      </c>
      <c r="W1811" s="13">
        <f>IF(I1811="B",(V1811+T1811)*K1811,(V1811+T1811)*K1811)</f>
        <v>-3403.5131999999921</v>
      </c>
      <c r="X1811" s="13">
        <f t="shared" ref="X1811:X1837" si="1034">K1811*(V1811-U1811)</f>
        <v>-199.99999999999574</v>
      </c>
      <c r="Y1811" s="43">
        <f t="shared" ref="Y1811:Y1837" si="1035">W1811/O1811</f>
        <v>-6.5376742220514636E-2</v>
      </c>
      <c r="Z1811" s="49"/>
      <c r="AA1811" s="24"/>
    </row>
    <row r="1812" spans="1:27" s="13" customFormat="1" hidden="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55.39</v>
      </c>
      <c r="V1812" s="13">
        <f>IF(ISNA(VLOOKUP(LOWER(F1812)&amp;H1812,Prices!A:C,2,0)),0,VLOOKUP(LOWER(F1812)&amp;H1812,Prices!A:C,2,0))</f>
        <v>57.19</v>
      </c>
      <c r="W1812" s="13">
        <f>IF(I1812="B",(V1812+T1812)*K1812,(V1812+T1812)*K1812)</f>
        <v>-42825.967999999986</v>
      </c>
      <c r="X1812" s="13">
        <f t="shared" si="1034"/>
        <v>-3599.9999999999945</v>
      </c>
      <c r="Y1812" s="43">
        <f t="shared" si="1035"/>
        <v>-0.59779408151870439</v>
      </c>
      <c r="Z1812" s="49"/>
      <c r="AA1812" s="24"/>
    </row>
    <row r="1813" spans="1:27" s="8" customFormat="1" hidden="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32.79</v>
      </c>
      <c r="V1813" s="8">
        <f>IF(ISNA(VLOOKUP(LOWER(F1813)&amp;H1813,Prices!A:C,2,0)),0,VLOOKUP(LOWER(F1813)&amp;H1813,Prices!A:C,2,0))</f>
        <v>34.03</v>
      </c>
      <c r="W1813" s="8">
        <f t="shared" ref="W1813:W1837" si="1036">IF(I1813="B",(V1813+T1813)*K1813,(V1813+T1813)*K1813)</f>
        <v>-7242.7204000000029</v>
      </c>
      <c r="X1813" s="8">
        <f t="shared" si="1034"/>
        <v>-1240.000000000002</v>
      </c>
      <c r="Y1813" s="57">
        <f t="shared" si="1035"/>
        <v>-0.27004923191648034</v>
      </c>
      <c r="Z1813" s="58"/>
      <c r="AA1813" s="59"/>
    </row>
    <row r="1814" spans="1:27" s="13" customFormat="1" hidden="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31.44</v>
      </c>
      <c r="V1814" s="13">
        <f>IF(ISNA(VLOOKUP(LOWER(F1814)&amp;H1814,Prices!A:C,2,0)),0,VLOOKUP(LOWER(F1814)&amp;H1814,Prices!A:C,2,0))</f>
        <v>32.450000000000003</v>
      </c>
      <c r="W1814" s="13">
        <f t="shared" si="1036"/>
        <v>-2700.1216000000059</v>
      </c>
      <c r="X1814" s="13">
        <f t="shared" si="1034"/>
        <v>-1616.0000000000025</v>
      </c>
      <c r="Y1814" s="43">
        <f t="shared" si="1035"/>
        <v>-5.4791428571428692E-2</v>
      </c>
      <c r="Z1814" s="49"/>
      <c r="AA1814" s="24"/>
    </row>
    <row r="1815" spans="1:27" s="8" customFormat="1" hidden="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27.59</v>
      </c>
      <c r="V1815" s="8">
        <f>IF(ISNA(VLOOKUP(LOWER(F1815)&amp;H1815,Prices!A:C,2,0)),0,VLOOKUP(LOWER(F1815)&amp;H1815,Prices!A:C,2,0))</f>
        <v>28.05</v>
      </c>
      <c r="W1815" s="8">
        <f t="shared" si="1036"/>
        <v>2562.6025599999994</v>
      </c>
      <c r="X1815" s="8">
        <f t="shared" si="1034"/>
        <v>368.00000000000068</v>
      </c>
      <c r="Y1815" s="57">
        <f t="shared" si="1035"/>
        <v>0.12895544283413846</v>
      </c>
      <c r="Z1815" s="58"/>
      <c r="AA1815" s="59"/>
    </row>
    <row r="1816" spans="1:27" s="8" customFormat="1" hidden="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32.79</v>
      </c>
      <c r="V1816" s="8">
        <f>IF(ISNA(VLOOKUP(LOWER(F1816)&amp;H1816,Prices!A:C,2,0)),0,VLOOKUP(LOWER(F1816)&amp;H1816,Prices!A:C,2,0))</f>
        <v>34.03</v>
      </c>
      <c r="W1816" s="8">
        <f t="shared" si="1036"/>
        <v>-10953.970799999999</v>
      </c>
      <c r="X1816" s="8">
        <f t="shared" si="1034"/>
        <v>-1860.000000000003</v>
      </c>
      <c r="Y1816" s="57">
        <f t="shared" si="1035"/>
        <v>-0.27289414050822119</v>
      </c>
      <c r="Z1816" s="58"/>
      <c r="AA1816" s="59"/>
    </row>
    <row r="1817" spans="1:27" s="13" customFormat="1" hidden="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27.6</v>
      </c>
      <c r="V1817" s="13">
        <f>IF(ISNA(VLOOKUP(LOWER(F1817)&amp;H1817,Prices!A:C,2,0)),0,VLOOKUP(LOWER(F1817)&amp;H1817,Prices!A:C,2,0))</f>
        <v>27.7</v>
      </c>
      <c r="W1817" s="13">
        <f t="shared" si="1036"/>
        <v>-3403.5131999999921</v>
      </c>
      <c r="X1817" s="13">
        <f t="shared" si="1034"/>
        <v>-199.99999999999574</v>
      </c>
      <c r="Y1817" s="43">
        <f t="shared" si="1035"/>
        <v>-6.5376742220514636E-2</v>
      </c>
      <c r="Z1817" s="49"/>
      <c r="AA1817" s="24"/>
    </row>
    <row r="1818" spans="1:27" s="13" customFormat="1" hidden="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55.39</v>
      </c>
      <c r="V1818" s="13">
        <f>IF(ISNA(VLOOKUP(LOWER(F1818)&amp;H1818,Prices!A:C,2,0)),0,VLOOKUP(LOWER(F1818)&amp;H1818,Prices!A:C,2,0))</f>
        <v>57.19</v>
      </c>
      <c r="W1818" s="13">
        <f t="shared" si="1036"/>
        <v>-32224.354999999989</v>
      </c>
      <c r="X1818" s="13">
        <f t="shared" si="1034"/>
        <v>-2699.9999999999959</v>
      </c>
      <c r="Y1818" s="43">
        <f t="shared" si="1035"/>
        <v>-0.60092037296037271</v>
      </c>
      <c r="Z1818" s="49"/>
      <c r="AA1818" s="24"/>
    </row>
    <row r="1819" spans="1:27" s="13" customFormat="1" hidden="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41.3</v>
      </c>
      <c r="V1819" s="13">
        <f>IF(ISNA(VLOOKUP(LOWER(F1819)&amp;H1819,Prices!A:C,2,0)),0,VLOOKUP(LOWER(F1819)&amp;H1819,Prices!A:C,2,0))</f>
        <v>42.53</v>
      </c>
      <c r="W1819" s="13">
        <f t="shared" si="1036"/>
        <v>7507</v>
      </c>
      <c r="X1819" s="13">
        <f t="shared" si="1034"/>
        <v>738.00000000000239</v>
      </c>
      <c r="Y1819" s="43">
        <f t="shared" si="1035"/>
        <v>0.41691658336110188</v>
      </c>
      <c r="Z1819" s="49"/>
      <c r="AA1819" s="24"/>
    </row>
    <row r="1820" spans="1:27" s="13" customFormat="1" hidden="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43.74</v>
      </c>
      <c r="V1820" s="13">
        <f>IF(ISNA(VLOOKUP(LOWER(F1820)&amp;H1820,Prices!A:C,2,0)),0,VLOOKUP(LOWER(F1820)&amp;H1820,Prices!A:C,2,0))</f>
        <v>45.67</v>
      </c>
      <c r="W1820" s="13">
        <f t="shared" si="1036"/>
        <v>3065.0000000000014</v>
      </c>
      <c r="X1820" s="13">
        <f t="shared" si="1034"/>
        <v>964.99999999999989</v>
      </c>
      <c r="Y1820" s="43">
        <f t="shared" si="1035"/>
        <v>0.15507209714141165</v>
      </c>
      <c r="Z1820" s="49"/>
      <c r="AA1820" s="24"/>
    </row>
    <row r="1821" spans="1:27" s="13" customFormat="1" hidden="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41.3</v>
      </c>
      <c r="V1821" s="13">
        <f>IF(ISNA(VLOOKUP(LOWER(F1821)&amp;H1821,Prices!A:C,2,0)),0,VLOOKUP(LOWER(F1821)&amp;H1821,Prices!A:C,2,0))</f>
        <v>42.53</v>
      </c>
      <c r="W1821" s="13">
        <f t="shared" si="1036"/>
        <v>7351.0000000000009</v>
      </c>
      <c r="X1821" s="13">
        <f t="shared" si="1034"/>
        <v>738.00000000000239</v>
      </c>
      <c r="Y1821" s="43">
        <f t="shared" si="1035"/>
        <v>0.40474617332892859</v>
      </c>
      <c r="Z1821" s="49"/>
      <c r="AA1821" s="24"/>
    </row>
    <row r="1822" spans="1:27" s="13" customFormat="1" hidden="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27.07</v>
      </c>
      <c r="V1822" s="13">
        <f>IF(ISNA(VLOOKUP(LOWER(F1822)&amp;H1822,Prices!A:C,2,0)),0,VLOOKUP(LOWER(F1822)&amp;H1822,Prices!A:C,2,0))</f>
        <v>27.07</v>
      </c>
      <c r="W1822" s="13">
        <f t="shared" si="1036"/>
        <v>3314.6332799999982</v>
      </c>
      <c r="X1822" s="13">
        <f t="shared" si="1034"/>
        <v>0</v>
      </c>
      <c r="Y1822" s="43">
        <f t="shared" si="1035"/>
        <v>0.18077188481675383</v>
      </c>
      <c r="Z1822" s="49"/>
      <c r="AA1822" s="24"/>
    </row>
    <row r="1823" spans="1:27" s="13" customFormat="1" hidden="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41.3</v>
      </c>
      <c r="V1823" s="13">
        <f>IF(ISNA(VLOOKUP(LOWER(F1823)&amp;H1823,Prices!A:C,2,0)),0,VLOOKUP(LOWER(F1823)&amp;H1823,Prices!A:C,2,0))</f>
        <v>42.53</v>
      </c>
      <c r="W1823" s="13">
        <f t="shared" si="1036"/>
        <v>7411</v>
      </c>
      <c r="X1823" s="13">
        <f t="shared" si="1034"/>
        <v>738.00000000000239</v>
      </c>
      <c r="Y1823" s="43">
        <f t="shared" si="1035"/>
        <v>0.40940227599160312</v>
      </c>
      <c r="Z1823" s="49"/>
      <c r="AA1823" s="24"/>
    </row>
    <row r="1824" spans="1:27" s="13" customFormat="1" hidden="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41.3</v>
      </c>
      <c r="V1824" s="13">
        <f>IF(ISNA(VLOOKUP(LOWER(F1824)&amp;H1824,Prices!A:C,2,0)),0,VLOOKUP(LOWER(F1824)&amp;H1824,Prices!A:C,2,0))</f>
        <v>42.53</v>
      </c>
      <c r="W1824" s="13">
        <f t="shared" si="1036"/>
        <v>7417.0000000000009</v>
      </c>
      <c r="X1824" s="13">
        <f t="shared" si="1034"/>
        <v>738.00000000000239</v>
      </c>
      <c r="Y1824" s="43">
        <f t="shared" si="1035"/>
        <v>0.40986958443854998</v>
      </c>
      <c r="Z1824" s="49"/>
      <c r="AA1824" s="24"/>
    </row>
    <row r="1825" spans="1:27" s="8" customFormat="1" hidden="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27.59</v>
      </c>
      <c r="V1825" s="8">
        <f>IF(ISNA(VLOOKUP(LOWER(F1825)&amp;H1825,Prices!A:C,2,0)),0,VLOOKUP(LOWER(F1825)&amp;H1825,Prices!A:C,2,0))</f>
        <v>28.05</v>
      </c>
      <c r="W1825" s="8">
        <f t="shared" si="1036"/>
        <v>2594.6032000000032</v>
      </c>
      <c r="X1825" s="8">
        <f t="shared" si="1034"/>
        <v>368.00000000000068</v>
      </c>
      <c r="Y1825" s="57">
        <f t="shared" si="1035"/>
        <v>0.13077637096774208</v>
      </c>
      <c r="Z1825" s="58"/>
      <c r="AA1825" s="59"/>
    </row>
    <row r="1826" spans="1:27" s="8" customFormat="1" hidden="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27.59</v>
      </c>
      <c r="V1826" s="8">
        <f>IF(ISNA(VLOOKUP(LOWER(F1826)&amp;H1826,Prices!A:C,2,0)),0,VLOOKUP(LOWER(F1826)&amp;H1826,Prices!A:C,2,0))</f>
        <v>28.05</v>
      </c>
      <c r="W1826" s="8">
        <f t="shared" si="1036"/>
        <v>2602.6033600000005</v>
      </c>
      <c r="X1826" s="8">
        <f t="shared" si="1034"/>
        <v>368.00000000000068</v>
      </c>
      <c r="Y1826" s="57">
        <f t="shared" si="1035"/>
        <v>0.13123252117789433</v>
      </c>
      <c r="Z1826" s="58"/>
      <c r="AA1826" s="59"/>
    </row>
    <row r="1827" spans="1:27" s="13" customFormat="1" hidden="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41.3</v>
      </c>
      <c r="V1827" s="13">
        <f>IF(ISNA(VLOOKUP(LOWER(F1827)&amp;H1827,Prices!A:C,2,0)),0,VLOOKUP(LOWER(F1827)&amp;H1827,Prices!A:C,2,0))</f>
        <v>42.53</v>
      </c>
      <c r="W1827" s="13">
        <f t="shared" si="1036"/>
        <v>7501.0000000000009</v>
      </c>
      <c r="X1827" s="13">
        <f t="shared" si="1034"/>
        <v>738.00000000000239</v>
      </c>
      <c r="Y1827" s="43">
        <f t="shared" si="1035"/>
        <v>0.41644459249389298</v>
      </c>
      <c r="Z1827" s="49"/>
      <c r="AA1827" s="24"/>
    </row>
    <row r="1828" spans="1:27" s="13" customFormat="1" hidden="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27.07</v>
      </c>
      <c r="V1828" s="13">
        <f>IF(ISNA(VLOOKUP(LOWER(F1828)&amp;H1828,Prices!A:C,2,0)),0,VLOOKUP(LOWER(F1828)&amp;H1828,Prices!A:C,2,0))</f>
        <v>27.07</v>
      </c>
      <c r="W1828" s="13">
        <f t="shared" si="1036"/>
        <v>3273.8324640000001</v>
      </c>
      <c r="X1828" s="13">
        <f t="shared" si="1034"/>
        <v>0</v>
      </c>
      <c r="Y1828" s="43">
        <f t="shared" si="1035"/>
        <v>0.17815030168473295</v>
      </c>
      <c r="Z1828" s="49"/>
      <c r="AA1828" s="24"/>
    </row>
    <row r="1829" spans="1:27" s="13" customFormat="1" hidden="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27.07</v>
      </c>
      <c r="V1829" s="13">
        <f>IF(ISNA(VLOOKUP(LOWER(F1829)&amp;H1829,Prices!A:C,2,0)),0,VLOOKUP(LOWER(F1829)&amp;H1829,Prices!A:C,2,0))</f>
        <v>27.07</v>
      </c>
      <c r="W1829" s="13">
        <f t="shared" si="1036"/>
        <v>3242.6318399999986</v>
      </c>
      <c r="X1829" s="13">
        <f t="shared" si="1034"/>
        <v>0</v>
      </c>
      <c r="Y1829" s="43">
        <f t="shared" si="1035"/>
        <v>0.17615340286831804</v>
      </c>
      <c r="Z1829" s="49"/>
      <c r="AA1829" s="24"/>
    </row>
    <row r="1830" spans="1:27" s="13" customFormat="1" hidden="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27.07</v>
      </c>
      <c r="V1830" s="13">
        <f>IF(ISNA(VLOOKUP(LOWER(F1830)&amp;H1830,Prices!A:C,2,0)),0,VLOOKUP(LOWER(F1830)&amp;H1830,Prices!A:C,2,0))</f>
        <v>27.07</v>
      </c>
      <c r="W1830" s="13">
        <f t="shared" si="1036"/>
        <v>3226.6315199999981</v>
      </c>
      <c r="X1830" s="13">
        <f t="shared" si="1034"/>
        <v>0</v>
      </c>
      <c r="Y1830" s="43">
        <f t="shared" si="1035"/>
        <v>0.17513197568389047</v>
      </c>
      <c r="Z1830" s="49"/>
      <c r="AA1830" s="24"/>
    </row>
    <row r="1831" spans="1:27" s="13" customFormat="1" hidden="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27.07</v>
      </c>
      <c r="V1831" s="13">
        <f>IF(ISNA(VLOOKUP(LOWER(F1831)&amp;H1831,Prices!A:C,2,0)),0,VLOOKUP(LOWER(F1831)&amp;H1831,Prices!A:C,2,0))</f>
        <v>27.07</v>
      </c>
      <c r="W1831" s="13">
        <f t="shared" si="1036"/>
        <v>3330.6336000000015</v>
      </c>
      <c r="X1831" s="13">
        <f t="shared" si="1034"/>
        <v>0</v>
      </c>
      <c r="Y1831" s="43">
        <f t="shared" si="1035"/>
        <v>0.18180314410480358</v>
      </c>
      <c r="Z1831" s="49"/>
      <c r="AA1831" s="24"/>
    </row>
    <row r="1832" spans="1:27" s="13" customFormat="1" hidden="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27.07</v>
      </c>
      <c r="V1832" s="13">
        <f>IF(ISNA(VLOOKUP(LOWER(F1832)&amp;H1832,Prices!A:C,2,0)),0,VLOOKUP(LOWER(F1832)&amp;H1832,Prices!A:C,2,0))</f>
        <v>27.07</v>
      </c>
      <c r="W1832" s="13">
        <f t="shared" si="1036"/>
        <v>3314.6332799999982</v>
      </c>
      <c r="X1832" s="13">
        <f t="shared" si="1034"/>
        <v>0</v>
      </c>
      <c r="Y1832" s="43">
        <f t="shared" si="1035"/>
        <v>0.18077188481675383</v>
      </c>
      <c r="Z1832" s="49"/>
      <c r="AA1832" s="24"/>
    </row>
    <row r="1833" spans="1:27" s="13" customFormat="1" hidden="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27.07</v>
      </c>
      <c r="V1833" s="13">
        <f>IF(ISNA(VLOOKUP(LOWER(F1833)&amp;H1833,Prices!A:C,2,0)),0,VLOOKUP(LOWER(F1833)&amp;H1833,Prices!A:C,2,0))</f>
        <v>27.07</v>
      </c>
      <c r="W1833" s="13">
        <f t="shared" si="1036"/>
        <v>3330.6336000000015</v>
      </c>
      <c r="X1833" s="13">
        <f t="shared" si="1034"/>
        <v>0</v>
      </c>
      <c r="Y1833" s="43">
        <f t="shared" si="1035"/>
        <v>0.18180314410480358</v>
      </c>
      <c r="Z1833" s="49"/>
      <c r="AA1833" s="24"/>
    </row>
    <row r="1834" spans="1:27" s="13" customFormat="1" hidden="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27.07</v>
      </c>
      <c r="V1834" s="13">
        <f>IF(ISNA(VLOOKUP(LOWER(F1834)&amp;H1834,Prices!A:C,2,0)),0,VLOOKUP(LOWER(F1834)&amp;H1834,Prices!A:C,2,0))</f>
        <v>27.07</v>
      </c>
      <c r="W1834" s="13">
        <f t="shared" si="1036"/>
        <v>3330.6336000000015</v>
      </c>
      <c r="X1834" s="13">
        <f t="shared" si="1034"/>
        <v>0</v>
      </c>
      <c r="Y1834" s="43">
        <f t="shared" si="1035"/>
        <v>0.18180314410480358</v>
      </c>
      <c r="Z1834" s="49"/>
      <c r="AA1834" s="24"/>
    </row>
    <row r="1835" spans="1:27" s="13" customFormat="1" hidden="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41.3</v>
      </c>
      <c r="V1835" s="13">
        <f>IF(ISNA(VLOOKUP(LOWER(F1835)&amp;H1835,Prices!A:C,2,0)),0,VLOOKUP(LOWER(F1835)&amp;H1835,Prices!A:C,2,0))</f>
        <v>42.53</v>
      </c>
      <c r="W1835" s="13">
        <f t="shared" si="1036"/>
        <v>7651.0000000000009</v>
      </c>
      <c r="X1835" s="13">
        <f t="shared" si="1034"/>
        <v>738.00000000000239</v>
      </c>
      <c r="Y1835" s="43">
        <f t="shared" si="1035"/>
        <v>0.42833949165826901</v>
      </c>
      <c r="Z1835" s="49"/>
      <c r="AA1835" s="24"/>
    </row>
    <row r="1836" spans="1:27" s="13" customFormat="1" hidden="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41.3</v>
      </c>
      <c r="V1836" s="13">
        <f>IF(ISNA(VLOOKUP(LOWER(F1836)&amp;H1836,Prices!A:C,2,0)),0,VLOOKUP(LOWER(F1836)&amp;H1836,Prices!A:C,2,0))</f>
        <v>42.53</v>
      </c>
      <c r="W1836" s="13">
        <f t="shared" si="1036"/>
        <v>7639.0000000000018</v>
      </c>
      <c r="X1836" s="13">
        <f t="shared" si="1034"/>
        <v>738.00000000000239</v>
      </c>
      <c r="Y1836" s="43">
        <f t="shared" si="1035"/>
        <v>0.42738055275819636</v>
      </c>
      <c r="Z1836" s="49"/>
      <c r="AA1836" s="24"/>
    </row>
    <row r="1837" spans="1:27" s="13" customFormat="1" hidden="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41.3</v>
      </c>
      <c r="V1837" s="13">
        <f>IF(ISNA(VLOOKUP(LOWER(F1837)&amp;H1837,Prices!A:C,2,0)),0,VLOOKUP(LOWER(F1837)&amp;H1837,Prices!A:C,2,0))</f>
        <v>42.53</v>
      </c>
      <c r="W1837" s="13">
        <f t="shared" si="1036"/>
        <v>7609.0000000000009</v>
      </c>
      <c r="X1837" s="13">
        <f t="shared" si="1034"/>
        <v>738.00000000000239</v>
      </c>
      <c r="Y1837" s="43">
        <f t="shared" si="1035"/>
        <v>0.42498882931188564</v>
      </c>
      <c r="Z1837" s="49"/>
      <c r="AA1837" s="24"/>
    </row>
    <row r="1838" spans="1:27" s="13" customFormat="1" hidden="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27.6</v>
      </c>
      <c r="V1838" s="13">
        <f>IF(ISNA(VLOOKUP(LOWER(F1838)&amp;H1838,Prices!A:C,2,0)),0,VLOOKUP(LOWER(F1838)&amp;H1838,Prices!A:C,2,0))</f>
        <v>27.7</v>
      </c>
      <c r="W1838" s="13">
        <f t="shared" ref="W1838:W1868" si="1041">IF(I1838="B",(V1838+T1838)*K1838,(V1838+T1838)*K1838)</f>
        <v>-2815.8524999999941</v>
      </c>
      <c r="X1838" s="13">
        <f t="shared" ref="X1838:X1868" si="1042">K1838*(V1838-U1838)</f>
        <v>-189.99999999999596</v>
      </c>
      <c r="Y1838" s="43">
        <f t="shared" ref="Y1838:Y1868" si="1043">W1838/O1838</f>
        <v>-5.6458195488721684E-2</v>
      </c>
      <c r="Z1838" s="49"/>
      <c r="AA1838" s="24"/>
    </row>
    <row r="1839" spans="1:27" s="8" customFormat="1" hidden="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59.95</v>
      </c>
      <c r="V1839" s="8">
        <f>IF(ISNA(VLOOKUP(LOWER(F1839)&amp;H1839,Prices!A:C,2,0)),0,VLOOKUP(LOWER(F1839)&amp;H1839,Prices!A:C,2,0))</f>
        <v>59.2</v>
      </c>
      <c r="W1839" s="8">
        <f t="shared" si="1041"/>
        <v>-13479.417290000005</v>
      </c>
      <c r="X1839" s="8">
        <f t="shared" si="1042"/>
        <v>738.75</v>
      </c>
      <c r="Y1839" s="57">
        <f t="shared" si="1043"/>
        <v>-0.30030036436385604</v>
      </c>
      <c r="Z1839" s="58"/>
      <c r="AA1839" s="59"/>
    </row>
    <row r="1840" spans="1:27" s="13" customFormat="1" hidden="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650.07000000000005</v>
      </c>
      <c r="V1840" s="13">
        <f>IF(ISNA(VLOOKUP(LOWER(F1840)&amp;H1840,Prices!A:C,2,0)),0,VLOOKUP(LOWER(F1840)&amp;H1840,Prices!A:C,2,0))</f>
        <v>677.95</v>
      </c>
      <c r="W1840" s="13">
        <f t="shared" si="1041"/>
        <v>-21835.143520000001</v>
      </c>
      <c r="X1840" s="13">
        <f t="shared" si="1042"/>
        <v>-2787.9999999999995</v>
      </c>
      <c r="Y1840" s="43">
        <f t="shared" si="1043"/>
        <v>-0.4745119853963839</v>
      </c>
      <c r="Z1840" s="49"/>
      <c r="AA1840" s="24"/>
    </row>
    <row r="1841" spans="1:27" s="8" customFormat="1" hidden="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27.59</v>
      </c>
      <c r="V1841" s="8">
        <f>IF(ISNA(VLOOKUP(LOWER(F1841)&amp;H1841,Prices!A:C,2,0)),0,VLOOKUP(LOWER(F1841)&amp;H1841,Prices!A:C,2,0))</f>
        <v>28.05</v>
      </c>
      <c r="W1841" s="8">
        <f t="shared" si="1041"/>
        <v>-5481.8295999999973</v>
      </c>
      <c r="X1841" s="8">
        <f t="shared" si="1042"/>
        <v>-920.00000000000171</v>
      </c>
      <c r="Y1841" s="57">
        <f t="shared" si="1043"/>
        <v>-0.10816554064719805</v>
      </c>
      <c r="Z1841" s="58"/>
      <c r="AA1841" s="59"/>
    </row>
    <row r="1842" spans="1:27" s="13" customFormat="1" hidden="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27.07</v>
      </c>
      <c r="V1842" s="13">
        <f>IF(ISNA(VLOOKUP(LOWER(F1842)&amp;H1842,Prices!A:C,2,0)),0,VLOOKUP(LOWER(F1842)&amp;H1842,Prices!A:C,2,0))</f>
        <v>27.07</v>
      </c>
      <c r="W1842" s="13">
        <f t="shared" si="1041"/>
        <v>-9624.4380600000022</v>
      </c>
      <c r="X1842" s="13">
        <f t="shared" si="1042"/>
        <v>0</v>
      </c>
      <c r="Y1842" s="43">
        <f t="shared" si="1043"/>
        <v>-0.13428261772215483</v>
      </c>
      <c r="Z1842" s="49"/>
      <c r="AA1842" s="24"/>
    </row>
    <row r="1843" spans="1:27" s="13" customFormat="1" hidden="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41.3</v>
      </c>
      <c r="V1843" s="13">
        <f>IF(ISNA(VLOOKUP(LOWER(F1843)&amp;H1843,Prices!A:C,2,0)),0,VLOOKUP(LOWER(F1843)&amp;H1843,Prices!A:C,2,0))</f>
        <v>42.53</v>
      </c>
      <c r="W1843" s="13">
        <f t="shared" si="1041"/>
        <v>-35450.700000000004</v>
      </c>
      <c r="X1843" s="13">
        <f t="shared" si="1042"/>
        <v>-3690.0000000000118</v>
      </c>
      <c r="Y1843" s="43">
        <f t="shared" si="1043"/>
        <v>-0.384289430894309</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16.52</v>
      </c>
      <c r="V1844" s="30">
        <f>IF(ISNA(VLOOKUP(LOWER(F1844)&amp;H1844,Prices!A:C,2,0)),0,VLOOKUP(LOWER(F1844)&amp;H1844,Prices!A:C,2,0))</f>
        <v>16.59</v>
      </c>
      <c r="W1844" s="30">
        <f t="shared" si="1041"/>
        <v>1827.6053199999983</v>
      </c>
      <c r="X1844" s="30">
        <f t="shared" si="1042"/>
        <v>91.000000000000369</v>
      </c>
      <c r="Y1844" s="40">
        <f t="shared" si="1043"/>
        <v>9.2612005675483847E-2</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16.52</v>
      </c>
      <c r="V1845" s="30">
        <f>IF(ISNA(VLOOKUP(LOWER(F1845)&amp;H1845,Prices!A:C,2,0)),0,VLOOKUP(LOWER(F1845)&amp;H1845,Prices!A:C,2,0))</f>
        <v>16.59</v>
      </c>
      <c r="W1845" s="30">
        <f t="shared" si="1041"/>
        <v>1697.6027199999985</v>
      </c>
      <c r="X1845" s="30">
        <f t="shared" si="1042"/>
        <v>91.000000000000369</v>
      </c>
      <c r="Y1845" s="40">
        <f t="shared" si="1043"/>
        <v>8.5461272654047446E-2</v>
      </c>
    </row>
    <row r="1846" spans="1:27" s="8" customFormat="1" hidden="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27.59</v>
      </c>
      <c r="V1846" s="8">
        <f>IF(ISNA(VLOOKUP(LOWER(F1846)&amp;H1846,Prices!A:C,2,0)),0,VLOOKUP(LOWER(F1846)&amp;H1846,Prices!A:C,2,0))</f>
        <v>28.05</v>
      </c>
      <c r="W1846" s="8">
        <f t="shared" si="1041"/>
        <v>2690.6051200000006</v>
      </c>
      <c r="X1846" s="8">
        <f t="shared" si="1042"/>
        <v>368.00000000000068</v>
      </c>
      <c r="Y1846" s="57">
        <f t="shared" si="1043"/>
        <v>0.13627457050243116</v>
      </c>
      <c r="Z1846" s="58"/>
      <c r="AA1846" s="59"/>
    </row>
    <row r="1847" spans="1:27" s="13" customFormat="1" hidden="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650.07000000000005</v>
      </c>
      <c r="V1847" s="13">
        <f>IF(ISNA(VLOOKUP(LOWER(F1847)&amp;H1847,Prices!A:C,2,0)),0,VLOOKUP(LOWER(F1847)&amp;H1847,Prices!A:C,2,0))</f>
        <v>677.95</v>
      </c>
      <c r="W1847" s="13">
        <f t="shared" si="1041"/>
        <v>22164.963599999999</v>
      </c>
      <c r="X1847" s="13">
        <f t="shared" si="1042"/>
        <v>2787.9999999999995</v>
      </c>
      <c r="Y1847" s="43">
        <f t="shared" si="1043"/>
        <v>0.48586066637439718</v>
      </c>
      <c r="Z1847" s="49"/>
      <c r="AA1847" s="24"/>
    </row>
    <row r="1848" spans="1:27" s="8" customFormat="1" hidden="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27.59</v>
      </c>
      <c r="V1848" s="8">
        <f>IF(ISNA(VLOOKUP(LOWER(F1848)&amp;H1848,Prices!A:C,2,0)),0,VLOOKUP(LOWER(F1848)&amp;H1848,Prices!A:C,2,0))</f>
        <v>28.05</v>
      </c>
      <c r="W1848" s="8">
        <f t="shared" si="1041"/>
        <v>2538.602080000001</v>
      </c>
      <c r="X1848" s="8">
        <f t="shared" si="1042"/>
        <v>368.00000000000068</v>
      </c>
      <c r="Y1848" s="57">
        <f t="shared" si="1043"/>
        <v>0.12759359067149181</v>
      </c>
      <c r="Z1848" s="58"/>
      <c r="AA1848" s="59"/>
    </row>
    <row r="1849" spans="1:27" s="8" customFormat="1" hidden="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27.59</v>
      </c>
      <c r="V1849" s="8">
        <f>IF(ISNA(VLOOKUP(LOWER(F1849)&amp;H1849,Prices!A:C,2,0)),0,VLOOKUP(LOWER(F1849)&amp;H1849,Prices!A:C,2,0))</f>
        <v>28.05</v>
      </c>
      <c r="W1849" s="8">
        <f t="shared" si="1041"/>
        <v>2530.601920000001</v>
      </c>
      <c r="X1849" s="8">
        <f t="shared" si="1042"/>
        <v>368.00000000000068</v>
      </c>
      <c r="Y1849" s="57">
        <f t="shared" si="1043"/>
        <v>0.12714036977491966</v>
      </c>
      <c r="Z1849" s="58"/>
      <c r="AA1849" s="59"/>
    </row>
    <row r="1850" spans="1:27" s="13" customFormat="1" hidden="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27.07</v>
      </c>
      <c r="V1850" s="13">
        <f>IF(ISNA(VLOOKUP(LOWER(F1850)&amp;H1850,Prices!A:C,2,0)),0,VLOOKUP(LOWER(F1850)&amp;H1850,Prices!A:C,2,0))</f>
        <v>27.07</v>
      </c>
      <c r="W1850" s="13">
        <f t="shared" si="1041"/>
        <v>3290.6328000000003</v>
      </c>
      <c r="X1850" s="13">
        <f t="shared" si="1042"/>
        <v>0</v>
      </c>
      <c r="Y1850" s="43">
        <f t="shared" si="1043"/>
        <v>0.1792283660130719</v>
      </c>
      <c r="Z1850" s="49"/>
      <c r="AA1850" s="24"/>
    </row>
    <row r="1851" spans="1:27" s="8" customFormat="1" hidden="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27.59</v>
      </c>
      <c r="V1851" s="8">
        <f>IF(ISNA(VLOOKUP(LOWER(F1851)&amp;H1851,Prices!A:C,2,0)),0,VLOOKUP(LOWER(F1851)&amp;H1851,Prices!A:C,2,0))</f>
        <v>28.05</v>
      </c>
      <c r="W1851" s="8">
        <f t="shared" si="1041"/>
        <v>5063.2422399999996</v>
      </c>
      <c r="X1851" s="8">
        <f t="shared" si="1042"/>
        <v>736.00000000000136</v>
      </c>
      <c r="Y1851" s="57">
        <f t="shared" si="1043"/>
        <v>0.12719157556270094</v>
      </c>
      <c r="Z1851" s="58"/>
      <c r="AA1851" s="59"/>
    </row>
    <row r="1852" spans="1:27" s="13" customFormat="1" hidden="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27.07</v>
      </c>
      <c r="V1852" s="13">
        <f>IF(ISNA(VLOOKUP(LOWER(F1852)&amp;H1852,Prices!A:C,2,0)),0,VLOOKUP(LOWER(F1852)&amp;H1852,Prices!A:C,2,0))</f>
        <v>27.07</v>
      </c>
      <c r="W1852" s="13">
        <f t="shared" si="1041"/>
        <v>3314.6332799999982</v>
      </c>
      <c r="X1852" s="13">
        <f t="shared" si="1042"/>
        <v>0</v>
      </c>
      <c r="Y1852" s="43">
        <f t="shared" si="1043"/>
        <v>0.18077188481675383</v>
      </c>
      <c r="Z1852" s="49"/>
      <c r="AA1852" s="24"/>
    </row>
    <row r="1853" spans="1:27" s="8" customFormat="1" hidden="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27.59</v>
      </c>
      <c r="V1853" s="8">
        <f>IF(ISNA(VLOOKUP(LOWER(F1853)&amp;H1853,Prices!A:C,2,0)),0,VLOOKUP(LOWER(F1853)&amp;H1853,Prices!A:C,2,0))</f>
        <v>28.05</v>
      </c>
      <c r="W1853" s="8">
        <f t="shared" si="1041"/>
        <v>-5981.2195999999958</v>
      </c>
      <c r="X1853" s="8">
        <f t="shared" si="1042"/>
        <v>-920.00000000000171</v>
      </c>
      <c r="Y1853" s="57">
        <f t="shared" si="1043"/>
        <v>-0.11919528895974484</v>
      </c>
      <c r="Z1853" s="58"/>
      <c r="AA1853" s="59"/>
    </row>
    <row r="1854" spans="1:27" s="13" customFormat="1" hidden="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15.55</v>
      </c>
      <c r="V1854" s="13">
        <f>IF(ISNA(VLOOKUP(LOWER(F1854)&amp;H1854,Prices!A:C,2,0)),0,VLOOKUP(LOWER(F1854)&amp;H1854,Prices!A:C,2,0))</f>
        <v>15.23</v>
      </c>
      <c r="W1854" s="13">
        <f t="shared" si="1041"/>
        <v>-4478.3635999999997</v>
      </c>
      <c r="X1854" s="13">
        <f t="shared" si="1042"/>
        <v>-288.00000000000023</v>
      </c>
      <c r="Y1854" s="43">
        <f t="shared" si="1043"/>
        <v>-0.2463346314631463</v>
      </c>
      <c r="Z1854" s="49"/>
      <c r="AA1854" s="24"/>
    </row>
    <row r="1855" spans="1:27" s="13" customFormat="1" hidden="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41.3</v>
      </c>
      <c r="V1855" s="13">
        <f>IF(ISNA(VLOOKUP(LOWER(F1855)&amp;H1855,Prices!A:C,2,0)),0,VLOOKUP(LOWER(F1855)&amp;H1855,Prices!A:C,2,0))</f>
        <v>42.53</v>
      </c>
      <c r="W1855" s="13">
        <f t="shared" si="1041"/>
        <v>-42289.140400000004</v>
      </c>
      <c r="X1855" s="13">
        <f t="shared" si="1042"/>
        <v>-4428.0000000000146</v>
      </c>
      <c r="Y1855" s="43">
        <f t="shared" si="1043"/>
        <v>-0.38114806763285025</v>
      </c>
      <c r="Z1855" s="49"/>
      <c r="AA1855" s="24"/>
    </row>
    <row r="1856" spans="1:27" s="13" customFormat="1" hidden="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27.07</v>
      </c>
      <c r="V1856" s="13">
        <f>IF(ISNA(VLOOKUP(LOWER(F1856)&amp;H1856,Prices!A:C,2,0)),0,VLOOKUP(LOWER(F1856)&amp;H1856,Prices!A:C,2,0))</f>
        <v>27.07</v>
      </c>
      <c r="W1856" s="13">
        <f t="shared" si="1041"/>
        <v>-13991.71010000002</v>
      </c>
      <c r="X1856" s="13">
        <f t="shared" si="1042"/>
        <v>0</v>
      </c>
      <c r="Y1856" s="43">
        <f t="shared" si="1043"/>
        <v>-0.12960687416053004</v>
      </c>
      <c r="Z1856" s="49"/>
      <c r="AA1856" s="24"/>
    </row>
    <row r="1857" spans="1:27" s="8" customFormat="1" hidden="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59.95</v>
      </c>
      <c r="V1857" s="8">
        <f>IF(ISNA(VLOOKUP(LOWER(F1857)&amp;H1857,Prices!A:C,2,0)),0,VLOOKUP(LOWER(F1857)&amp;H1857,Prices!A:C,2,0))</f>
        <v>59.2</v>
      </c>
      <c r="W1857" s="8">
        <f t="shared" si="1041"/>
        <v>5515.0000000000009</v>
      </c>
      <c r="X1857" s="8">
        <f t="shared" si="1042"/>
        <v>-300</v>
      </c>
      <c r="Y1857" s="57">
        <f t="shared" si="1043"/>
        <v>0.30368942731277537</v>
      </c>
      <c r="Z1857" s="58"/>
      <c r="AA1857" s="59"/>
    </row>
    <row r="1858" spans="1:27" s="13" customFormat="1" hidden="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31.84</v>
      </c>
      <c r="V1858" s="13">
        <f>IF(ISNA(VLOOKUP(LOWER(F1858)&amp;H1858,Prices!A:C,2,0)),0,VLOOKUP(LOWER(F1858)&amp;H1858,Prices!A:C,2,0))</f>
        <v>32.01</v>
      </c>
      <c r="W1858" s="13">
        <f t="shared" si="1041"/>
        <v>3298.6179399999992</v>
      </c>
      <c r="X1858" s="13">
        <f t="shared" si="1042"/>
        <v>118.99999999999871</v>
      </c>
      <c r="Y1858" s="43">
        <f t="shared" si="1043"/>
        <v>0.17267538815892788</v>
      </c>
      <c r="Z1858" s="49"/>
      <c r="AA1858" s="24"/>
    </row>
    <row r="1859" spans="1:27" s="13" customFormat="1" hidden="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15.55</v>
      </c>
      <c r="V1859" s="13">
        <f>IF(ISNA(VLOOKUP(LOWER(F1859)&amp;H1859,Prices!A:C,2,0)),0,VLOOKUP(LOWER(F1859)&amp;H1859,Prices!A:C,2,0))</f>
        <v>15.23</v>
      </c>
      <c r="W1859" s="13">
        <f t="shared" si="1041"/>
        <v>-4523.3644999999979</v>
      </c>
      <c r="X1859" s="13">
        <f t="shared" si="1042"/>
        <v>-288.00000000000023</v>
      </c>
      <c r="Y1859" s="43">
        <f t="shared" si="1043"/>
        <v>-0.24819558299039768</v>
      </c>
      <c r="Z1859" s="49"/>
      <c r="AA1859" s="24"/>
    </row>
    <row r="1860" spans="1:27" s="13" customFormat="1" hidden="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41.3</v>
      </c>
      <c r="V1860" s="13">
        <f>IF(ISNA(VLOOKUP(LOWER(F1860)&amp;H1860,Prices!A:C,2,0)),0,VLOOKUP(LOWER(F1860)&amp;H1860,Prices!A:C,2,0))</f>
        <v>42.53</v>
      </c>
      <c r="W1860" s="13">
        <f t="shared" si="1041"/>
        <v>7357</v>
      </c>
      <c r="X1860" s="13">
        <f t="shared" si="1042"/>
        <v>738.00000000000239</v>
      </c>
      <c r="Y1860" s="43">
        <f t="shared" si="1043"/>
        <v>0.40521039876624809</v>
      </c>
      <c r="Z1860" s="49"/>
      <c r="AA1860" s="24"/>
    </row>
    <row r="1861" spans="1:27" s="13" customFormat="1" hidden="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41.3</v>
      </c>
      <c r="V1861" s="13">
        <f>IF(ISNA(VLOOKUP(LOWER(F1861)&amp;H1861,Prices!A:C,2,0)),0,VLOOKUP(LOWER(F1861)&amp;H1861,Prices!A:C,2,0))</f>
        <v>42.53</v>
      </c>
      <c r="W1861" s="13">
        <f t="shared" si="1041"/>
        <v>7357</v>
      </c>
      <c r="X1861" s="13">
        <f t="shared" si="1042"/>
        <v>738.00000000000239</v>
      </c>
      <c r="Y1861" s="43">
        <f t="shared" si="1043"/>
        <v>0.40521039876624809</v>
      </c>
      <c r="Z1861" s="49"/>
      <c r="AA1861" s="24"/>
    </row>
    <row r="1862" spans="1:27" s="8" customFormat="1" hidden="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59.95</v>
      </c>
      <c r="V1862" s="8">
        <f>IF(ISNA(VLOOKUP(LOWER(F1862)&amp;H1862,Prices!A:C,2,0)),0,VLOOKUP(LOWER(F1862)&amp;H1862,Prices!A:C,2,0))</f>
        <v>59.2</v>
      </c>
      <c r="W1862" s="8">
        <f t="shared" si="1041"/>
        <v>5511.0000000000018</v>
      </c>
      <c r="X1862" s="8">
        <f t="shared" si="1042"/>
        <v>-300</v>
      </c>
      <c r="Y1862" s="57">
        <f t="shared" si="1043"/>
        <v>0.30340233428760194</v>
      </c>
      <c r="Z1862" s="58"/>
      <c r="AA1862" s="59"/>
    </row>
    <row r="1863" spans="1:27" s="13" customFormat="1" hidden="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41.3</v>
      </c>
      <c r="V1863" s="13">
        <f>IF(ISNA(VLOOKUP(LOWER(F1863)&amp;H1863,Prices!A:C,2,0)),0,VLOOKUP(LOWER(F1863)&amp;H1863,Prices!A:C,2,0))</f>
        <v>42.53</v>
      </c>
      <c r="W1863" s="13">
        <f t="shared" si="1041"/>
        <v>7381.0000000000018</v>
      </c>
      <c r="X1863" s="13">
        <f t="shared" si="1042"/>
        <v>738.00000000000239</v>
      </c>
      <c r="Y1863" s="43">
        <f t="shared" si="1043"/>
        <v>0.40707037282153108</v>
      </c>
      <c r="Z1863" s="49"/>
      <c r="AA1863" s="24"/>
    </row>
    <row r="1864" spans="1:27" s="13" customFormat="1" hidden="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15.55</v>
      </c>
      <c r="V1864" s="13">
        <f>IF(ISNA(VLOOKUP(LOWER(F1864)&amp;H1864,Prices!A:C,2,0)),0,VLOOKUP(LOWER(F1864)&amp;H1864,Prices!A:C,2,0))</f>
        <v>15.23</v>
      </c>
      <c r="W1864" s="13">
        <f t="shared" si="1041"/>
        <v>-4748.3689999999988</v>
      </c>
      <c r="X1864" s="13">
        <f t="shared" si="1042"/>
        <v>-288.00000000000023</v>
      </c>
      <c r="Y1864" s="43">
        <f t="shared" si="1043"/>
        <v>-0.25736417344173435</v>
      </c>
      <c r="Z1864" s="49"/>
      <c r="AA1864" s="24"/>
    </row>
    <row r="1865" spans="1:27" s="13" customFormat="1" hidden="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31.84</v>
      </c>
      <c r="V1865" s="13">
        <f>IF(ISNA(VLOOKUP(LOWER(F1865)&amp;H1865,Prices!A:C,2,0)),0,VLOOKUP(LOWER(F1865)&amp;H1865,Prices!A:C,2,0))</f>
        <v>32.01</v>
      </c>
      <c r="W1865" s="13">
        <f t="shared" si="1041"/>
        <v>3039.6127599999977</v>
      </c>
      <c r="X1865" s="13">
        <f t="shared" si="1042"/>
        <v>118.99999999999871</v>
      </c>
      <c r="Y1865" s="43">
        <f t="shared" si="1043"/>
        <v>0.15698857349447359</v>
      </c>
      <c r="Z1865" s="49"/>
      <c r="AA1865" s="24"/>
    </row>
    <row r="1866" spans="1:27" s="13" customFormat="1" hidden="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26.42</v>
      </c>
      <c r="V1866" s="13">
        <f>IF(ISNA(VLOOKUP(LOWER(F1866)&amp;H1866,Prices!A:C,2,0)),0,VLOOKUP(LOWER(F1866)&amp;H1866,Prices!A:C,2,0))</f>
        <v>25.72</v>
      </c>
      <c r="W1866" s="13">
        <f t="shared" si="1041"/>
        <v>12090.62464</v>
      </c>
      <c r="X1866" s="13">
        <f t="shared" si="1042"/>
        <v>-840.00000000000341</v>
      </c>
      <c r="Y1866" s="43">
        <f t="shared" si="1043"/>
        <v>0.64421486786018756</v>
      </c>
      <c r="Z1866" s="49"/>
      <c r="AA1866" s="24"/>
    </row>
    <row r="1867" spans="1:27" s="13" customFormat="1" hidden="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18.12</v>
      </c>
      <c r="V1867" s="13">
        <f>IF(ISNA(VLOOKUP(LOWER(F1867)&amp;H1867,Prices!A:C,2,0)),0,VLOOKUP(LOWER(F1867)&amp;H1867,Prices!A:C,2,0))</f>
        <v>19</v>
      </c>
      <c r="W1867" s="13">
        <f t="shared" si="1041"/>
        <v>2260.9999999999991</v>
      </c>
      <c r="X1867" s="13">
        <f t="shared" si="1042"/>
        <v>967.99999999999886</v>
      </c>
      <c r="Y1867" s="43">
        <f t="shared" si="1043"/>
        <v>0.12133734034560476</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16.52</v>
      </c>
      <c r="V1868" s="30">
        <f>IF(ISNA(VLOOKUP(LOWER(F1868)&amp;H1868,Prices!A:C,2,0)),0,VLOOKUP(LOWER(F1868)&amp;H1868,Prices!A:C,2,0))</f>
        <v>16.59</v>
      </c>
      <c r="W1868" s="30">
        <f t="shared" si="1041"/>
        <v>1840.6055799999988</v>
      </c>
      <c r="X1868" s="30">
        <f t="shared" si="1042"/>
        <v>91.000000000000369</v>
      </c>
      <c r="Y1868" s="40">
        <f t="shared" si="1043"/>
        <v>9.3332264083971342E-2</v>
      </c>
    </row>
    <row r="1869" spans="1:27" s="13" customFormat="1" hidden="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18.12</v>
      </c>
      <c r="V1869" s="13">
        <f>IF(ISNA(VLOOKUP(LOWER(F1869)&amp;H1869,Prices!A:C,2,0)),0,VLOOKUP(LOWER(F1869)&amp;H1869,Prices!A:C,2,0))</f>
        <v>19</v>
      </c>
      <c r="W1869" s="13">
        <f t="shared" ref="W1869:W1893" si="1052">IF(I1869="B",(V1869+T1869)*K1869,(V1869+T1869)*K1869)</f>
        <v>-2344.5800000000008</v>
      </c>
      <c r="X1869" s="13">
        <f t="shared" ref="X1869:X1893" si="1053">K1869*(V1869-U1869)</f>
        <v>-967.99999999999886</v>
      </c>
      <c r="Y1869" s="43">
        <f t="shared" ref="Y1869:Y1893" si="1054">W1869/O1869</f>
        <v>-0.12619516658593039</v>
      </c>
      <c r="Z1869" s="49"/>
      <c r="AA1869" s="24"/>
    </row>
    <row r="1870" spans="1:27" s="8" customFormat="1" hidden="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32.79</v>
      </c>
      <c r="V1870" s="8">
        <f>IF(ISNA(VLOOKUP(LOWER(F1870)&amp;H1870,Prices!A:C,2,0)),0,VLOOKUP(LOWER(F1870)&amp;H1870,Prices!A:C,2,0))</f>
        <v>34.03</v>
      </c>
      <c r="W1870" s="8">
        <f t="shared" si="1052"/>
        <v>-13226.978000000003</v>
      </c>
      <c r="X1870" s="8">
        <f t="shared" si="1053"/>
        <v>-2480.0000000000041</v>
      </c>
      <c r="Y1870" s="57">
        <f t="shared" si="1054"/>
        <v>-0.24092856102003649</v>
      </c>
      <c r="Z1870" s="58"/>
      <c r="AA1870" s="59"/>
    </row>
    <row r="1871" spans="1:27" s="13" customFormat="1" hidden="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15.55</v>
      </c>
      <c r="V1871" s="13">
        <f>IF(ISNA(VLOOKUP(LOWER(F1871)&amp;H1871,Prices!A:C,2,0)),0,VLOOKUP(LOWER(F1871)&amp;H1871,Prices!A:C,2,0))</f>
        <v>15.23</v>
      </c>
      <c r="W1871" s="13">
        <f t="shared" si="1052"/>
        <v>6615.8761599999934</v>
      </c>
      <c r="X1871" s="13">
        <f t="shared" si="1053"/>
        <v>448.0000000000004</v>
      </c>
      <c r="Y1871" s="43">
        <f t="shared" si="1054"/>
        <v>0.23651780923780899</v>
      </c>
      <c r="Z1871" s="49"/>
      <c r="AA1871" s="24"/>
    </row>
    <row r="1872" spans="1:27" s="13" customFormat="1" hidden="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31.84</v>
      </c>
      <c r="V1872" s="13">
        <f>IF(ISNA(VLOOKUP(LOWER(F1872)&amp;H1872,Prices!A:C,2,0)),0,VLOOKUP(LOWER(F1872)&amp;H1872,Prices!A:C,2,0))</f>
        <v>32.01</v>
      </c>
      <c r="W1872" s="13">
        <f t="shared" si="1052"/>
        <v>-3934.2941999999966</v>
      </c>
      <c r="X1872" s="13">
        <f t="shared" si="1053"/>
        <v>-169.99999999999815</v>
      </c>
      <c r="Y1872" s="43">
        <f t="shared" si="1054"/>
        <v>-0.13996066168623253</v>
      </c>
      <c r="Z1872" s="49"/>
      <c r="AA1872" s="24"/>
    </row>
    <row r="1873" spans="1:27" s="13" customFormat="1" hidden="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27.6</v>
      </c>
      <c r="V1873" s="13">
        <f>IF(ISNA(VLOOKUP(LOWER(F1873)&amp;H1873,Prices!A:C,2,0)),0,VLOOKUP(LOWER(F1873)&amp;H1873,Prices!A:C,2,0))</f>
        <v>27.7</v>
      </c>
      <c r="W1873" s="13">
        <f t="shared" si="1052"/>
        <v>-2025.1968000000033</v>
      </c>
      <c r="X1873" s="13">
        <f t="shared" si="1053"/>
        <v>-199.99999999999574</v>
      </c>
      <c r="Y1873" s="43">
        <f t="shared" si="1054"/>
        <v>-3.7896646706586892E-2</v>
      </c>
      <c r="Z1873" s="49"/>
      <c r="AA1873" s="24"/>
    </row>
    <row r="1874" spans="1:27" s="13" customFormat="1" hidden="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43.74</v>
      </c>
      <c r="V1874" s="13">
        <f>IF(ISNA(VLOOKUP(LOWER(F1874)&amp;H1874,Prices!A:C,2,0)),0,VLOOKUP(LOWER(F1874)&amp;H1874,Prices!A:C,2,0))</f>
        <v>45.67</v>
      </c>
      <c r="W1874" s="13">
        <f t="shared" si="1052"/>
        <v>-7992.7590000000064</v>
      </c>
      <c r="X1874" s="13">
        <f t="shared" si="1053"/>
        <v>-2122.9999999999995</v>
      </c>
      <c r="Y1874" s="43">
        <f t="shared" si="1054"/>
        <v>-0.18897645111715347</v>
      </c>
      <c r="Z1874" s="49"/>
      <c r="AA1874" s="24"/>
    </row>
    <row r="1875" spans="1:27" s="8" customFormat="1" hidden="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27.59</v>
      </c>
      <c r="V1875" s="8">
        <f>IF(ISNA(VLOOKUP(LOWER(F1875)&amp;H1875,Prices!A:C,2,0)),0,VLOOKUP(LOWER(F1875)&amp;H1875,Prices!A:C,2,0))</f>
        <v>28.05</v>
      </c>
      <c r="W1875" s="8">
        <f t="shared" si="1052"/>
        <v>-6880.1216000000022</v>
      </c>
      <c r="X1875" s="8">
        <f t="shared" si="1053"/>
        <v>-920.00000000000171</v>
      </c>
      <c r="Y1875" s="57">
        <f t="shared" si="1054"/>
        <v>-0.13961285714285718</v>
      </c>
      <c r="Z1875" s="58"/>
      <c r="AA1875" s="59"/>
    </row>
    <row r="1876" spans="1:27" s="13" customFormat="1" hidden="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15.55</v>
      </c>
      <c r="V1876" s="13">
        <f>IF(ISNA(VLOOKUP(LOWER(F1876)&amp;H1876,Prices!A:C,2,0)),0,VLOOKUP(LOWER(F1876)&amp;H1876,Prices!A:C,2,0))</f>
        <v>15.23</v>
      </c>
      <c r="W1876" s="13">
        <f t="shared" si="1052"/>
        <v>6065.4028800000042</v>
      </c>
      <c r="X1876" s="13">
        <f t="shared" si="1053"/>
        <v>416.00000000000034</v>
      </c>
      <c r="Y1876" s="43">
        <f t="shared" si="1054"/>
        <v>0.23422161260426333</v>
      </c>
      <c r="Z1876" s="49"/>
      <c r="AA1876" s="24"/>
    </row>
    <row r="1877" spans="1:27" s="8" customFormat="1" hidden="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59.95</v>
      </c>
      <c r="V1877" s="8">
        <f>IF(ISNA(VLOOKUP(LOWER(F1877)&amp;H1877,Prices!A:C,2,0)),0,VLOOKUP(LOWER(F1877)&amp;H1877,Prices!A:C,2,0))</f>
        <v>59.2</v>
      </c>
      <c r="W1877" s="8">
        <f t="shared" si="1052"/>
        <v>-39363.696599999981</v>
      </c>
      <c r="X1877" s="8">
        <f t="shared" si="1053"/>
        <v>1961.25</v>
      </c>
      <c r="Y1877" s="57">
        <f t="shared" si="1054"/>
        <v>-0.34056648988172983</v>
      </c>
      <c r="Z1877" s="58"/>
      <c r="AA1877" s="59"/>
    </row>
    <row r="1878" spans="1:27" s="13" customFormat="1" hidden="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27.07</v>
      </c>
      <c r="V1878" s="13">
        <f>IF(ISNA(VLOOKUP(LOWER(F1878)&amp;H1878,Prices!A:C,2,0)),0,VLOOKUP(LOWER(F1878)&amp;H1878,Prices!A:C,2,0))</f>
        <v>27.07</v>
      </c>
      <c r="W1878" s="13">
        <f t="shared" si="1052"/>
        <v>-11515.131600000012</v>
      </c>
      <c r="X1878" s="13">
        <f t="shared" si="1053"/>
        <v>0</v>
      </c>
      <c r="Y1878" s="43">
        <f t="shared" si="1054"/>
        <v>-0.16502051590713687</v>
      </c>
      <c r="Z1878" s="49"/>
      <c r="AA1878" s="24"/>
    </row>
    <row r="1879" spans="1:27" s="13" customFormat="1" hidden="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650.07000000000005</v>
      </c>
      <c r="V1879" s="13">
        <f>IF(ISNA(VLOOKUP(LOWER(F1879)&amp;H1879,Prices!A:C,2,0)),0,VLOOKUP(LOWER(F1879)&amp;H1879,Prices!A:C,2,0))</f>
        <v>677.95</v>
      </c>
      <c r="W1879" s="13">
        <f t="shared" si="1052"/>
        <v>-46442.896320000014</v>
      </c>
      <c r="X1879" s="13">
        <f t="shared" si="1053"/>
        <v>-5575.9999999999991</v>
      </c>
      <c r="Y1879" s="43">
        <f t="shared" si="1054"/>
        <v>-0.52033360580801302</v>
      </c>
      <c r="Z1879" s="49"/>
      <c r="AA1879" s="24"/>
    </row>
    <row r="1880" spans="1:27" s="13" customFormat="1" hidden="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41.3</v>
      </c>
      <c r="V1880" s="13">
        <f>IF(ISNA(VLOOKUP(LOWER(F1880)&amp;H1880,Prices!A:C,2,0)),0,VLOOKUP(LOWER(F1880)&amp;H1880,Prices!A:C,2,0))</f>
        <v>42.53</v>
      </c>
      <c r="W1880" s="13">
        <f t="shared" si="1052"/>
        <v>-33280.979599999999</v>
      </c>
      <c r="X1880" s="13">
        <f t="shared" si="1053"/>
        <v>-3321.0000000000109</v>
      </c>
      <c r="Y1880" s="43">
        <f t="shared" si="1054"/>
        <v>-0.40761536841073875</v>
      </c>
      <c r="Z1880" s="49"/>
      <c r="AA1880" s="24"/>
    </row>
    <row r="1881" spans="1:27" s="13" customFormat="1" hidden="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55.39</v>
      </c>
      <c r="V1881" s="13">
        <f>IF(ISNA(VLOOKUP(LOWER(F1881)&amp;H1881,Prices!A:C,2,0)),0,VLOOKUP(LOWER(F1881)&amp;H1881,Prices!A:C,2,0))</f>
        <v>57.19</v>
      </c>
      <c r="W1881" s="13">
        <f t="shared" si="1052"/>
        <v>-46148.588199999998</v>
      </c>
      <c r="X1881" s="13">
        <f t="shared" si="1053"/>
        <v>-4139.9999999999936</v>
      </c>
      <c r="Y1881" s="43">
        <f t="shared" si="1054"/>
        <v>-0.53980639131604491</v>
      </c>
      <c r="Z1881" s="49"/>
      <c r="AA1881" s="24"/>
    </row>
    <row r="1882" spans="1:27" s="8" customFormat="1" hidden="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27.59</v>
      </c>
      <c r="V1882" s="8">
        <f>IF(ISNA(VLOOKUP(LOWER(F1882)&amp;H1882,Prices!A:C,2,0)),0,VLOOKUP(LOWER(F1882)&amp;H1882,Prices!A:C,2,0))</f>
        <v>28.05</v>
      </c>
      <c r="W1882" s="8">
        <f t="shared" si="1052"/>
        <v>-7912.1378399999976</v>
      </c>
      <c r="X1882" s="8">
        <f t="shared" si="1053"/>
        <v>-1058.000000000002</v>
      </c>
      <c r="Y1882" s="57">
        <f t="shared" si="1054"/>
        <v>-0.13961282185206095</v>
      </c>
      <c r="Z1882" s="58"/>
      <c r="AA1882" s="59"/>
    </row>
    <row r="1883" spans="1:27" s="8" customFormat="1" hidden="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27.59</v>
      </c>
      <c r="V1883" s="8">
        <f>IF(ISNA(VLOOKUP(LOWER(F1883)&amp;H1883,Prices!A:C,2,0)),0,VLOOKUP(LOWER(F1883)&amp;H1883,Prices!A:C,2,0))</f>
        <v>28.05</v>
      </c>
      <c r="W1883" s="8">
        <f t="shared" si="1052"/>
        <v>-7590.1109200000055</v>
      </c>
      <c r="X1883" s="8">
        <f t="shared" si="1053"/>
        <v>-1012.0000000000018</v>
      </c>
      <c r="Y1883" s="57">
        <f t="shared" si="1054"/>
        <v>-0.14007512863101179</v>
      </c>
      <c r="Z1883" s="58"/>
      <c r="AA1883" s="59"/>
    </row>
    <row r="1884" spans="1:27" s="8" customFormat="1" hidden="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59.95</v>
      </c>
      <c r="V1884" s="8">
        <f>IF(ISNA(VLOOKUP(LOWER(F1884)&amp;H1884,Prices!A:C,2,0)),0,VLOOKUP(LOWER(F1884)&amp;H1884,Prices!A:C,2,0))</f>
        <v>59.2</v>
      </c>
      <c r="W1884" s="8">
        <f t="shared" si="1052"/>
        <v>-15043.051999999996</v>
      </c>
      <c r="X1884" s="8">
        <f t="shared" si="1053"/>
        <v>750</v>
      </c>
      <c r="Y1884" s="57">
        <f t="shared" si="1054"/>
        <v>-0.34026356028047944</v>
      </c>
      <c r="Z1884" s="58"/>
      <c r="AA1884" s="59"/>
    </row>
    <row r="1885" spans="1:27" s="13" customFormat="1" hidden="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55.39</v>
      </c>
      <c r="V1885" s="13">
        <f>IF(ISNA(VLOOKUP(LOWER(F1885)&amp;H1885,Prices!A:C,2,0)),0,VLOOKUP(LOWER(F1885)&amp;H1885,Prices!A:C,2,0))</f>
        <v>57.19</v>
      </c>
      <c r="W1885" s="13">
        <f t="shared" si="1052"/>
        <v>4073.0000000000005</v>
      </c>
      <c r="X1885" s="13">
        <f t="shared" si="1053"/>
        <v>359.99999999999943</v>
      </c>
      <c r="Y1885" s="43">
        <f t="shared" si="1054"/>
        <v>0.55339673913043497</v>
      </c>
      <c r="Z1885" s="49"/>
      <c r="AA1885" s="24"/>
    </row>
    <row r="1886" spans="1:27" s="13" customFormat="1" hidden="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15.55</v>
      </c>
      <c r="V1886" s="13">
        <f>IF(ISNA(VLOOKUP(LOWER(F1886)&amp;H1886,Prices!A:C,2,0)),0,VLOOKUP(LOWER(F1886)&amp;H1886,Prices!A:C,2,0))</f>
        <v>15.23</v>
      </c>
      <c r="W1886" s="13">
        <f t="shared" si="1052"/>
        <v>-4775.4000000000015</v>
      </c>
      <c r="X1886" s="13">
        <f t="shared" si="1053"/>
        <v>-320.00000000000028</v>
      </c>
      <c r="Y1886" s="43">
        <f t="shared" si="1054"/>
        <v>-0.23877000000000007</v>
      </c>
      <c r="Z1886" s="49"/>
      <c r="AA1886" s="24"/>
    </row>
    <row r="1887" spans="1:27" s="13" customFormat="1" hidden="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85.9</v>
      </c>
      <c r="V1887" s="13">
        <f>IF(ISNA(VLOOKUP(LOWER(F1887)&amp;H1887,Prices!A:C,2,0)),0,VLOOKUP(LOWER(F1887)&amp;H1887,Prices!A:C,2,0))</f>
        <v>85.18</v>
      </c>
      <c r="W1887" s="13">
        <f t="shared" si="1052"/>
        <v>14211.000000000002</v>
      </c>
      <c r="X1887" s="13">
        <f t="shared" si="1053"/>
        <v>-287.99999999999955</v>
      </c>
      <c r="Y1887" s="43">
        <f t="shared" si="1054"/>
        <v>0.71570306204673662</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16.52</v>
      </c>
      <c r="V1888" s="30">
        <f>IF(ISNA(VLOOKUP(LOWER(F1888)&amp;H1888,Prices!A:C,2,0)),0,VLOOKUP(LOWER(F1888)&amp;H1888,Prices!A:C,2,0))</f>
        <v>16.59</v>
      </c>
      <c r="W1888" s="30">
        <f t="shared" si="1052"/>
        <v>1853.6058399999993</v>
      </c>
      <c r="X1888" s="30">
        <f t="shared" si="1053"/>
        <v>91.000000000000369</v>
      </c>
      <c r="Y1888" s="40">
        <f t="shared" si="1054"/>
        <v>9.4053472701441002E-2</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16.52</v>
      </c>
      <c r="V1889" s="30">
        <f>IF(ISNA(VLOOKUP(LOWER(F1889)&amp;H1889,Prices!A:C,2,0)),0,VLOOKUP(LOWER(F1889)&amp;H1889,Prices!A:C,2,0))</f>
        <v>16.59</v>
      </c>
      <c r="W1889" s="30">
        <f t="shared" si="1052"/>
        <v>1801.6047999999998</v>
      </c>
      <c r="X1889" s="30">
        <f t="shared" si="1053"/>
        <v>91.000000000000369</v>
      </c>
      <c r="Y1889" s="40">
        <f t="shared" si="1054"/>
        <v>9.1174331983805659E-2</v>
      </c>
    </row>
    <row r="1890" spans="1:27" s="13" customFormat="1" hidden="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15.55</v>
      </c>
      <c r="V1890" s="13">
        <f>IF(ISNA(VLOOKUP(LOWER(F1890)&amp;H1890,Prices!A:C,2,0)),0,VLOOKUP(LOWER(F1890)&amp;H1890,Prices!A:C,2,0))</f>
        <v>15.23</v>
      </c>
      <c r="W1890" s="13">
        <f t="shared" si="1052"/>
        <v>-4523.3644999999979</v>
      </c>
      <c r="X1890" s="13">
        <f t="shared" si="1053"/>
        <v>-288.00000000000023</v>
      </c>
      <c r="Y1890" s="43">
        <f t="shared" si="1054"/>
        <v>-0.24819558299039768</v>
      </c>
      <c r="Z1890" s="49"/>
      <c r="AA1890" s="24"/>
    </row>
    <row r="1891" spans="1:27" s="13" customFormat="1" hidden="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18.12</v>
      </c>
      <c r="V1891" s="13">
        <f>IF(ISNA(VLOOKUP(LOWER(F1891)&amp;H1891,Prices!A:C,2,0)),0,VLOOKUP(LOWER(F1891)&amp;H1891,Prices!A:C,2,0))</f>
        <v>19</v>
      </c>
      <c r="W1891" s="13">
        <f t="shared" si="1052"/>
        <v>2260.9999999999991</v>
      </c>
      <c r="X1891" s="13">
        <f t="shared" si="1053"/>
        <v>967.99999999999886</v>
      </c>
      <c r="Y1891" s="43">
        <f t="shared" si="1054"/>
        <v>0.12133734034560476</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16.52</v>
      </c>
      <c r="V1892" s="30">
        <f>IF(ISNA(VLOOKUP(LOWER(F1892)&amp;H1892,Prices!A:C,2,0)),0,VLOOKUP(LOWER(F1892)&amp;H1892,Prices!A:C,2,0))</f>
        <v>16.59</v>
      </c>
      <c r="W1892" s="30">
        <f t="shared" si="1052"/>
        <v>1788.6045399999994</v>
      </c>
      <c r="X1892" s="30">
        <f t="shared" si="1053"/>
        <v>91.000000000000369</v>
      </c>
      <c r="Y1892" s="40">
        <f t="shared" si="1054"/>
        <v>9.0456912962120037E-2</v>
      </c>
    </row>
    <row r="1893" spans="1:27" s="13" customFormat="1" hidden="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15.55</v>
      </c>
      <c r="V1893" s="13">
        <f>IF(ISNA(VLOOKUP(LOWER(F1893)&amp;H1893,Prices!A:C,2,0)),0,VLOOKUP(LOWER(F1893)&amp;H1893,Prices!A:C,2,0))</f>
        <v>15.23</v>
      </c>
      <c r="W1893" s="13">
        <f t="shared" si="1052"/>
        <v>-4424.3625199999979</v>
      </c>
      <c r="X1893" s="13">
        <f t="shared" si="1053"/>
        <v>-288.00000000000023</v>
      </c>
      <c r="Y1893" s="43">
        <f t="shared" si="1054"/>
        <v>-0.24408929272867691</v>
      </c>
      <c r="Z1893" s="49"/>
      <c r="AA1893" s="24"/>
    </row>
    <row r="1894" spans="1:27" s="13" customFormat="1" hidden="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31.84</v>
      </c>
      <c r="V1894" s="13">
        <f>IF(ISNA(VLOOKUP(LOWER(F1894)&amp;H1894,Prices!A:C,2,0)),0,VLOOKUP(LOWER(F1894)&amp;H1894,Prices!A:C,2,0))</f>
        <v>32.01</v>
      </c>
      <c r="W1894" s="13">
        <f t="shared" ref="W1894:W1900" si="1059">IF(I1894="B",(V1894+T1894)*K1894,(V1894+T1894)*K1894)</f>
        <v>-954.56915999999978</v>
      </c>
      <c r="X1894" s="13">
        <f t="shared" ref="X1894:X1900" si="1060">K1894*(V1894-U1894)</f>
        <v>-33.999999999999631</v>
      </c>
      <c r="Y1894" s="43">
        <f t="shared" ref="Y1894:Y1900" si="1061">W1894/O1894</f>
        <v>-0.17489358006595818</v>
      </c>
      <c r="Z1894" s="49"/>
      <c r="AA1894" s="24"/>
    </row>
    <row r="1895" spans="1:27" s="13" customFormat="1" hidden="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85.9</v>
      </c>
      <c r="V1895" s="13">
        <f>IF(ISNA(VLOOKUP(LOWER(F1895)&amp;H1895,Prices!A:C,2,0)),0,VLOOKUP(LOWER(F1895)&amp;H1895,Prices!A:C,2,0))</f>
        <v>85.18</v>
      </c>
      <c r="W1895" s="13">
        <f t="shared" si="1059"/>
        <v>-7015.0400000000018</v>
      </c>
      <c r="X1895" s="13">
        <f t="shared" si="1060"/>
        <v>143.99999999999977</v>
      </c>
      <c r="Y1895" s="43">
        <f t="shared" si="1061"/>
        <v>-0.69898764447987261</v>
      </c>
      <c r="Z1895" s="49"/>
      <c r="AA1895" s="24"/>
    </row>
    <row r="1896" spans="1:27" s="13" customFormat="1" hidden="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26.42</v>
      </c>
      <c r="V1896" s="13">
        <f>IF(ISNA(VLOOKUP(LOWER(F1896)&amp;H1896,Prices!A:C,2,0)),0,VLOOKUP(LOWER(F1896)&amp;H1896,Prices!A:C,2,0))</f>
        <v>25.72</v>
      </c>
      <c r="W1896" s="13">
        <f t="shared" si="1059"/>
        <v>-4168.5055999999995</v>
      </c>
      <c r="X1896" s="13">
        <f t="shared" si="1060"/>
        <v>420.00000000000171</v>
      </c>
      <c r="Y1896" s="43">
        <f t="shared" si="1061"/>
        <v>-0.36954836879432618</v>
      </c>
      <c r="Z1896" s="49"/>
      <c r="AA1896" s="24"/>
    </row>
    <row r="1897" spans="1:27" s="13" customFormat="1" hidden="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27.07</v>
      </c>
      <c r="V1897" s="13">
        <f>IF(ISNA(VLOOKUP(LOWER(F1897)&amp;H1897,Prices!A:C,2,0)),0,VLOOKUP(LOWER(F1897)&amp;H1897,Prices!A:C,2,0))</f>
        <v>27.07</v>
      </c>
      <c r="W1897" s="13">
        <f t="shared" si="1059"/>
        <v>-3071.9821599999987</v>
      </c>
      <c r="X1897" s="13">
        <f t="shared" si="1060"/>
        <v>0</v>
      </c>
      <c r="Y1897" s="43">
        <f t="shared" si="1061"/>
        <v>-0.16508932502149606</v>
      </c>
      <c r="Z1897" s="49"/>
      <c r="AA1897" s="24"/>
    </row>
    <row r="1898" spans="1:27" s="13" customFormat="1" hidden="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31.44</v>
      </c>
      <c r="V1898" s="13">
        <f>IF(ISNA(VLOOKUP(LOWER(F1898)&amp;H1898,Prices!A:C,2,0)),0,VLOOKUP(LOWER(F1898)&amp;H1898,Prices!A:C,2,0))</f>
        <v>32.450000000000003</v>
      </c>
      <c r="W1898" s="13">
        <f t="shared" si="1059"/>
        <v>-1397.7889199999972</v>
      </c>
      <c r="X1898" s="13">
        <f t="shared" si="1060"/>
        <v>-1414.0000000000023</v>
      </c>
      <c r="Y1898" s="43">
        <f t="shared" si="1061"/>
        <v>-3.1705959261443477E-2</v>
      </c>
      <c r="Z1898" s="49"/>
      <c r="AA1898" s="24"/>
    </row>
    <row r="1899" spans="1:27" s="13" customFormat="1" hidden="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15.55</v>
      </c>
      <c r="V1899" s="13">
        <f>IF(ISNA(VLOOKUP(LOWER(F1899)&amp;H1899,Prices!A:C,2,0)),0,VLOOKUP(LOWER(F1899)&amp;H1899,Prices!A:C,2,0))</f>
        <v>15.23</v>
      </c>
      <c r="W1899" s="13">
        <f t="shared" si="1059"/>
        <v>5679.0225200000014</v>
      </c>
      <c r="X1899" s="13">
        <f t="shared" si="1060"/>
        <v>448.0000000000004</v>
      </c>
      <c r="Y1899" s="43">
        <f t="shared" si="1061"/>
        <v>0.21006963527409933</v>
      </c>
      <c r="Z1899" s="49"/>
      <c r="AA1899" s="24"/>
    </row>
    <row r="1900" spans="1:27" s="13" customFormat="1" hidden="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8.2200000000000006</v>
      </c>
      <c r="V1900" s="13">
        <f>IF(ISNA(VLOOKUP(LOWER(F1900)&amp;H1900,Prices!A:C,2,0)),0,VLOOKUP(LOWER(F1900)&amp;H1900,Prices!A:C,2,0))</f>
        <v>8.0500000000000007</v>
      </c>
      <c r="W1900" s="13">
        <f t="shared" si="1059"/>
        <v>-1109.392379999998</v>
      </c>
      <c r="X1900" s="13">
        <f t="shared" si="1060"/>
        <v>-390.99999999999983</v>
      </c>
      <c r="Y1900" s="43">
        <f t="shared" si="1061"/>
        <v>-5.6546836230184923E-2</v>
      </c>
      <c r="Z1900" s="49"/>
      <c r="AA1900" s="24"/>
    </row>
    <row r="1901" spans="1:27" s="13" customFormat="1" hidden="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43.74</v>
      </c>
      <c r="V1901" s="13">
        <f>IF(ISNA(VLOOKUP(LOWER(F1901)&amp;H1901,Prices!A:C,2,0)),0,VLOOKUP(LOWER(F1901)&amp;H1901,Prices!A:C,2,0))</f>
        <v>45.67</v>
      </c>
      <c r="W1901" s="13">
        <f t="shared" ref="W1901:W1964" si="1066">IF(I1901="B",(V1901+T1901)*K1901,(V1901+T1901)*K1901)</f>
        <v>-2095.7700000000018</v>
      </c>
      <c r="X1901" s="13">
        <f t="shared" ref="X1901:X1964" si="1067">K1901*(V1901-U1901)</f>
        <v>-964.99999999999989</v>
      </c>
      <c r="Y1901" s="43">
        <f t="shared" ref="Y1901:Y1964" si="1068">W1901/O1901</f>
        <v>-0.10092800385263674</v>
      </c>
      <c r="Z1901" s="49"/>
      <c r="AA1901" s="24"/>
    </row>
    <row r="1902" spans="1:27" s="13" customFormat="1" hidden="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8.2200000000000006</v>
      </c>
      <c r="V1902" s="13">
        <f>IF(ISNA(VLOOKUP(LOWER(F1902)&amp;H1902,Prices!A:C,2,0)),0,VLOOKUP(LOWER(F1902)&amp;H1902,Prices!A:C,2,0))</f>
        <v>8.0500000000000007</v>
      </c>
      <c r="W1902" s="13">
        <f t="shared" si="1066"/>
        <v>-299.60478000000228</v>
      </c>
      <c r="X1902" s="13">
        <f t="shared" si="1067"/>
        <v>390.99999999999983</v>
      </c>
      <c r="Y1902" s="43">
        <f t="shared" si="1068"/>
        <v>-1.6426601239103146E-2</v>
      </c>
      <c r="Z1902" s="49"/>
      <c r="AA1902" s="24"/>
    </row>
    <row r="1903" spans="1:27" s="13" customFormat="1" hidden="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27.6</v>
      </c>
      <c r="V1903" s="13">
        <f>IF(ISNA(VLOOKUP(LOWER(F1903)&amp;H1903,Prices!A:C,2,0)),0,VLOOKUP(LOWER(F1903)&amp;H1903,Prices!A:C,2,0))</f>
        <v>27.7</v>
      </c>
      <c r="W1903" s="13">
        <f t="shared" si="1066"/>
        <v>-3480.0361999999927</v>
      </c>
      <c r="X1903" s="13">
        <f t="shared" si="1067"/>
        <v>-189.99999999999596</v>
      </c>
      <c r="Y1903" s="43">
        <f t="shared" si="1068"/>
        <v>-7.0718069498069344E-2</v>
      </c>
      <c r="Z1903" s="49"/>
      <c r="AA1903" s="24"/>
    </row>
    <row r="1904" spans="1:27" s="13" customFormat="1" hidden="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31.44</v>
      </c>
      <c r="V1904" s="13">
        <f>IF(ISNA(VLOOKUP(LOWER(F1904)&amp;H1904,Prices!A:C,2,0)),0,VLOOKUP(LOWER(F1904)&amp;H1904,Prices!A:C,2,0))</f>
        <v>32.450000000000003</v>
      </c>
      <c r="W1904" s="13">
        <f t="shared" si="1066"/>
        <v>-824.4852000000044</v>
      </c>
      <c r="X1904" s="13">
        <f t="shared" si="1067"/>
        <v>-1414.0000000000023</v>
      </c>
      <c r="Y1904" s="43">
        <f t="shared" si="1068"/>
        <v>-1.8461379310344927E-2</v>
      </c>
      <c r="Z1904" s="49"/>
      <c r="AA1904" s="24"/>
    </row>
    <row r="1905" spans="1:27" s="13" customFormat="1" hidden="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55.39</v>
      </c>
      <c r="V1905" s="13">
        <f>IF(ISNA(VLOOKUP(LOWER(F1905)&amp;H1905,Prices!A:C,2,0)),0,VLOOKUP(LOWER(F1905)&amp;H1905,Prices!A:C,2,0))</f>
        <v>57.19</v>
      </c>
      <c r="W1905" s="13">
        <f t="shared" si="1066"/>
        <v>-37950.083999999995</v>
      </c>
      <c r="X1905" s="13">
        <f t="shared" si="1067"/>
        <v>-3239.999999999995</v>
      </c>
      <c r="Y1905" s="43">
        <f t="shared" si="1068"/>
        <v>-0.58321936376210226</v>
      </c>
      <c r="Z1905" s="49"/>
      <c r="AA1905" s="24"/>
    </row>
    <row r="1906" spans="1:27" s="13" customFormat="1" hidden="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41.3</v>
      </c>
      <c r="V1906" s="13">
        <f>IF(ISNA(VLOOKUP(LOWER(F1906)&amp;H1906,Prices!A:C,2,0)),0,VLOOKUP(LOWER(F1906)&amp;H1906,Prices!A:C,2,0))</f>
        <v>42.53</v>
      </c>
      <c r="W1906" s="13">
        <f t="shared" si="1066"/>
        <v>-33562.7448</v>
      </c>
      <c r="X1906" s="13">
        <f t="shared" si="1067"/>
        <v>-3444.0000000000109</v>
      </c>
      <c r="Y1906" s="43">
        <f t="shared" si="1068"/>
        <v>-0.39197823974586565</v>
      </c>
      <c r="Z1906" s="49"/>
      <c r="AA1906" s="24"/>
    </row>
    <row r="1907" spans="1:27" s="13" customFormat="1" hidden="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31.84</v>
      </c>
      <c r="V1907" s="13">
        <f>IF(ISNA(VLOOKUP(LOWER(F1907)&amp;H1907,Prices!A:C,2,0)),0,VLOOKUP(LOWER(F1907)&amp;H1907,Prices!A:C,2,0))</f>
        <v>32.01</v>
      </c>
      <c r="W1907" s="13">
        <f t="shared" si="1066"/>
        <v>-1102.4162000000003</v>
      </c>
      <c r="X1907" s="13">
        <f t="shared" si="1067"/>
        <v>-33.999999999999631</v>
      </c>
      <c r="Y1907" s="43">
        <f t="shared" si="1068"/>
        <v>-0.20761133709981175</v>
      </c>
      <c r="Z1907" s="49"/>
      <c r="AA1907" s="24"/>
    </row>
    <row r="1908" spans="1:27" s="13" customFormat="1" hidden="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85.9</v>
      </c>
      <c r="V1908" s="13">
        <f>IF(ISNA(VLOOKUP(LOWER(F1908)&amp;H1908,Prices!A:C,2,0)),0,VLOOKUP(LOWER(F1908)&amp;H1908,Prices!A:C,2,0))</f>
        <v>85.18</v>
      </c>
      <c r="W1908" s="13">
        <f t="shared" si="1066"/>
        <v>-7294.760000000002</v>
      </c>
      <c r="X1908" s="13">
        <f t="shared" si="1067"/>
        <v>143.99999999999977</v>
      </c>
      <c r="Y1908" s="43">
        <f t="shared" si="1068"/>
        <v>-0.74772037720377227</v>
      </c>
      <c r="Z1908" s="49"/>
      <c r="AA1908" s="24"/>
    </row>
    <row r="1909" spans="1:27" s="13" customFormat="1" hidden="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26.42</v>
      </c>
      <c r="V1909" s="13">
        <f>IF(ISNA(VLOOKUP(LOWER(F1909)&amp;H1909,Prices!A:C,2,0)),0,VLOOKUP(LOWER(F1909)&amp;H1909,Prices!A:C,2,0))</f>
        <v>25.72</v>
      </c>
      <c r="W1909" s="13">
        <f t="shared" si="1066"/>
        <v>-4312.3627199999992</v>
      </c>
      <c r="X1909" s="13">
        <f t="shared" si="1067"/>
        <v>420.00000000000171</v>
      </c>
      <c r="Y1909" s="43">
        <f t="shared" si="1068"/>
        <v>-0.38724521551724128</v>
      </c>
      <c r="Z1909" s="49"/>
      <c r="AA1909" s="24"/>
    </row>
    <row r="1910" spans="1:27" s="13" customFormat="1" hidden="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15.55</v>
      </c>
      <c r="V1910" s="13">
        <f>IF(ISNA(VLOOKUP(LOWER(F1910)&amp;H1910,Prices!A:C,2,0)),0,VLOOKUP(LOWER(F1910)&amp;H1910,Prices!A:C,2,0))</f>
        <v>15.23</v>
      </c>
      <c r="W1910" s="13">
        <f t="shared" si="1066"/>
        <v>3777.3413999999966</v>
      </c>
      <c r="X1910" s="13">
        <f t="shared" si="1067"/>
        <v>448.0000000000004</v>
      </c>
      <c r="Y1910" s="43">
        <f t="shared" si="1068"/>
        <v>0.15031203342618371</v>
      </c>
      <c r="Z1910" s="49"/>
      <c r="AA1910" s="24"/>
    </row>
    <row r="1911" spans="1:27" s="13" customFormat="1" hidden="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31.84</v>
      </c>
      <c r="V1911" s="13">
        <f>IF(ISNA(VLOOKUP(LOWER(F1911)&amp;H1911,Prices!A:C,2,0)),0,VLOOKUP(LOWER(F1911)&amp;H1911,Prices!A:C,2,0))</f>
        <v>32.01</v>
      </c>
      <c r="W1911" s="13">
        <f t="shared" si="1066"/>
        <v>3844.628859999998</v>
      </c>
      <c r="X1911" s="13">
        <f t="shared" si="1067"/>
        <v>118.99999999999871</v>
      </c>
      <c r="Y1911" s="43">
        <f t="shared" si="1068"/>
        <v>0.20717943956458468</v>
      </c>
      <c r="Z1911" s="49"/>
      <c r="AA1911" s="24"/>
    </row>
    <row r="1912" spans="1:27" s="13" customFormat="1" hidden="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31.84</v>
      </c>
      <c r="V1912" s="13">
        <f>IF(ISNA(VLOOKUP(LOWER(F1912)&amp;H1912,Prices!A:C,2,0)),0,VLOOKUP(LOWER(F1912)&amp;H1912,Prices!A:C,2,0))</f>
        <v>32.01</v>
      </c>
      <c r="W1912" s="13">
        <f t="shared" si="1066"/>
        <v>3865.6292799999987</v>
      </c>
      <c r="X1912" s="13">
        <f t="shared" si="1067"/>
        <v>118.99999999999871</v>
      </c>
      <c r="Y1912" s="43">
        <f t="shared" si="1068"/>
        <v>0.20854711264566242</v>
      </c>
      <c r="Z1912" s="49"/>
      <c r="AA1912" s="24"/>
    </row>
    <row r="1913" spans="1:27" s="13" customFormat="1" hidden="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31.44</v>
      </c>
      <c r="V1913" s="13">
        <f>IF(ISNA(VLOOKUP(LOWER(F1913)&amp;H1913,Prices!A:C,2,0)),0,VLOOKUP(LOWER(F1913)&amp;H1913,Prices!A:C,2,0))</f>
        <v>32.450000000000003</v>
      </c>
      <c r="W1913" s="13">
        <f t="shared" si="1066"/>
        <v>528.62128000000007</v>
      </c>
      <c r="X1913" s="13">
        <f t="shared" si="1067"/>
        <v>606.00000000000091</v>
      </c>
      <c r="Y1913" s="43">
        <f t="shared" si="1068"/>
        <v>2.7916206168145337E-2</v>
      </c>
      <c r="Z1913" s="49"/>
      <c r="AA1913" s="24"/>
    </row>
    <row r="1914" spans="1:27" s="13" customFormat="1" hidden="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27.07</v>
      </c>
      <c r="V1914" s="13">
        <f>IF(ISNA(VLOOKUP(LOWER(F1914)&amp;H1914,Prices!A:C,2,0)),0,VLOOKUP(LOWER(F1914)&amp;H1914,Prices!A:C,2,0))</f>
        <v>27.07</v>
      </c>
      <c r="W1914" s="13">
        <f t="shared" si="1066"/>
        <v>2690.620800000002</v>
      </c>
      <c r="X1914" s="13">
        <f t="shared" si="1067"/>
        <v>0</v>
      </c>
      <c r="Y1914" s="43">
        <f t="shared" si="1068"/>
        <v>0.14191037974683554</v>
      </c>
      <c r="Z1914" s="49"/>
      <c r="AA1914" s="24"/>
    </row>
    <row r="1915" spans="1:27" s="13" customFormat="1" hidden="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31.84</v>
      </c>
      <c r="V1915" s="13">
        <f>IF(ISNA(VLOOKUP(LOWER(F1915)&amp;H1915,Prices!A:C,2,0)),0,VLOOKUP(LOWER(F1915)&amp;H1915,Prices!A:C,2,0))</f>
        <v>32.01</v>
      </c>
      <c r="W1915" s="13">
        <f t="shared" si="1066"/>
        <v>3403.6200400000002</v>
      </c>
      <c r="X1915" s="13">
        <f t="shared" si="1067"/>
        <v>118.99999999999871</v>
      </c>
      <c r="Y1915" s="43">
        <f t="shared" si="1068"/>
        <v>0.17915675544794191</v>
      </c>
      <c r="Z1915" s="49"/>
      <c r="AA1915" s="24"/>
    </row>
    <row r="1916" spans="1:27" s="13" customFormat="1" hidden="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31.84</v>
      </c>
      <c r="V1916" s="13">
        <f>IF(ISNA(VLOOKUP(LOWER(F1916)&amp;H1916,Prices!A:C,2,0)),0,VLOOKUP(LOWER(F1916)&amp;H1916,Prices!A:C,2,0))</f>
        <v>32.01</v>
      </c>
      <c r="W1916" s="13">
        <f t="shared" si="1066"/>
        <v>3375.6194799999994</v>
      </c>
      <c r="X1916" s="13">
        <f t="shared" si="1067"/>
        <v>118.99999999999871</v>
      </c>
      <c r="Y1916" s="43">
        <f t="shared" si="1068"/>
        <v>0.17742139598444231</v>
      </c>
      <c r="Z1916" s="49"/>
      <c r="AA1916" s="24"/>
    </row>
    <row r="1917" spans="1:27" s="13" customFormat="1" hidden="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27.07</v>
      </c>
      <c r="V1917" s="13">
        <f>IF(ISNA(VLOOKUP(LOWER(F1917)&amp;H1917,Prices!A:C,2,0)),0,VLOOKUP(LOWER(F1917)&amp;H1917,Prices!A:C,2,0))</f>
        <v>27.07</v>
      </c>
      <c r="W1917" s="13">
        <f t="shared" si="1066"/>
        <v>2690.620800000002</v>
      </c>
      <c r="X1917" s="13">
        <f t="shared" si="1067"/>
        <v>0</v>
      </c>
      <c r="Y1917" s="43">
        <f t="shared" si="1068"/>
        <v>0.14191037974683554</v>
      </c>
      <c r="Z1917" s="49"/>
      <c r="AA1917" s="24"/>
    </row>
    <row r="1918" spans="1:27" s="13" customFormat="1" hidden="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27.07</v>
      </c>
      <c r="V1918" s="13">
        <f>IF(ISNA(VLOOKUP(LOWER(F1918)&amp;H1918,Prices!A:C,2,0)),0,VLOOKUP(LOWER(F1918)&amp;H1918,Prices!A:C,2,0))</f>
        <v>27.07</v>
      </c>
      <c r="W1918" s="13">
        <f t="shared" si="1066"/>
        <v>2682.6206400000019</v>
      </c>
      <c r="X1918" s="13">
        <f t="shared" si="1067"/>
        <v>0</v>
      </c>
      <c r="Y1918" s="43">
        <f t="shared" si="1068"/>
        <v>0.14142875579924094</v>
      </c>
      <c r="Z1918" s="49"/>
      <c r="AA1918" s="24"/>
    </row>
    <row r="1919" spans="1:27" s="13" customFormat="1" hidden="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27.07</v>
      </c>
      <c r="V1919" s="13">
        <f>IF(ISNA(VLOOKUP(LOWER(F1919)&amp;H1919,Prices!A:C,2,0)),0,VLOOKUP(LOWER(F1919)&amp;H1919,Prices!A:C,2,0))</f>
        <v>27.07</v>
      </c>
      <c r="W1919" s="13">
        <f t="shared" si="1066"/>
        <v>2682.6206400000019</v>
      </c>
      <c r="X1919" s="13">
        <f t="shared" si="1067"/>
        <v>0</v>
      </c>
      <c r="Y1919" s="43">
        <f t="shared" si="1068"/>
        <v>0.14142875579924094</v>
      </c>
      <c r="Z1919" s="49"/>
      <c r="AA1919" s="24"/>
    </row>
    <row r="1920" spans="1:27" s="13" customFormat="1" hidden="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31.44</v>
      </c>
      <c r="V1920" s="13">
        <f>IF(ISNA(VLOOKUP(LOWER(F1920)&amp;H1920,Prices!A:C,2,0)),0,VLOOKUP(LOWER(F1920)&amp;H1920,Prices!A:C,2,0))</f>
        <v>32.450000000000003</v>
      </c>
      <c r="W1920" s="13">
        <f t="shared" si="1066"/>
        <v>528.62128000000007</v>
      </c>
      <c r="X1920" s="13">
        <f t="shared" si="1067"/>
        <v>606.00000000000091</v>
      </c>
      <c r="Y1920" s="43">
        <f t="shared" si="1068"/>
        <v>2.7916206168145337E-2</v>
      </c>
      <c r="Z1920" s="49"/>
      <c r="AA1920" s="24"/>
    </row>
    <row r="1921" spans="1:27" s="13" customFormat="1" hidden="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55.39</v>
      </c>
      <c r="V1921" s="13">
        <f>IF(ISNA(VLOOKUP(LOWER(F1921)&amp;H1921,Prices!A:C,2,0)),0,VLOOKUP(LOWER(F1921)&amp;H1921,Prices!A:C,2,0))</f>
        <v>57.19</v>
      </c>
      <c r="W1921" s="13">
        <f t="shared" si="1066"/>
        <v>10504.999999999998</v>
      </c>
      <c r="X1921" s="13">
        <f t="shared" si="1067"/>
        <v>899.99999999999864</v>
      </c>
      <c r="Y1921" s="43">
        <f t="shared" si="1068"/>
        <v>0.58086812275366317</v>
      </c>
      <c r="Z1921" s="49"/>
      <c r="AA1921" s="24"/>
    </row>
    <row r="1922" spans="1:27" s="13" customFormat="1" hidden="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55.39</v>
      </c>
      <c r="V1922" s="13">
        <f>IF(ISNA(VLOOKUP(LOWER(F1922)&amp;H1922,Prices!A:C,2,0)),0,VLOOKUP(LOWER(F1922)&amp;H1922,Prices!A:C,2,0))</f>
        <v>57.19</v>
      </c>
      <c r="W1922" s="13">
        <f t="shared" si="1066"/>
        <v>20872.737999999998</v>
      </c>
      <c r="X1922" s="13">
        <f t="shared" si="1067"/>
        <v>1799.9999999999973</v>
      </c>
      <c r="Y1922" s="43">
        <f t="shared" si="1068"/>
        <v>0.57484819608923154</v>
      </c>
      <c r="Z1922" s="49"/>
      <c r="AA1922" s="24"/>
    </row>
    <row r="1923" spans="1:27" s="13" customFormat="1" hidden="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15.55</v>
      </c>
      <c r="V1923" s="13">
        <f>IF(ISNA(VLOOKUP(LOWER(F1923)&amp;H1923,Prices!A:C,2,0)),0,VLOOKUP(LOWER(F1923)&amp;H1923,Prices!A:C,2,0))</f>
        <v>15.23</v>
      </c>
      <c r="W1923" s="13">
        <f t="shared" si="1066"/>
        <v>-3745.3794000000007</v>
      </c>
      <c r="X1923" s="13">
        <f t="shared" si="1067"/>
        <v>-320.00000000000028</v>
      </c>
      <c r="Y1923" s="43">
        <f t="shared" si="1068"/>
        <v>-0.19743697416974174</v>
      </c>
      <c r="Z1923" s="49"/>
      <c r="AA1923" s="24"/>
    </row>
    <row r="1924" spans="1:27" s="13" customFormat="1" hidden="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8.2200000000000006</v>
      </c>
      <c r="V1924" s="13">
        <f>IF(ISNA(VLOOKUP(LOWER(F1924)&amp;H1924,Prices!A:C,2,0)),0,VLOOKUP(LOWER(F1924)&amp;H1924,Prices!A:C,2,0))</f>
        <v>8.0500000000000007</v>
      </c>
      <c r="W1924" s="13">
        <f t="shared" si="1066"/>
        <v>-5.386399999996172</v>
      </c>
      <c r="X1924" s="13">
        <f t="shared" si="1067"/>
        <v>-407.99999999999983</v>
      </c>
      <c r="Y1924" s="43">
        <f t="shared" si="1068"/>
        <v>-2.7879917184245198E-4</v>
      </c>
      <c r="Z1924" s="49"/>
      <c r="AA1924" s="24"/>
    </row>
    <row r="1925" spans="1:27" s="13" customFormat="1" hidden="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55.39</v>
      </c>
      <c r="V1925" s="13">
        <f>IF(ISNA(VLOOKUP(LOWER(F1925)&amp;H1925,Prices!A:C,2,0)),0,VLOOKUP(LOWER(F1925)&amp;H1925,Prices!A:C,2,0))</f>
        <v>57.19</v>
      </c>
      <c r="W1925" s="13">
        <f t="shared" si="1066"/>
        <v>10439.999999999998</v>
      </c>
      <c r="X1925" s="13">
        <f t="shared" si="1067"/>
        <v>899.99999999999864</v>
      </c>
      <c r="Y1925" s="43">
        <f t="shared" si="1068"/>
        <v>0.57520661157024788</v>
      </c>
      <c r="Z1925" s="49"/>
      <c r="AA1925" s="24"/>
    </row>
    <row r="1926" spans="1:27" s="13" customFormat="1" hidden="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55.39</v>
      </c>
      <c r="V1926" s="13">
        <f>IF(ISNA(VLOOKUP(LOWER(F1926)&amp;H1926,Prices!A:C,2,0)),0,VLOOKUP(LOWER(F1926)&amp;H1926,Prices!A:C,2,0))</f>
        <v>57.19</v>
      </c>
      <c r="W1926" s="13">
        <f t="shared" si="1066"/>
        <v>10436</v>
      </c>
      <c r="X1926" s="13">
        <f t="shared" si="1067"/>
        <v>899.99999999999864</v>
      </c>
      <c r="Y1926" s="43">
        <f t="shared" si="1068"/>
        <v>0.5748595350886857</v>
      </c>
      <c r="Z1926" s="49"/>
      <c r="AA1926" s="24"/>
    </row>
    <row r="1927" spans="1:27" s="13" customFormat="1" hidden="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16.100000000000001</v>
      </c>
      <c r="V1927" s="13">
        <f>IF(ISNA(VLOOKUP(LOWER(F1927)&amp;H1927,Prices!A:C,2,0)),0,VLOOKUP(LOWER(F1927)&amp;H1927,Prices!A:C,2,0))</f>
        <v>16.100000000000001</v>
      </c>
      <c r="W1927" s="13">
        <f t="shared" si="1066"/>
        <v>1840.6183200000023</v>
      </c>
      <c r="X1927" s="13">
        <f t="shared" si="1067"/>
        <v>0</v>
      </c>
      <c r="Y1927" s="43">
        <f t="shared" si="1068"/>
        <v>9.6448245650807077E-2</v>
      </c>
      <c r="Z1927" s="49"/>
      <c r="AA1927" s="24"/>
    </row>
    <row r="1928" spans="1:27" s="13" customFormat="1" hidden="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27.6</v>
      </c>
      <c r="V1928" s="13">
        <f>IF(ISNA(VLOOKUP(LOWER(F1928)&amp;H1928,Prices!A:C,2,0)),0,VLOOKUP(LOWER(F1928)&amp;H1928,Prices!A:C,2,0))</f>
        <v>27.7</v>
      </c>
      <c r="W1928" s="13">
        <f t="shared" si="1066"/>
        <v>1247.6372599999986</v>
      </c>
      <c r="X1928" s="13">
        <f t="shared" si="1067"/>
        <v>69.999999999998508</v>
      </c>
      <c r="Y1928" s="43">
        <f t="shared" si="1068"/>
        <v>6.8789615702707099E-2</v>
      </c>
      <c r="Z1928" s="49"/>
      <c r="AA1928" s="24"/>
    </row>
    <row r="1929" spans="1:27" s="13" customFormat="1" hidden="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55.39</v>
      </c>
      <c r="V1929" s="13">
        <f>IF(ISNA(VLOOKUP(LOWER(F1929)&amp;H1929,Prices!A:C,2,0)),0,VLOOKUP(LOWER(F1929)&amp;H1929,Prices!A:C,2,0))</f>
        <v>57.19</v>
      </c>
      <c r="W1929" s="13">
        <f t="shared" si="1066"/>
        <v>10454.999999999998</v>
      </c>
      <c r="X1929" s="13">
        <f t="shared" si="1067"/>
        <v>899.99999999999864</v>
      </c>
      <c r="Y1929" s="43">
        <f t="shared" si="1068"/>
        <v>0.57650951199338285</v>
      </c>
      <c r="Z1929" s="49"/>
      <c r="AA1929" s="24"/>
    </row>
    <row r="1930" spans="1:27" s="13" customFormat="1" hidden="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27.6</v>
      </c>
      <c r="V1930" s="13">
        <f>IF(ISNA(VLOOKUP(LOWER(F1930)&amp;H1930,Prices!A:C,2,0)),0,VLOOKUP(LOWER(F1930)&amp;H1930,Prices!A:C,2,0))</f>
        <v>27.7</v>
      </c>
      <c r="W1930" s="13">
        <f t="shared" si="1066"/>
        <v>1240.6371199999985</v>
      </c>
      <c r="X1930" s="13">
        <f t="shared" si="1067"/>
        <v>69.999999999998508</v>
      </c>
      <c r="Y1930" s="43">
        <f t="shared" si="1068"/>
        <v>6.83772663139329E-2</v>
      </c>
      <c r="Z1930" s="49"/>
      <c r="AA1930" s="24"/>
    </row>
    <row r="1931" spans="1:27" s="13" customFormat="1" hidden="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31.44</v>
      </c>
      <c r="V1931" s="13">
        <f>IF(ISNA(VLOOKUP(LOWER(F1931)&amp;H1931,Prices!A:C,2,0)),0,VLOOKUP(LOWER(F1931)&amp;H1931,Prices!A:C,2,0))</f>
        <v>32.450000000000003</v>
      </c>
      <c r="W1931" s="13">
        <f t="shared" si="1066"/>
        <v>612.6229600000031</v>
      </c>
      <c r="X1931" s="13">
        <f t="shared" si="1067"/>
        <v>606.00000000000091</v>
      </c>
      <c r="Y1931" s="43">
        <f t="shared" si="1068"/>
        <v>3.2496443878633728E-2</v>
      </c>
      <c r="Z1931" s="49"/>
      <c r="AA1931" s="24"/>
    </row>
    <row r="1932" spans="1:27" s="13" customFormat="1" hidden="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31.44</v>
      </c>
      <c r="V1932" s="13">
        <f>IF(ISNA(VLOOKUP(LOWER(F1932)&amp;H1932,Prices!A:C,2,0)),0,VLOOKUP(LOWER(F1932)&amp;H1932,Prices!A:C,2,0))</f>
        <v>32.450000000000003</v>
      </c>
      <c r="W1932" s="13">
        <f t="shared" si="1066"/>
        <v>618.62308000000326</v>
      </c>
      <c r="X1932" s="13">
        <f t="shared" si="1067"/>
        <v>606.00000000000091</v>
      </c>
      <c r="Y1932" s="43">
        <f t="shared" si="1068"/>
        <v>3.2825166082988605E-2</v>
      </c>
      <c r="Z1932" s="49"/>
      <c r="AA1932" s="24"/>
    </row>
    <row r="1933" spans="1:27" s="13" customFormat="1" hidden="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18.12</v>
      </c>
      <c r="V1933" s="13">
        <f>IF(ISNA(VLOOKUP(LOWER(F1933)&amp;H1933,Prices!A:C,2,0)),0,VLOOKUP(LOWER(F1933)&amp;H1933,Prices!A:C,2,0))</f>
        <v>19</v>
      </c>
      <c r="W1933" s="13">
        <f t="shared" si="1066"/>
        <v>3187.0000000000005</v>
      </c>
      <c r="X1933" s="13">
        <f t="shared" si="1067"/>
        <v>1055.9999999999989</v>
      </c>
      <c r="Y1933" s="43">
        <f t="shared" si="1068"/>
        <v>0.16253569971440232</v>
      </c>
      <c r="Z1933" s="49"/>
      <c r="AA1933" s="24"/>
    </row>
    <row r="1934" spans="1:27" s="13" customFormat="1" hidden="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27.6</v>
      </c>
      <c r="V1934" s="13">
        <f>IF(ISNA(VLOOKUP(LOWER(F1934)&amp;H1934,Prices!A:C,2,0)),0,VLOOKUP(LOWER(F1934)&amp;H1934,Prices!A:C,2,0))</f>
        <v>27.7</v>
      </c>
      <c r="W1934" s="13">
        <f t="shared" si="1066"/>
        <v>1226.6368399999981</v>
      </c>
      <c r="X1934" s="13">
        <f t="shared" si="1067"/>
        <v>69.999999999998508</v>
      </c>
      <c r="Y1934" s="43">
        <f t="shared" si="1068"/>
        <v>6.755352131291982E-2</v>
      </c>
      <c r="Z1934" s="49"/>
      <c r="AA1934" s="24"/>
    </row>
    <row r="1935" spans="1:27" s="13" customFormat="1" hidden="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31.44</v>
      </c>
      <c r="V1935" s="13">
        <f>IF(ISNA(VLOOKUP(LOWER(F1935)&amp;H1935,Prices!A:C,2,0)),0,VLOOKUP(LOWER(F1935)&amp;H1935,Prices!A:C,2,0))</f>
        <v>32.450000000000003</v>
      </c>
      <c r="W1935" s="13">
        <f t="shared" si="1066"/>
        <v>630.62332000000151</v>
      </c>
      <c r="X1935" s="13">
        <f t="shared" si="1067"/>
        <v>606.00000000000091</v>
      </c>
      <c r="Y1935" s="43">
        <f t="shared" si="1068"/>
        <v>3.3483238823404558E-2</v>
      </c>
      <c r="Z1935" s="49"/>
      <c r="AA1935" s="24"/>
    </row>
    <row r="1936" spans="1:27" s="13" customFormat="1" hidden="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31.44</v>
      </c>
      <c r="V1936" s="13">
        <f>IF(ISNA(VLOOKUP(LOWER(F1936)&amp;H1936,Prices!A:C,2,0)),0,VLOOKUP(LOWER(F1936)&amp;H1936,Prices!A:C,2,0))</f>
        <v>32.450000000000003</v>
      </c>
      <c r="W1936" s="13">
        <f t="shared" si="1066"/>
        <v>1263.7130400000003</v>
      </c>
      <c r="X1936" s="13">
        <f t="shared" si="1067"/>
        <v>1212.0000000000018</v>
      </c>
      <c r="Y1936" s="43">
        <f t="shared" si="1068"/>
        <v>3.3548716151640658E-2</v>
      </c>
      <c r="Z1936" s="49"/>
      <c r="AA1936" s="24"/>
    </row>
    <row r="1937" spans="1:27" s="13" customFormat="1" hidden="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16.100000000000001</v>
      </c>
      <c r="V1937" s="13">
        <f>IF(ISNA(VLOOKUP(LOWER(F1937)&amp;H1937,Prices!A:C,2,0)),0,VLOOKUP(LOWER(F1937)&amp;H1937,Prices!A:C,2,0))</f>
        <v>16.100000000000001</v>
      </c>
      <c r="W1937" s="13">
        <f t="shared" si="1066"/>
        <v>1775.6170200000022</v>
      </c>
      <c r="X1937" s="13">
        <f t="shared" si="1067"/>
        <v>0</v>
      </c>
      <c r="Y1937" s="43">
        <f t="shared" si="1068"/>
        <v>9.2726357512141741E-2</v>
      </c>
      <c r="Z1937" s="49"/>
      <c r="AA1937" s="24"/>
    </row>
    <row r="1938" spans="1:27" s="13" customFormat="1" hidden="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8.2200000000000006</v>
      </c>
      <c r="V1938" s="13">
        <f>IF(ISNA(VLOOKUP(LOWER(F1938)&amp;H1938,Prices!A:C,2,0)),0,VLOOKUP(LOWER(F1938)&amp;H1938,Prices!A:C,2,0))</f>
        <v>8.0500000000000007</v>
      </c>
      <c r="W1938" s="13">
        <f t="shared" si="1066"/>
        <v>-197.39024000000285</v>
      </c>
      <c r="X1938" s="13">
        <f t="shared" si="1067"/>
        <v>-407.99999999999983</v>
      </c>
      <c r="Y1938" s="43">
        <f t="shared" si="1068"/>
        <v>-1.0116350963509779E-2</v>
      </c>
      <c r="Z1938" s="49"/>
      <c r="AA1938" s="24"/>
    </row>
    <row r="1939" spans="1:27" s="13" customFormat="1" hidden="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18.12</v>
      </c>
      <c r="V1939" s="13">
        <f>IF(ISNA(VLOOKUP(LOWER(F1939)&amp;H1939,Prices!A:C,2,0)),0,VLOOKUP(LOWER(F1939)&amp;H1939,Prices!A:C,2,0))</f>
        <v>19</v>
      </c>
      <c r="W1939" s="13">
        <f t="shared" si="1066"/>
        <v>3163.0000000000009</v>
      </c>
      <c r="X1939" s="13">
        <f t="shared" si="1067"/>
        <v>1055.9999999999989</v>
      </c>
      <c r="Y1939" s="43">
        <f t="shared" si="1068"/>
        <v>0.1611145069274654</v>
      </c>
      <c r="Z1939" s="49"/>
      <c r="AA1939" s="24"/>
    </row>
    <row r="1940" spans="1:27" s="13" customFormat="1" hidden="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8.2200000000000006</v>
      </c>
      <c r="V1940" s="13">
        <f>IF(ISNA(VLOOKUP(LOWER(F1940)&amp;H1940,Prices!A:C,2,0)),0,VLOOKUP(LOWER(F1940)&amp;H1940,Prices!A:C,2,0))</f>
        <v>8.0500000000000007</v>
      </c>
      <c r="W1940" s="13">
        <f t="shared" si="1066"/>
        <v>-245.39119999999599</v>
      </c>
      <c r="X1940" s="13">
        <f t="shared" si="1067"/>
        <v>-407.99999999999983</v>
      </c>
      <c r="Y1940" s="43">
        <f t="shared" si="1068"/>
        <v>-1.2545562372187935E-2</v>
      </c>
      <c r="Z1940" s="49"/>
      <c r="AA1940" s="24"/>
    </row>
    <row r="1941" spans="1:27" s="13" customFormat="1" hidden="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18.12</v>
      </c>
      <c r="V1941" s="13">
        <f>IF(ISNA(VLOOKUP(LOWER(F1941)&amp;H1941,Prices!A:C,2,0)),0,VLOOKUP(LOWER(F1941)&amp;H1941,Prices!A:C,2,0))</f>
        <v>19</v>
      </c>
      <c r="W1941" s="13">
        <f t="shared" si="1066"/>
        <v>3139.0000000000014</v>
      </c>
      <c r="X1941" s="13">
        <f t="shared" si="1067"/>
        <v>1055.9999999999989</v>
      </c>
      <c r="Y1941" s="43">
        <f t="shared" si="1068"/>
        <v>0.15969678469678478</v>
      </c>
      <c r="Z1941" s="49"/>
      <c r="AA1941" s="24"/>
    </row>
    <row r="1942" spans="1:27" s="13" customFormat="1" hidden="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8.2200000000000006</v>
      </c>
      <c r="V1942" s="13">
        <f>IF(ISNA(VLOOKUP(LOWER(F1942)&amp;H1942,Prices!A:C,2,0)),0,VLOOKUP(LOWER(F1942)&amp;H1942,Prices!A:C,2,0))</f>
        <v>8.0500000000000007</v>
      </c>
      <c r="W1942" s="13">
        <f t="shared" si="1066"/>
        <v>-269.39167999999682</v>
      </c>
      <c r="X1942" s="13">
        <f t="shared" si="1067"/>
        <v>-407.99999999999983</v>
      </c>
      <c r="Y1942" s="43">
        <f t="shared" si="1068"/>
        <v>-1.3755702614378923E-2</v>
      </c>
      <c r="Z1942" s="49"/>
      <c r="AA1942" s="24"/>
    </row>
    <row r="1943" spans="1:27" s="13" customFormat="1" hidden="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27.6</v>
      </c>
      <c r="V1943" s="13">
        <f>IF(ISNA(VLOOKUP(LOWER(F1943)&amp;H1943,Prices!A:C,2,0)),0,VLOOKUP(LOWER(F1943)&amp;H1943,Prices!A:C,2,0))</f>
        <v>27.7</v>
      </c>
      <c r="W1943" s="13">
        <f t="shared" si="1066"/>
        <v>1177.6358599999987</v>
      </c>
      <c r="X1943" s="13">
        <f t="shared" si="1067"/>
        <v>69.999999999998508</v>
      </c>
      <c r="Y1943" s="43">
        <f t="shared" si="1068"/>
        <v>6.4680389959905465E-2</v>
      </c>
      <c r="Z1943" s="49"/>
      <c r="AA1943" s="24"/>
    </row>
    <row r="1944" spans="1:27" s="13" customFormat="1" hidden="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18.12</v>
      </c>
      <c r="V1944" s="13">
        <f>IF(ISNA(VLOOKUP(LOWER(F1944)&amp;H1944,Prices!A:C,2,0)),0,VLOOKUP(LOWER(F1944)&amp;H1944,Prices!A:C,2,0))</f>
        <v>19</v>
      </c>
      <c r="W1944" s="13">
        <f t="shared" si="1066"/>
        <v>3139.0000000000014</v>
      </c>
      <c r="X1944" s="13">
        <f t="shared" si="1067"/>
        <v>1055.9999999999989</v>
      </c>
      <c r="Y1944" s="43">
        <f t="shared" si="1068"/>
        <v>0.15969678469678478</v>
      </c>
      <c r="Z1944" s="49"/>
      <c r="AA1944" s="24"/>
    </row>
    <row r="1945" spans="1:27" s="13" customFormat="1" hidden="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18.12</v>
      </c>
      <c r="V1945" s="13">
        <f>IF(ISNA(VLOOKUP(LOWER(F1945)&amp;H1945,Prices!A:C,2,0)),0,VLOOKUP(LOWER(F1945)&amp;H1945,Prices!A:C,2,0))</f>
        <v>19</v>
      </c>
      <c r="W1945" s="13">
        <f t="shared" si="1066"/>
        <v>3115.0000000000018</v>
      </c>
      <c r="X1945" s="13">
        <f t="shared" si="1067"/>
        <v>1055.9999999999989</v>
      </c>
      <c r="Y1945" s="43">
        <f t="shared" si="1068"/>
        <v>0.15828252032520335</v>
      </c>
      <c r="Z1945" s="49"/>
      <c r="AA1945" s="24"/>
    </row>
    <row r="1946" spans="1:27" s="13" customFormat="1" hidden="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18.12</v>
      </c>
      <c r="V1946" s="13">
        <f>IF(ISNA(VLOOKUP(LOWER(F1946)&amp;H1946,Prices!A:C,2,0)),0,VLOOKUP(LOWER(F1946)&amp;H1946,Prices!A:C,2,0))</f>
        <v>19</v>
      </c>
      <c r="W1946" s="13">
        <f t="shared" si="1066"/>
        <v>3139.0000000000014</v>
      </c>
      <c r="X1946" s="13">
        <f t="shared" si="1067"/>
        <v>1055.9999999999989</v>
      </c>
      <c r="Y1946" s="43">
        <f t="shared" si="1068"/>
        <v>0.15969678469678478</v>
      </c>
      <c r="Z1946" s="49"/>
      <c r="AA1946" s="24"/>
    </row>
    <row r="1947" spans="1:27" s="13" customFormat="1" hidden="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8.2200000000000006</v>
      </c>
      <c r="V1947" s="13">
        <f>IF(ISNA(VLOOKUP(LOWER(F1947)&amp;H1947,Prices!A:C,2,0)),0,VLOOKUP(LOWER(F1947)&amp;H1947,Prices!A:C,2,0))</f>
        <v>8.0500000000000007</v>
      </c>
      <c r="W1947" s="13">
        <f t="shared" si="1066"/>
        <v>-245.39119999999599</v>
      </c>
      <c r="X1947" s="13">
        <f t="shared" si="1067"/>
        <v>-407.99999999999983</v>
      </c>
      <c r="Y1947" s="43">
        <f t="shared" si="1068"/>
        <v>-1.2545562372187935E-2</v>
      </c>
      <c r="Z1947" s="49"/>
      <c r="AA1947" s="24"/>
    </row>
    <row r="1948" spans="1:27" s="13" customFormat="1" hidden="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41.3</v>
      </c>
      <c r="V1948" s="13">
        <f>IF(ISNA(VLOOKUP(LOWER(F1948)&amp;H1948,Prices!A:C,2,0)),0,VLOOKUP(LOWER(F1948)&amp;H1948,Prices!A:C,2,0))</f>
        <v>42.53</v>
      </c>
      <c r="W1948" s="13">
        <f t="shared" si="1066"/>
        <v>7693.0000000000018</v>
      </c>
      <c r="X1948" s="13">
        <f t="shared" si="1067"/>
        <v>738.00000000000239</v>
      </c>
      <c r="Y1948" s="43">
        <f t="shared" si="1068"/>
        <v>0.43170594837261517</v>
      </c>
      <c r="Z1948" s="49"/>
      <c r="AA1948" s="24"/>
    </row>
    <row r="1949" spans="1:27" s="13" customFormat="1" hidden="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31.44</v>
      </c>
      <c r="V1949" s="13">
        <f>IF(ISNA(VLOOKUP(LOWER(F1949)&amp;H1949,Prices!A:C,2,0)),0,VLOOKUP(LOWER(F1949)&amp;H1949,Prices!A:C,2,0))</f>
        <v>32.450000000000003</v>
      </c>
      <c r="W1949" s="13">
        <f t="shared" si="1066"/>
        <v>498.62068000000124</v>
      </c>
      <c r="X1949" s="13">
        <f t="shared" si="1067"/>
        <v>606.00000000000091</v>
      </c>
      <c r="Y1949" s="43">
        <f t="shared" si="1068"/>
        <v>2.6290239375725048E-2</v>
      </c>
      <c r="Z1949" s="49"/>
      <c r="AA1949" s="24"/>
    </row>
    <row r="1950" spans="1:27" s="13" customFormat="1" hidden="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55.39</v>
      </c>
      <c r="V1950" s="13">
        <f>IF(ISNA(VLOOKUP(LOWER(F1950)&amp;H1950,Prices!A:C,2,0)),0,VLOOKUP(LOWER(F1950)&amp;H1950,Prices!A:C,2,0))</f>
        <v>57.19</v>
      </c>
      <c r="W1950" s="13">
        <f t="shared" si="1066"/>
        <v>10469.999999999998</v>
      </c>
      <c r="X1950" s="13">
        <f t="shared" si="1067"/>
        <v>899.99999999999864</v>
      </c>
      <c r="Y1950" s="43">
        <f t="shared" si="1068"/>
        <v>0.57781456953642374</v>
      </c>
      <c r="Z1950" s="49"/>
      <c r="AA1950" s="24"/>
    </row>
    <row r="1951" spans="1:27" s="13" customFormat="1" hidden="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16.100000000000001</v>
      </c>
      <c r="V1951" s="13">
        <f>IF(ISNA(VLOOKUP(LOWER(F1951)&amp;H1951,Prices!A:C,2,0)),0,VLOOKUP(LOWER(F1951)&amp;H1951,Prices!A:C,2,0))</f>
        <v>16.100000000000001</v>
      </c>
      <c r="W1951" s="13">
        <f t="shared" si="1066"/>
        <v>3423.5458400000089</v>
      </c>
      <c r="X1951" s="13">
        <f t="shared" si="1067"/>
        <v>0</v>
      </c>
      <c r="Y1951" s="43">
        <f t="shared" si="1068"/>
        <v>8.9089878213802667E-2</v>
      </c>
      <c r="Z1951" s="49"/>
      <c r="AA1951" s="24"/>
    </row>
    <row r="1952" spans="1:27" s="13" customFormat="1" hidden="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27.6</v>
      </c>
      <c r="V1952" s="13">
        <f>IF(ISNA(VLOOKUP(LOWER(F1952)&amp;H1952,Prices!A:C,2,0)),0,VLOOKUP(LOWER(F1952)&amp;H1952,Prices!A:C,2,0))</f>
        <v>27.7</v>
      </c>
      <c r="W1952" s="13">
        <f t="shared" si="1066"/>
        <v>2466.4034999999967</v>
      </c>
      <c r="X1952" s="13">
        <f t="shared" si="1067"/>
        <v>149.99999999999682</v>
      </c>
      <c r="Y1952" s="43">
        <f t="shared" si="1068"/>
        <v>6.3119731285988398E-2</v>
      </c>
      <c r="Z1952" s="49"/>
      <c r="AA1952" s="24"/>
    </row>
    <row r="1953" spans="1:27" s="13" customFormat="1" hidden="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31.44</v>
      </c>
      <c r="V1953" s="13">
        <f>IF(ISNA(VLOOKUP(LOWER(F1953)&amp;H1953,Prices!A:C,2,0)),0,VLOOKUP(LOWER(F1953)&amp;H1953,Prices!A:C,2,0))</f>
        <v>32.450000000000003</v>
      </c>
      <c r="W1953" s="13">
        <f t="shared" si="1066"/>
        <v>1249.5687000000064</v>
      </c>
      <c r="X1953" s="13">
        <f t="shared" si="1067"/>
        <v>1515.0000000000023</v>
      </c>
      <c r="Y1953" s="43">
        <f t="shared" si="1068"/>
        <v>2.6353869028788494E-2</v>
      </c>
      <c r="Z1953" s="49"/>
      <c r="AA1953" s="24"/>
    </row>
    <row r="1954" spans="1:27" s="13" customFormat="1" hidden="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31.44</v>
      </c>
      <c r="V1954" s="13">
        <f>IF(ISNA(VLOOKUP(LOWER(F1954)&amp;H1954,Prices!A:C,2,0)),0,VLOOKUP(LOWER(F1954)&amp;H1954,Prices!A:C,2,0))</f>
        <v>32.450000000000003</v>
      </c>
      <c r="W1954" s="13">
        <f t="shared" si="1066"/>
        <v>1294.5786000000066</v>
      </c>
      <c r="X1954" s="13">
        <f t="shared" si="1067"/>
        <v>1515.0000000000023</v>
      </c>
      <c r="Y1954" s="43">
        <f t="shared" si="1068"/>
        <v>2.7329081697276898E-2</v>
      </c>
      <c r="Z1954" s="49"/>
      <c r="AA1954" s="24"/>
    </row>
    <row r="1955" spans="1:27" s="13" customFormat="1" hidden="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27.6</v>
      </c>
      <c r="V1955" s="13">
        <f>IF(ISNA(VLOOKUP(LOWER(F1955)&amp;H1955,Prices!A:C,2,0)),0,VLOOKUP(LOWER(F1955)&amp;H1955,Prices!A:C,2,0))</f>
        <v>27.7</v>
      </c>
      <c r="W1955" s="13">
        <f t="shared" si="1066"/>
        <v>3168.5115999999953</v>
      </c>
      <c r="X1955" s="13">
        <f t="shared" si="1067"/>
        <v>199.99999999999574</v>
      </c>
      <c r="Y1955" s="43">
        <f t="shared" si="1068"/>
        <v>6.0676208349291369E-2</v>
      </c>
      <c r="Z1955" s="49"/>
      <c r="AA1955" s="24"/>
    </row>
    <row r="1956" spans="1:27" s="13" customFormat="1" hidden="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31.44</v>
      </c>
      <c r="V1956" s="13">
        <f>IF(ISNA(VLOOKUP(LOWER(F1956)&amp;H1956,Prices!A:C,2,0)),0,VLOOKUP(LOWER(F1956)&amp;H1956,Prices!A:C,2,0))</f>
        <v>32.450000000000003</v>
      </c>
      <c r="W1956" s="13">
        <f t="shared" si="1066"/>
        <v>1324.5852000000032</v>
      </c>
      <c r="X1956" s="13">
        <f t="shared" si="1067"/>
        <v>1515.0000000000023</v>
      </c>
      <c r="Y1956" s="43">
        <f t="shared" si="1068"/>
        <v>2.7980253485424655E-2</v>
      </c>
      <c r="Z1956" s="49"/>
      <c r="AA1956" s="24"/>
    </row>
    <row r="1957" spans="1:27" s="13" customFormat="1" hidden="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41.3</v>
      </c>
      <c r="V1957" s="13">
        <f>IF(ISNA(VLOOKUP(LOWER(F1957)&amp;H1957,Prices!A:C,2,0)),0,VLOOKUP(LOWER(F1957)&amp;H1957,Prices!A:C,2,0))</f>
        <v>42.53</v>
      </c>
      <c r="W1957" s="13">
        <f t="shared" si="1066"/>
        <v>12844.064</v>
      </c>
      <c r="X1957" s="13">
        <f t="shared" si="1067"/>
        <v>1230.0000000000041</v>
      </c>
      <c r="Y1957" s="43">
        <f t="shared" si="1068"/>
        <v>0.4327514824797844</v>
      </c>
      <c r="Z1957" s="49"/>
      <c r="AA1957" s="24"/>
    </row>
    <row r="1958" spans="1:27" s="13" customFormat="1" hidden="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41.3</v>
      </c>
      <c r="V1958" s="13">
        <f>IF(ISNA(VLOOKUP(LOWER(F1958)&amp;H1958,Prices!A:C,2,0)),0,VLOOKUP(LOWER(F1958)&amp;H1958,Prices!A:C,2,0))</f>
        <v>42.53</v>
      </c>
      <c r="W1958" s="13">
        <f t="shared" si="1066"/>
        <v>12834.062000000004</v>
      </c>
      <c r="X1958" s="13">
        <f t="shared" si="1067"/>
        <v>1230.0000000000041</v>
      </c>
      <c r="Y1958" s="43">
        <f t="shared" si="1068"/>
        <v>0.43226884472886506</v>
      </c>
      <c r="Z1958" s="49"/>
      <c r="AA1958" s="24"/>
    </row>
    <row r="1959" spans="1:27" s="13" customFormat="1" hidden="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31.44</v>
      </c>
      <c r="V1959" s="13">
        <f>IF(ISNA(VLOOKUP(LOWER(F1959)&amp;H1959,Prices!A:C,2,0)),0,VLOOKUP(LOWER(F1959)&amp;H1959,Prices!A:C,2,0))</f>
        <v>32.450000000000003</v>
      </c>
      <c r="W1959" s="13">
        <f t="shared" si="1066"/>
        <v>504.6208000000014</v>
      </c>
      <c r="X1959" s="13">
        <f t="shared" si="1067"/>
        <v>606.00000000000091</v>
      </c>
      <c r="Y1959" s="43">
        <f t="shared" si="1068"/>
        <v>2.6615021097046488E-2</v>
      </c>
      <c r="Z1959" s="49"/>
      <c r="AA1959" s="24"/>
    </row>
    <row r="1960" spans="1:27" s="13" customFormat="1" hidden="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31.44</v>
      </c>
      <c r="V1960" s="13">
        <f>IF(ISNA(VLOOKUP(LOWER(F1960)&amp;H1960,Prices!A:C,2,0)),0,VLOOKUP(LOWER(F1960)&amp;H1960,Prices!A:C,2,0))</f>
        <v>32.450000000000003</v>
      </c>
      <c r="W1960" s="13">
        <f t="shared" si="1066"/>
        <v>498.62068000000124</v>
      </c>
      <c r="X1960" s="13">
        <f t="shared" si="1067"/>
        <v>606.00000000000091</v>
      </c>
      <c r="Y1960" s="43">
        <f t="shared" si="1068"/>
        <v>2.6290239375725048E-2</v>
      </c>
      <c r="Z1960" s="49"/>
      <c r="AA1960" s="24"/>
    </row>
    <row r="1961" spans="1:27" s="13" customFormat="1" hidden="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41.3</v>
      </c>
      <c r="V1961" s="13">
        <f>IF(ISNA(VLOOKUP(LOWER(F1961)&amp;H1961,Prices!A:C,2,0)),0,VLOOKUP(LOWER(F1961)&amp;H1961,Prices!A:C,2,0))</f>
        <v>42.53</v>
      </c>
      <c r="W1961" s="13">
        <f t="shared" si="1066"/>
        <v>7663.0000000000009</v>
      </c>
      <c r="X1961" s="13">
        <f t="shared" si="1067"/>
        <v>738.00000000000239</v>
      </c>
      <c r="Y1961" s="43">
        <f t="shared" si="1068"/>
        <v>0.42929971988795523</v>
      </c>
      <c r="Z1961" s="49"/>
      <c r="AA1961" s="24"/>
    </row>
    <row r="1962" spans="1:27" s="13" customFormat="1" hidden="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55.39</v>
      </c>
      <c r="V1962" s="13">
        <f>IF(ISNA(VLOOKUP(LOWER(F1962)&amp;H1962,Prices!A:C,2,0)),0,VLOOKUP(LOWER(F1962)&amp;H1962,Prices!A:C,2,0))</f>
        <v>57.19</v>
      </c>
      <c r="W1962" s="13">
        <f t="shared" si="1066"/>
        <v>10474.999999999998</v>
      </c>
      <c r="X1962" s="13">
        <f t="shared" si="1067"/>
        <v>899.99999999999864</v>
      </c>
      <c r="Y1962" s="43">
        <f t="shared" si="1068"/>
        <v>0.57825006900358811</v>
      </c>
      <c r="Z1962" s="49"/>
      <c r="AA1962" s="24"/>
    </row>
    <row r="1963" spans="1:27" s="13" customFormat="1" hidden="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55.39</v>
      </c>
      <c r="V1963" s="13">
        <f>IF(ISNA(VLOOKUP(LOWER(F1963)&amp;H1963,Prices!A:C,2,0)),0,VLOOKUP(LOWER(F1963)&amp;H1963,Prices!A:C,2,0))</f>
        <v>57.19</v>
      </c>
      <c r="W1963" s="13">
        <f t="shared" si="1066"/>
        <v>10454.999999999998</v>
      </c>
      <c r="X1963" s="13">
        <f t="shared" si="1067"/>
        <v>899.99999999999864</v>
      </c>
      <c r="Y1963" s="43">
        <f t="shared" si="1068"/>
        <v>0.57650951199338285</v>
      </c>
      <c r="Z1963" s="49"/>
      <c r="AA1963" s="24"/>
    </row>
    <row r="1964" spans="1:27" s="13" customFormat="1" hidden="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55.39</v>
      </c>
      <c r="V1964" s="13">
        <f>IF(ISNA(VLOOKUP(LOWER(F1964)&amp;H1964,Prices!A:C,2,0)),0,VLOOKUP(LOWER(F1964)&amp;H1964,Prices!A:C,2,0))</f>
        <v>57.19</v>
      </c>
      <c r="W1964" s="13">
        <f t="shared" si="1066"/>
        <v>10439.999999999998</v>
      </c>
      <c r="X1964" s="13">
        <f t="shared" si="1067"/>
        <v>899.99999999999864</v>
      </c>
      <c r="Y1964" s="43">
        <f t="shared" si="1068"/>
        <v>0.57520661157024788</v>
      </c>
      <c r="Z1964" s="49"/>
      <c r="AA1964" s="24"/>
    </row>
    <row r="1965" spans="1:27" s="13" customFormat="1" hidden="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55.39</v>
      </c>
      <c r="V1965" s="13">
        <f>IF(ISNA(VLOOKUP(LOWER(F1965)&amp;H1965,Prices!A:C,2,0)),0,VLOOKUP(LOWER(F1965)&amp;H1965,Prices!A:C,2,0))</f>
        <v>57.19</v>
      </c>
      <c r="W1965" s="13">
        <f t="shared" ref="W1965:W1971" si="1077">IF(I1965="B",(V1965+T1965)*K1965,(V1965+T1965)*K1965)</f>
        <v>10434.999999999998</v>
      </c>
      <c r="X1965" s="13">
        <f t="shared" ref="X1965:X1971" si="1078">K1965*(V1965-U1965)</f>
        <v>899.99999999999864</v>
      </c>
      <c r="Y1965" s="43">
        <f t="shared" ref="Y1965:Y1971" si="1079">W1965/O1965</f>
        <v>0.57477278986505087</v>
      </c>
      <c r="Z1965" s="49"/>
      <c r="AA1965" s="24"/>
    </row>
    <row r="1966" spans="1:27" s="13" customFormat="1" hidden="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55.39</v>
      </c>
      <c r="V1966" s="13">
        <f>IF(ISNA(VLOOKUP(LOWER(F1966)&amp;H1966,Prices!A:C,2,0)),0,VLOOKUP(LOWER(F1966)&amp;H1966,Prices!A:C,2,0))</f>
        <v>57.19</v>
      </c>
      <c r="W1966" s="13">
        <f t="shared" si="1077"/>
        <v>10439.999999999998</v>
      </c>
      <c r="X1966" s="13">
        <f t="shared" si="1078"/>
        <v>899.99999999999864</v>
      </c>
      <c r="Y1966" s="43">
        <f t="shared" si="1079"/>
        <v>0.57520661157024788</v>
      </c>
      <c r="Z1966" s="49"/>
      <c r="AA1966" s="24"/>
    </row>
    <row r="1967" spans="1:27" s="13" customFormat="1" hidden="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55.39</v>
      </c>
      <c r="V1967" s="13">
        <f>IF(ISNA(VLOOKUP(LOWER(F1967)&amp;H1967,Prices!A:C,2,0)),0,VLOOKUP(LOWER(F1967)&amp;H1967,Prices!A:C,2,0))</f>
        <v>57.19</v>
      </c>
      <c r="W1967" s="13">
        <f t="shared" si="1077"/>
        <v>10450</v>
      </c>
      <c r="X1967" s="13">
        <f t="shared" si="1078"/>
        <v>899.99999999999864</v>
      </c>
      <c r="Y1967" s="43">
        <f t="shared" si="1079"/>
        <v>0.57607497243660422</v>
      </c>
      <c r="Z1967" s="49"/>
      <c r="AA1967" s="24"/>
    </row>
    <row r="1968" spans="1:27" s="13" customFormat="1" hidden="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55.39</v>
      </c>
      <c r="V1968" s="13">
        <f>IF(ISNA(VLOOKUP(LOWER(F1968)&amp;H1968,Prices!A:C,2,0)),0,VLOOKUP(LOWER(F1968)&amp;H1968,Prices!A:C,2,0))</f>
        <v>57.19</v>
      </c>
      <c r="W1968" s="13">
        <f t="shared" si="1077"/>
        <v>20843.732199999999</v>
      </c>
      <c r="X1968" s="13">
        <f t="shared" si="1078"/>
        <v>1799.9999999999973</v>
      </c>
      <c r="Y1968" s="43">
        <f t="shared" si="1079"/>
        <v>0.57359124356751701</v>
      </c>
      <c r="Z1968" s="49"/>
      <c r="AA1968" s="24"/>
    </row>
    <row r="1969" spans="1:27" s="13" customFormat="1" hidden="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55.39</v>
      </c>
      <c r="V1969" s="13">
        <f>IF(ISNA(VLOOKUP(LOWER(F1969)&amp;H1969,Prices!A:C,2,0)),0,VLOOKUP(LOWER(F1969)&amp;H1969,Prices!A:C,2,0))</f>
        <v>57.19</v>
      </c>
      <c r="W1969" s="13">
        <f t="shared" si="1077"/>
        <v>10399.999999999998</v>
      </c>
      <c r="X1969" s="13">
        <f t="shared" si="1078"/>
        <v>899.99999999999864</v>
      </c>
      <c r="Y1969" s="43">
        <f t="shared" si="1079"/>
        <v>0.57174271577789981</v>
      </c>
      <c r="Z1969" s="49"/>
      <c r="AA1969" s="24"/>
    </row>
    <row r="1970" spans="1:27" s="13" customFormat="1" hidden="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55.39</v>
      </c>
      <c r="V1970" s="13">
        <f>IF(ISNA(VLOOKUP(LOWER(F1970)&amp;H1970,Prices!A:C,2,0)),0,VLOOKUP(LOWER(F1970)&amp;H1970,Prices!A:C,2,0))</f>
        <v>57.19</v>
      </c>
      <c r="W1970" s="13">
        <f t="shared" si="1077"/>
        <v>20752.713999999996</v>
      </c>
      <c r="X1970" s="13">
        <f t="shared" si="1078"/>
        <v>1799.9999999999973</v>
      </c>
      <c r="Y1970" s="43">
        <f t="shared" si="1079"/>
        <v>0.56966000548998064</v>
      </c>
      <c r="Z1970" s="49"/>
      <c r="AA1970" s="24"/>
    </row>
    <row r="1971" spans="1:27" s="13" customFormat="1" hidden="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16.100000000000001</v>
      </c>
      <c r="V1971" s="13">
        <f>IF(ISNA(VLOOKUP(LOWER(F1971)&amp;H1971,Prices!A:C,2,0)),0,VLOOKUP(LOWER(F1971)&amp;H1971,Prices!A:C,2,0))</f>
        <v>16.100000000000001</v>
      </c>
      <c r="W1971" s="13">
        <f t="shared" si="1077"/>
        <v>1762.6167600000019</v>
      </c>
      <c r="X1971" s="13">
        <f t="shared" si="1078"/>
        <v>0</v>
      </c>
      <c r="Y1971" s="43">
        <f t="shared" si="1079"/>
        <v>9.1985009915457772E-2</v>
      </c>
      <c r="Z1971" s="49"/>
      <c r="AA1971" s="24"/>
    </row>
    <row r="1972" spans="1:27" s="13" customFormat="1" hidden="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27.6</v>
      </c>
      <c r="V1972" s="13">
        <f>IF(ISNA(VLOOKUP(LOWER(F1972)&amp;H1972,Prices!A:C,2,0)),0,VLOOKUP(LOWER(F1972)&amp;H1972,Prices!A:C,2,0))</f>
        <v>27.7</v>
      </c>
      <c r="W1972" s="13">
        <f t="shared" ref="W1972:W2001" si="1084">IF(I1972="B",(V1972+T1972)*K1972,(V1972+T1972)*K1972)</f>
        <v>-1452.0616000000005</v>
      </c>
      <c r="X1972" s="13">
        <f t="shared" ref="X1972:X2001" si="1085">K1972*(V1972-U1972)</f>
        <v>-99.999999999997868</v>
      </c>
      <c r="Y1972" s="43">
        <f t="shared" ref="Y1972:Y2001" si="1086">W1972/O1972</f>
        <v>-5.5253485540334872E-2</v>
      </c>
      <c r="Z1972" s="49"/>
      <c r="AA1972" s="24"/>
    </row>
    <row r="1973" spans="1:27" s="13" customFormat="1" hidden="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8.2200000000000006</v>
      </c>
      <c r="V1973" s="13">
        <f>IF(ISNA(VLOOKUP(LOWER(F1973)&amp;H1973,Prices!A:C,2,0)),0,VLOOKUP(LOWER(F1973)&amp;H1973,Prices!A:C,2,0))</f>
        <v>8.0500000000000007</v>
      </c>
      <c r="W1973" s="13">
        <f t="shared" si="1084"/>
        <v>54.285319999996418</v>
      </c>
      <c r="X1973" s="13">
        <f t="shared" si="1085"/>
        <v>509.99999999999977</v>
      </c>
      <c r="Y1973" s="43">
        <f t="shared" si="1086"/>
        <v>2.2400478666335074E-3</v>
      </c>
      <c r="Z1973" s="49"/>
      <c r="AA1973" s="24"/>
    </row>
    <row r="1974" spans="1:27" s="13" customFormat="1" hidden="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8.2200000000000006</v>
      </c>
      <c r="V1974" s="13">
        <f>IF(ISNA(VLOOKUP(LOWER(F1974)&amp;H1974,Prices!A:C,2,0)),0,VLOOKUP(LOWER(F1974)&amp;H1974,Prices!A:C,2,0))</f>
        <v>8.0500000000000007</v>
      </c>
      <c r="W1974" s="13">
        <f t="shared" si="1084"/>
        <v>60.275199999997753</v>
      </c>
      <c r="X1974" s="13">
        <f t="shared" si="1085"/>
        <v>509.99999999999977</v>
      </c>
      <c r="Y1974" s="43">
        <f t="shared" si="1086"/>
        <v>2.4866006600659141E-3</v>
      </c>
      <c r="Z1974" s="49"/>
      <c r="AA1974" s="24"/>
    </row>
    <row r="1975" spans="1:27" s="13" customFormat="1" hidden="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31.44</v>
      </c>
      <c r="V1975" s="13">
        <f>IF(ISNA(VLOOKUP(LOWER(F1975)&amp;H1975,Prices!A:C,2,0)),0,VLOOKUP(LOWER(F1975)&amp;H1975,Prices!A:C,2,0))</f>
        <v>32.450000000000003</v>
      </c>
      <c r="W1975" s="13">
        <f t="shared" si="1084"/>
        <v>-2635.6925999999985</v>
      </c>
      <c r="X1975" s="13">
        <f t="shared" si="1085"/>
        <v>-3030.0000000000045</v>
      </c>
      <c r="Y1975" s="43">
        <f t="shared" si="1086"/>
        <v>-2.7793869028788342E-2</v>
      </c>
      <c r="Z1975" s="49"/>
      <c r="AA1975" s="24"/>
    </row>
    <row r="1976" spans="1:27" s="13" customFormat="1" hidden="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18.12</v>
      </c>
      <c r="V1976" s="13">
        <f>IF(ISNA(VLOOKUP(LOWER(F1976)&amp;H1976,Prices!A:C,2,0)),0,VLOOKUP(LOWER(F1976)&amp;H1976,Prices!A:C,2,0))</f>
        <v>19</v>
      </c>
      <c r="W1976" s="13">
        <f t="shared" si="1084"/>
        <v>-11780.0008</v>
      </c>
      <c r="X1976" s="13">
        <f t="shared" si="1085"/>
        <v>-3783.9999999999959</v>
      </c>
      <c r="Y1976" s="43">
        <f t="shared" si="1086"/>
        <v>-0.16827610993657505</v>
      </c>
      <c r="Z1976" s="49"/>
      <c r="AA1976" s="24"/>
    </row>
    <row r="1977" spans="1:27" s="13" customFormat="1" hidden="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31.44</v>
      </c>
      <c r="V1977" s="13">
        <f>IF(ISNA(VLOOKUP(LOWER(F1977)&amp;H1977,Prices!A:C,2,0)),0,VLOOKUP(LOWER(F1977)&amp;H1977,Prices!A:C,2,0))</f>
        <v>32.450000000000003</v>
      </c>
      <c r="W1977" s="13">
        <f t="shared" si="1084"/>
        <v>-4292.943000000022</v>
      </c>
      <c r="X1977" s="13">
        <f t="shared" si="1085"/>
        <v>-5050.0000000000082</v>
      </c>
      <c r="Y1977" s="43">
        <f t="shared" si="1086"/>
        <v>-2.7144754979450028E-2</v>
      </c>
      <c r="Z1977" s="49"/>
      <c r="AA1977" s="24"/>
    </row>
    <row r="1978" spans="1:27" s="13" customFormat="1" hidden="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31.84</v>
      </c>
      <c r="V1978" s="13">
        <f>IF(ISNA(VLOOKUP(LOWER(F1978)&amp;H1978,Prices!A:C,2,0)),0,VLOOKUP(LOWER(F1978)&amp;H1978,Prices!A:C,2,0))</f>
        <v>32.01</v>
      </c>
      <c r="W1978" s="13">
        <f t="shared" si="1084"/>
        <v>-14539.71959999998</v>
      </c>
      <c r="X1978" s="13">
        <f t="shared" si="1085"/>
        <v>-475.99999999999483</v>
      </c>
      <c r="Y1978" s="43">
        <f t="shared" si="1086"/>
        <v>-0.19339877094972041</v>
      </c>
      <c r="Z1978" s="49"/>
      <c r="AA1978" s="24"/>
    </row>
    <row r="1979" spans="1:27" s="13" customFormat="1" hidden="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27.6</v>
      </c>
      <c r="V1979" s="13">
        <f>IF(ISNA(VLOOKUP(LOWER(F1979)&amp;H1979,Prices!A:C,2,0)),0,VLOOKUP(LOWER(F1979)&amp;H1979,Prices!A:C,2,0))</f>
        <v>27.7</v>
      </c>
      <c r="W1979" s="13">
        <f t="shared" si="1084"/>
        <v>-4356.1847999999909</v>
      </c>
      <c r="X1979" s="13">
        <f t="shared" si="1085"/>
        <v>-299.99999999999363</v>
      </c>
      <c r="Y1979" s="43">
        <f t="shared" si="1086"/>
        <v>-5.525348554033474E-2</v>
      </c>
      <c r="Z1979" s="49"/>
      <c r="AA1979" s="24"/>
    </row>
    <row r="1980" spans="1:27" s="13" customFormat="1" hidden="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55.39</v>
      </c>
      <c r="V1980" s="13">
        <f>IF(ISNA(VLOOKUP(LOWER(F1980)&amp;H1980,Prices!A:C,2,0)),0,VLOOKUP(LOWER(F1980)&amp;H1980,Prices!A:C,2,0))</f>
        <v>57.19</v>
      </c>
      <c r="W1980" s="13">
        <f t="shared" si="1084"/>
        <v>-79699.087999999989</v>
      </c>
      <c r="X1980" s="13">
        <f t="shared" si="1085"/>
        <v>-7199.9999999999891</v>
      </c>
      <c r="Y1980" s="43">
        <f t="shared" si="1086"/>
        <v>-0.53403302063789859</v>
      </c>
      <c r="Z1980" s="49"/>
      <c r="AA1980" s="24"/>
    </row>
    <row r="1981" spans="1:27" s="13" customFormat="1" hidden="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8.2200000000000006</v>
      </c>
      <c r="V1981" s="13">
        <f>IF(ISNA(VLOOKUP(LOWER(F1981)&amp;H1981,Prices!A:C,2,0)),0,VLOOKUP(LOWER(F1981)&amp;H1981,Prices!A:C,2,0))</f>
        <v>8.0500000000000007</v>
      </c>
      <c r="W1981" s="13">
        <f t="shared" si="1084"/>
        <v>120.85439999999537</v>
      </c>
      <c r="X1981" s="13">
        <f t="shared" si="1085"/>
        <v>1019.9999999999995</v>
      </c>
      <c r="Y1981" s="43">
        <f t="shared" si="1086"/>
        <v>2.4928712871286171E-3</v>
      </c>
      <c r="Z1981" s="49"/>
      <c r="AA1981" s="24"/>
    </row>
    <row r="1982" spans="1:27" s="13" customFormat="1" hidden="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15.55</v>
      </c>
      <c r="V1982" s="13">
        <f>IF(ISNA(VLOOKUP(LOWER(F1982)&amp;H1982,Prices!A:C,2,0)),0,VLOOKUP(LOWER(F1982)&amp;H1982,Prices!A:C,2,0))</f>
        <v>15.23</v>
      </c>
      <c r="W1982" s="13">
        <f t="shared" si="1084"/>
        <v>2996.3849999999966</v>
      </c>
      <c r="X1982" s="13">
        <f t="shared" si="1085"/>
        <v>320.00000000000028</v>
      </c>
      <c r="Y1982" s="43">
        <f t="shared" si="1086"/>
        <v>0.16418547945205461</v>
      </c>
      <c r="Z1982" s="49"/>
      <c r="AA1982" s="24"/>
    </row>
    <row r="1983" spans="1:27" s="13" customFormat="1" hidden="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18.12</v>
      </c>
      <c r="V1983" s="13">
        <f>IF(ISNA(VLOOKUP(LOWER(F1983)&amp;H1983,Prices!A:C,2,0)),0,VLOOKUP(LOWER(F1983)&amp;H1983,Prices!A:C,2,0))</f>
        <v>19</v>
      </c>
      <c r="W1983" s="13">
        <f t="shared" si="1084"/>
        <v>-10918.192000000005</v>
      </c>
      <c r="X1983" s="13">
        <f t="shared" si="1085"/>
        <v>-3519.9999999999959</v>
      </c>
      <c r="Y1983" s="43">
        <f t="shared" si="1086"/>
        <v>-0.16755972989564158</v>
      </c>
      <c r="Z1983" s="49"/>
      <c r="AA1983" s="24"/>
    </row>
    <row r="1984" spans="1:27" s="13" customFormat="1" hidden="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55.39</v>
      </c>
      <c r="V1984" s="13">
        <f>IF(ISNA(VLOOKUP(LOWER(F1984)&amp;H1984,Prices!A:C,2,0)),0,VLOOKUP(LOWER(F1984)&amp;H1984,Prices!A:C,2,0))</f>
        <v>57.19</v>
      </c>
      <c r="W1984" s="13">
        <f t="shared" si="1084"/>
        <v>-39869.519999999997</v>
      </c>
      <c r="X1984" s="13">
        <f t="shared" si="1085"/>
        <v>-3599.9999999999945</v>
      </c>
      <c r="Y1984" s="43">
        <f t="shared" si="1086"/>
        <v>-0.53444396782841819</v>
      </c>
      <c r="Z1984" s="49"/>
      <c r="AA1984" s="24"/>
    </row>
    <row r="1985" spans="1:27" s="13" customFormat="1" hidden="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27.6</v>
      </c>
      <c r="V1985" s="13">
        <f>IF(ISNA(VLOOKUP(LOWER(F1985)&amp;H1985,Prices!A:C,2,0)),0,VLOOKUP(LOWER(F1985)&amp;H1985,Prices!A:C,2,0))</f>
        <v>27.7</v>
      </c>
      <c r="W1985" s="13">
        <f t="shared" si="1084"/>
        <v>352.89635999999973</v>
      </c>
      <c r="X1985" s="13">
        <f t="shared" si="1085"/>
        <v>19.999999999999574</v>
      </c>
      <c r="Y1985" s="43">
        <f t="shared" si="1086"/>
        <v>6.8100416827479679E-2</v>
      </c>
      <c r="Z1985" s="49"/>
      <c r="AA1985" s="24"/>
    </row>
    <row r="1986" spans="1:27" s="13" customFormat="1" hidden="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18.12</v>
      </c>
      <c r="V1986" s="13">
        <f>IF(ISNA(VLOOKUP(LOWER(F1986)&amp;H1986,Prices!A:C,2,0)),0,VLOOKUP(LOWER(F1986)&amp;H1986,Prices!A:C,2,0))</f>
        <v>19</v>
      </c>
      <c r="W1986" s="13">
        <f t="shared" si="1084"/>
        <v>3163.0000000000009</v>
      </c>
      <c r="X1986" s="13">
        <f t="shared" si="1085"/>
        <v>1055.9999999999989</v>
      </c>
      <c r="Y1986" s="43">
        <f t="shared" si="1086"/>
        <v>0.1611145069274654</v>
      </c>
      <c r="Z1986" s="49"/>
      <c r="AA1986" s="24"/>
    </row>
    <row r="1987" spans="1:27" s="13" customFormat="1" hidden="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31.84</v>
      </c>
      <c r="V1987" s="13">
        <f>IF(ISNA(VLOOKUP(LOWER(F1987)&amp;H1987,Prices!A:C,2,0)),0,VLOOKUP(LOWER(F1987)&amp;H1987,Prices!A:C,2,0))</f>
        <v>32.01</v>
      </c>
      <c r="W1987" s="13">
        <f t="shared" si="1084"/>
        <v>7411.7733199999966</v>
      </c>
      <c r="X1987" s="13">
        <f t="shared" si="1085"/>
        <v>237.99999999999741</v>
      </c>
      <c r="Y1987" s="43">
        <f t="shared" si="1086"/>
        <v>0.19820755522276293</v>
      </c>
      <c r="Z1987" s="49"/>
      <c r="AA1987" s="24"/>
    </row>
    <row r="1988" spans="1:27" s="13" customFormat="1" hidden="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8.2200000000000006</v>
      </c>
      <c r="V1988" s="13">
        <f>IF(ISNA(VLOOKUP(LOWER(F1988)&amp;H1988,Prices!A:C,2,0)),0,VLOOKUP(LOWER(F1988)&amp;H1988,Prices!A:C,2,0))</f>
        <v>8.0500000000000007</v>
      </c>
      <c r="W1988" s="13">
        <f t="shared" si="1084"/>
        <v>42.614560000005497</v>
      </c>
      <c r="X1988" s="13">
        <f t="shared" si="1085"/>
        <v>-407.99999999999983</v>
      </c>
      <c r="Y1988" s="43">
        <f t="shared" si="1086"/>
        <v>2.211216272312448E-3</v>
      </c>
      <c r="Z1988" s="49"/>
      <c r="AA1988" s="24"/>
    </row>
    <row r="1989" spans="1:27" s="13" customFormat="1" hidden="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31.84</v>
      </c>
      <c r="V1989" s="13">
        <f>IF(ISNA(VLOOKUP(LOWER(F1989)&amp;H1989,Prices!A:C,2,0)),0,VLOOKUP(LOWER(F1989)&amp;H1989,Prices!A:C,2,0))</f>
        <v>32.01</v>
      </c>
      <c r="W1989" s="13">
        <f t="shared" si="1084"/>
        <v>3711.6261999999983</v>
      </c>
      <c r="X1989" s="13">
        <f t="shared" si="1085"/>
        <v>118.99999999999871</v>
      </c>
      <c r="Y1989" s="43">
        <f t="shared" si="1086"/>
        <v>0.19858888175494907</v>
      </c>
      <c r="Z1989" s="49"/>
      <c r="AA1989" s="24"/>
    </row>
    <row r="1990" spans="1:27" s="13" customFormat="1" hidden="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15.55</v>
      </c>
      <c r="V1990" s="13">
        <f>IF(ISNA(VLOOKUP(LOWER(F1990)&amp;H1990,Prices!A:C,2,0)),0,VLOOKUP(LOWER(F1990)&amp;H1990,Prices!A:C,2,0))</f>
        <v>15.23</v>
      </c>
      <c r="W1990" s="13">
        <f t="shared" si="1084"/>
        <v>-3118.3973199999978</v>
      </c>
      <c r="X1990" s="13">
        <f t="shared" si="1085"/>
        <v>-352.00000000000034</v>
      </c>
      <c r="Y1990" s="43">
        <f t="shared" si="1086"/>
        <v>-0.15697157555622659</v>
      </c>
      <c r="Z1990" s="49"/>
      <c r="AA1990" s="24"/>
    </row>
    <row r="1991" spans="1:27" s="13" customFormat="1" hidden="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8.2200000000000006</v>
      </c>
      <c r="V1991" s="13">
        <f>IF(ISNA(VLOOKUP(LOWER(F1991)&amp;H1991,Prices!A:C,2,0)),0,VLOOKUP(LOWER(F1991)&amp;H1991,Prices!A:C,2,0))</f>
        <v>8.0500000000000007</v>
      </c>
      <c r="W1991" s="13">
        <f t="shared" si="1084"/>
        <v>-29.386879999997007</v>
      </c>
      <c r="X1991" s="13">
        <f t="shared" si="1085"/>
        <v>-407.99999999999983</v>
      </c>
      <c r="Y1991" s="43">
        <f t="shared" si="1086"/>
        <v>-1.5191728701404574E-3</v>
      </c>
      <c r="Z1991" s="49"/>
      <c r="AA1991" s="24"/>
    </row>
    <row r="1992" spans="1:27" s="13" customFormat="1" hidden="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15.55</v>
      </c>
      <c r="V1992" s="13">
        <f>IF(ISNA(VLOOKUP(LOWER(F1992)&amp;H1992,Prices!A:C,2,0)),0,VLOOKUP(LOWER(F1992)&amp;H1992,Prices!A:C,2,0))</f>
        <v>15.23</v>
      </c>
      <c r="W1992" s="13">
        <f t="shared" si="1084"/>
        <v>-3127.1974960000039</v>
      </c>
      <c r="X1992" s="13">
        <f t="shared" si="1085"/>
        <v>-352.00000000000034</v>
      </c>
      <c r="Y1992" s="43">
        <f t="shared" si="1086"/>
        <v>-0.15734485358343245</v>
      </c>
      <c r="Z1992" s="49"/>
      <c r="AA1992" s="24"/>
    </row>
    <row r="1993" spans="1:27" s="13" customFormat="1" hidden="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15.55</v>
      </c>
      <c r="V1993" s="13">
        <f>IF(ISNA(VLOOKUP(LOWER(F1993)&amp;H1993,Prices!A:C,2,0)),0,VLOOKUP(LOWER(F1993)&amp;H1993,Prices!A:C,2,0))</f>
        <v>15.23</v>
      </c>
      <c r="W1993" s="13">
        <f t="shared" si="1084"/>
        <v>-3107.3970999999974</v>
      </c>
      <c r="X1993" s="13">
        <f t="shared" si="1085"/>
        <v>-352.00000000000034</v>
      </c>
      <c r="Y1993" s="43">
        <f t="shared" si="1086"/>
        <v>-0.15650451271719956</v>
      </c>
      <c r="Z1993" s="49"/>
      <c r="AA1993" s="24"/>
    </row>
    <row r="1994" spans="1:27" s="13" customFormat="1" hidden="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15.55</v>
      </c>
      <c r="V1994" s="13">
        <f>IF(ISNA(VLOOKUP(LOWER(F1994)&amp;H1994,Prices!A:C,2,0)),0,VLOOKUP(LOWER(F1994)&amp;H1994,Prices!A:C,2,0))</f>
        <v>15.23</v>
      </c>
      <c r="W1994" s="13">
        <f t="shared" si="1084"/>
        <v>-3096.3968800000011</v>
      </c>
      <c r="X1994" s="13">
        <f t="shared" si="1085"/>
        <v>-352.00000000000034</v>
      </c>
      <c r="Y1994" s="43">
        <f t="shared" si="1086"/>
        <v>-0.15603693207014721</v>
      </c>
      <c r="Z1994" s="49"/>
      <c r="AA1994" s="24"/>
    </row>
    <row r="1995" spans="1:27" s="13" customFormat="1" hidden="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8.2200000000000006</v>
      </c>
      <c r="V1995" s="13">
        <f>IF(ISNA(VLOOKUP(LOWER(F1995)&amp;H1995,Prices!A:C,2,0)),0,VLOOKUP(LOWER(F1995)&amp;H1995,Prices!A:C,2,0))</f>
        <v>8.0500000000000007</v>
      </c>
      <c r="W1995" s="13">
        <f t="shared" si="1084"/>
        <v>-77.387839999998675</v>
      </c>
      <c r="X1995" s="13">
        <f t="shared" si="1085"/>
        <v>-407.99999999999983</v>
      </c>
      <c r="Y1995" s="43">
        <f t="shared" si="1086"/>
        <v>-3.9907095709570276E-3</v>
      </c>
      <c r="Z1995" s="49"/>
      <c r="AA1995" s="24"/>
    </row>
    <row r="1996" spans="1:27" s="13" customFormat="1" hidden="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31.84</v>
      </c>
      <c r="V1996" s="13">
        <f>IF(ISNA(VLOOKUP(LOWER(F1996)&amp;H1996,Prices!A:C,2,0)),0,VLOOKUP(LOWER(F1996)&amp;H1996,Prices!A:C,2,0))</f>
        <v>32.01</v>
      </c>
      <c r="W1996" s="13">
        <f t="shared" si="1084"/>
        <v>3732.6266199999968</v>
      </c>
      <c r="X1996" s="13">
        <f t="shared" si="1085"/>
        <v>118.99999999999871</v>
      </c>
      <c r="Y1996" s="43">
        <f t="shared" si="1086"/>
        <v>0.19993714821361599</v>
      </c>
      <c r="Z1996" s="49"/>
      <c r="AA1996" s="24"/>
    </row>
    <row r="1997" spans="1:27" s="13" customFormat="1" hidden="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15.55</v>
      </c>
      <c r="V1997" s="13">
        <f>IF(ISNA(VLOOKUP(LOWER(F1997)&amp;H1997,Prices!A:C,2,0)),0,VLOOKUP(LOWER(F1997)&amp;H1997,Prices!A:C,2,0))</f>
        <v>15.23</v>
      </c>
      <c r="W1997" s="13">
        <f t="shared" si="1084"/>
        <v>-6410.7797599999931</v>
      </c>
      <c r="X1997" s="13">
        <f t="shared" si="1085"/>
        <v>-704.00000000000068</v>
      </c>
      <c r="Y1997" s="43">
        <f t="shared" si="1086"/>
        <v>-0.16063896361631735</v>
      </c>
      <c r="Z1997" s="49"/>
      <c r="AA1997" s="24"/>
    </row>
    <row r="1998" spans="1:27" s="13" customFormat="1" hidden="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8.2200000000000006</v>
      </c>
      <c r="V1998" s="13">
        <f>IF(ISNA(VLOOKUP(LOWER(F1998)&amp;H1998,Prices!A:C,2,0)),0,VLOOKUP(LOWER(F1998)&amp;H1998,Prices!A:C,2,0))</f>
        <v>8.0500000000000007</v>
      </c>
      <c r="W1998" s="13">
        <f t="shared" si="1084"/>
        <v>-5.386399999996172</v>
      </c>
      <c r="X1998" s="13">
        <f t="shared" si="1085"/>
        <v>-407.99999999999983</v>
      </c>
      <c r="Y1998" s="43">
        <f t="shared" si="1086"/>
        <v>-2.7879917184245198E-4</v>
      </c>
      <c r="Z1998" s="49"/>
      <c r="AA1998" s="24"/>
    </row>
    <row r="1999" spans="1:27" s="13" customFormat="1" hidden="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18.12</v>
      </c>
      <c r="V1999" s="13">
        <f>IF(ISNA(VLOOKUP(LOWER(F1999)&amp;H1999,Prices!A:C,2,0)),0,VLOOKUP(LOWER(F1999)&amp;H1999,Prices!A:C,2,0))</f>
        <v>19</v>
      </c>
      <c r="W1999" s="13">
        <f t="shared" si="1084"/>
        <v>6193.7203200000031</v>
      </c>
      <c r="X1999" s="13">
        <f t="shared" si="1085"/>
        <v>2111.9999999999977</v>
      </c>
      <c r="Y1999" s="43">
        <f t="shared" si="1086"/>
        <v>0.15720740740740749</v>
      </c>
      <c r="Z1999" s="49"/>
      <c r="AA1999" s="24"/>
    </row>
    <row r="2000" spans="1:27" s="13" customFormat="1" hidden="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15.55</v>
      </c>
      <c r="V2000" s="13">
        <f>IF(ISNA(VLOOKUP(LOWER(F2000)&amp;H2000,Prices!A:C,2,0)),0,VLOOKUP(LOWER(F2000)&amp;H2000,Prices!A:C,2,0))</f>
        <v>15.23</v>
      </c>
      <c r="W2000" s="13">
        <f t="shared" si="1084"/>
        <v>-3206.399079999997</v>
      </c>
      <c r="X2000" s="13">
        <f t="shared" si="1085"/>
        <v>-352.00000000000034</v>
      </c>
      <c r="Y2000" s="43">
        <f t="shared" si="1086"/>
        <v>-0.16068953994186613</v>
      </c>
      <c r="Z2000" s="49"/>
      <c r="AA2000" s="24"/>
    </row>
    <row r="2001" spans="1:27" s="13" customFormat="1" hidden="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15.55</v>
      </c>
      <c r="V2001" s="13">
        <f>IF(ISNA(VLOOKUP(LOWER(F2001)&amp;H2001,Prices!A:C,2,0)),0,VLOOKUP(LOWER(F2001)&amp;H2001,Prices!A:C,2,0))</f>
        <v>15.23</v>
      </c>
      <c r="W2001" s="13">
        <f t="shared" si="1084"/>
        <v>-3228.3995199999977</v>
      </c>
      <c r="X2001" s="13">
        <f t="shared" si="1085"/>
        <v>-352.00000000000034</v>
      </c>
      <c r="Y2001" s="43">
        <f t="shared" si="1086"/>
        <v>-0.16161391269523417</v>
      </c>
      <c r="Z2001" s="49"/>
      <c r="AA2001" s="24"/>
    </row>
    <row r="2002" spans="1:27" s="13" customFormat="1" hidden="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8.2200000000000006</v>
      </c>
      <c r="V2002" s="13">
        <f>IF(ISNA(VLOOKUP(LOWER(F2002)&amp;H2002,Prices!A:C,2,0)),0,VLOOKUP(LOWER(F2002)&amp;H2002,Prices!A:C,2,0))</f>
        <v>8.0500000000000007</v>
      </c>
      <c r="W2002" s="13">
        <f t="shared" ref="W2002:W2042" si="1095">IF(I2002="B",(V2002+T2002)*K2002,(V2002+T2002)*K2002)</f>
        <v>-238.90856000000156</v>
      </c>
      <c r="X2002" s="13">
        <f t="shared" ref="X2002:X2042" si="1096">K2002*(V2002-U2002)</f>
        <v>815.99999999999966</v>
      </c>
      <c r="Y2002" s="43">
        <f t="shared" ref="Y2002:Y2042" si="1097">W2002/O2002</f>
        <v>-6.2138098210570529E-3</v>
      </c>
      <c r="Z2002" s="49"/>
      <c r="AA2002" s="24"/>
    </row>
    <row r="2003" spans="1:27" s="13" customFormat="1" hidden="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43.74</v>
      </c>
      <c r="V2003" s="13">
        <f>IF(ISNA(VLOOKUP(LOWER(F2003)&amp;H2003,Prices!A:C,2,0)),0,VLOOKUP(LOWER(F2003)&amp;H2003,Prices!A:C,2,0))</f>
        <v>45.67</v>
      </c>
      <c r="W2003" s="13">
        <f t="shared" si="1095"/>
        <v>-2825.6100000000006</v>
      </c>
      <c r="X2003" s="13">
        <f t="shared" si="1096"/>
        <v>-1157.9999999999998</v>
      </c>
      <c r="Y2003" s="43">
        <f t="shared" si="1097"/>
        <v>-0.11483418678371131</v>
      </c>
      <c r="Z2003" s="49"/>
      <c r="AA2003" s="24"/>
    </row>
    <row r="2004" spans="1:27" s="13" customFormat="1" hidden="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650.07000000000005</v>
      </c>
      <c r="V2004" s="13">
        <f>IF(ISNA(VLOOKUP(LOWER(F2004)&amp;H2004,Prices!A:C,2,0)),0,VLOOKUP(LOWER(F2004)&amp;H2004,Prices!A:C,2,0))</f>
        <v>677.95</v>
      </c>
      <c r="W2004" s="13">
        <f t="shared" si="1095"/>
        <v>-22220.668599999997</v>
      </c>
      <c r="X2004" s="13">
        <f t="shared" si="1096"/>
        <v>-2787.9999999999995</v>
      </c>
      <c r="Y2004" s="43">
        <f t="shared" si="1097"/>
        <v>-0.48697498575498571</v>
      </c>
      <c r="Z2004" s="49"/>
      <c r="AA2004" s="24"/>
    </row>
    <row r="2005" spans="1:27" s="13" customFormat="1" hidden="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16.100000000000001</v>
      </c>
      <c r="V2005" s="13">
        <f>IF(ISNA(VLOOKUP(LOWER(F2005)&amp;H2005,Prices!A:C,2,0)),0,VLOOKUP(LOWER(F2005)&amp;H2005,Prices!A:C,2,0))</f>
        <v>16.100000000000001</v>
      </c>
      <c r="W2005" s="13">
        <f t="shared" si="1095"/>
        <v>-9606.0952000000252</v>
      </c>
      <c r="X2005" s="13">
        <f t="shared" si="1096"/>
        <v>0</v>
      </c>
      <c r="Y2005" s="43">
        <f t="shared" si="1097"/>
        <v>-0.10094677595628442</v>
      </c>
      <c r="Z2005" s="49"/>
      <c r="AA2005" s="24"/>
    </row>
    <row r="2006" spans="1:27" s="13" customFormat="1" hidden="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27.07</v>
      </c>
      <c r="V2006" s="13">
        <f>IF(ISNA(VLOOKUP(LOWER(F2006)&amp;H2006,Prices!A:C,2,0)),0,VLOOKUP(LOWER(F2006)&amp;H2006,Prices!A:C,2,0))</f>
        <v>27.07</v>
      </c>
      <c r="W2006" s="13">
        <f t="shared" si="1095"/>
        <v>-9280.9263999999839</v>
      </c>
      <c r="X2006" s="13">
        <f t="shared" si="1096"/>
        <v>0</v>
      </c>
      <c r="Y2006" s="43">
        <f t="shared" si="1097"/>
        <v>-9.363323648103293E-2</v>
      </c>
      <c r="Z2006" s="49"/>
      <c r="AA2006" s="24"/>
    </row>
    <row r="2007" spans="1:27" s="13" customFormat="1" hidden="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31.84</v>
      </c>
      <c r="V2007" s="13">
        <f>IF(ISNA(VLOOKUP(LOWER(F2007)&amp;H2007,Prices!A:C,2,0)),0,VLOOKUP(LOWER(F2007)&amp;H2007,Prices!A:C,2,0))</f>
        <v>32.01</v>
      </c>
      <c r="W2007" s="13">
        <f t="shared" si="1095"/>
        <v>-13393.122159999995</v>
      </c>
      <c r="X2007" s="13">
        <f t="shared" si="1096"/>
        <v>-475.99999999999483</v>
      </c>
      <c r="Y2007" s="43">
        <f t="shared" si="1097"/>
        <v>-0.17546800859448689</v>
      </c>
      <c r="Z2007" s="49"/>
      <c r="AA2007" s="24"/>
    </row>
    <row r="2008" spans="1:27" s="13" customFormat="1" hidden="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27.6</v>
      </c>
      <c r="V2008" s="13">
        <f>IF(ISNA(VLOOKUP(LOWER(F2008)&amp;H2008,Prices!A:C,2,0)),0,VLOOKUP(LOWER(F2008)&amp;H2008,Prices!A:C,2,0))</f>
        <v>27.7</v>
      </c>
      <c r="W2008" s="13">
        <f t="shared" si="1095"/>
        <v>-3879.8489999999929</v>
      </c>
      <c r="X2008" s="13">
        <f t="shared" si="1096"/>
        <v>-249.99999999999466</v>
      </c>
      <c r="Y2008" s="43">
        <f t="shared" si="1097"/>
        <v>-5.927958747135207E-2</v>
      </c>
      <c r="Z2008" s="49"/>
      <c r="AA2008" s="24"/>
    </row>
    <row r="2009" spans="1:27" s="13" customFormat="1" hidden="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15.55</v>
      </c>
      <c r="V2009" s="13">
        <f>IF(ISNA(VLOOKUP(LOWER(F2009)&amp;H2009,Prices!A:C,2,0)),0,VLOOKUP(LOWER(F2009)&amp;H2009,Prices!A:C,2,0))</f>
        <v>15.23</v>
      </c>
      <c r="W2009" s="13">
        <f t="shared" si="1095"/>
        <v>10245.632559999964</v>
      </c>
      <c r="X2009" s="13">
        <f t="shared" si="1096"/>
        <v>1408.0000000000014</v>
      </c>
      <c r="Y2009" s="43">
        <f t="shared" si="1097"/>
        <v>0.13245465611748844</v>
      </c>
      <c r="Z2009" s="49"/>
      <c r="AA2009" s="24"/>
    </row>
    <row r="2010" spans="1:27" s="13" customFormat="1" hidden="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18.12</v>
      </c>
      <c r="V2010" s="13">
        <f>IF(ISNA(VLOOKUP(LOWER(F2010)&amp;H2010,Prices!A:C,2,0)),0,VLOOKUP(LOWER(F2010)&amp;H2010,Prices!A:C,2,0))</f>
        <v>19</v>
      </c>
      <c r="W2010" s="13">
        <f t="shared" si="1095"/>
        <v>-7070.5924000000005</v>
      </c>
      <c r="X2010" s="13">
        <f t="shared" si="1096"/>
        <v>-1583.9999999999982</v>
      </c>
      <c r="Y2010" s="43">
        <f t="shared" si="1097"/>
        <v>-0.26031192106619544</v>
      </c>
      <c r="Z2010" s="49"/>
      <c r="AA2010" s="24"/>
    </row>
    <row r="2011" spans="1:27" s="13" customFormat="1" hidden="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18.12</v>
      </c>
      <c r="V2011" s="13">
        <f>IF(ISNA(VLOOKUP(LOWER(F2011)&amp;H2011,Prices!A:C,2,0)),0,VLOOKUP(LOWER(F2011)&amp;H2011,Prices!A:C,2,0))</f>
        <v>19</v>
      </c>
      <c r="W2011" s="13">
        <f t="shared" si="1095"/>
        <v>-7106.5552000000007</v>
      </c>
      <c r="X2011" s="13">
        <f t="shared" si="1096"/>
        <v>-1583.9999999999982</v>
      </c>
      <c r="Y2011" s="43">
        <f t="shared" si="1097"/>
        <v>-0.26198316006783162</v>
      </c>
      <c r="Z2011" s="49"/>
      <c r="AA2011" s="24"/>
    </row>
    <row r="2012" spans="1:27" s="13" customFormat="1" hidden="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18.12</v>
      </c>
      <c r="V2012" s="13">
        <f>IF(ISNA(VLOOKUP(LOWER(F2012)&amp;H2012,Prices!A:C,2,0)),0,VLOOKUP(LOWER(F2012)&amp;H2012,Prices!A:C,2,0))</f>
        <v>19</v>
      </c>
      <c r="W2012" s="13">
        <f t="shared" si="1095"/>
        <v>3750.9999999999991</v>
      </c>
      <c r="X2012" s="13">
        <f t="shared" si="1096"/>
        <v>1055.9999999999989</v>
      </c>
      <c r="Y2012" s="43">
        <f t="shared" si="1097"/>
        <v>0.19696492333543369</v>
      </c>
      <c r="Z2012" s="49"/>
      <c r="AA2012" s="24"/>
    </row>
    <row r="2013" spans="1:27" s="13" customFormat="1" hidden="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650.07000000000005</v>
      </c>
      <c r="V2013" s="13">
        <f>IF(ISNA(VLOOKUP(LOWER(F2013)&amp;H2013,Prices!A:C,2,0)),0,VLOOKUP(LOWER(F2013)&amp;H2013,Prices!A:C,2,0))</f>
        <v>677.95</v>
      </c>
      <c r="W2013" s="13">
        <f t="shared" si="1095"/>
        <v>22177.96646</v>
      </c>
      <c r="X2013" s="13">
        <f t="shared" si="1096"/>
        <v>2787.9999999999995</v>
      </c>
      <c r="Y2013" s="43">
        <f t="shared" si="1097"/>
        <v>0.48628426469620889</v>
      </c>
      <c r="Z2013" s="49"/>
      <c r="AA2013" s="24"/>
    </row>
    <row r="2014" spans="1:27" s="13" customFormat="1" hidden="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18.12</v>
      </c>
      <c r="V2014" s="13">
        <f>IF(ISNA(VLOOKUP(LOWER(F2014)&amp;H2014,Prices!A:C,2,0)),0,VLOOKUP(LOWER(F2014)&amp;H2014,Prices!A:C,2,0))</f>
        <v>19</v>
      </c>
      <c r="W2014" s="13">
        <f t="shared" si="1095"/>
        <v>3630.9999999999995</v>
      </c>
      <c r="X2014" s="13">
        <f t="shared" si="1096"/>
        <v>1055.9999999999989</v>
      </c>
      <c r="Y2014" s="43">
        <f t="shared" si="1097"/>
        <v>0.18946983928198705</v>
      </c>
      <c r="Z2014" s="49"/>
      <c r="AA2014" s="24"/>
    </row>
    <row r="2015" spans="1:27" s="13" customFormat="1" hidden="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18.12</v>
      </c>
      <c r="V2015" s="13">
        <f>IF(ISNA(VLOOKUP(LOWER(F2015)&amp;H2015,Prices!A:C,2,0)),0,VLOOKUP(LOWER(F2015)&amp;H2015,Prices!A:C,2,0))</f>
        <v>19</v>
      </c>
      <c r="W2015" s="13">
        <f t="shared" si="1095"/>
        <v>3582.9999999999982</v>
      </c>
      <c r="X2015" s="13">
        <f t="shared" si="1096"/>
        <v>1055.9999999999989</v>
      </c>
      <c r="Y2015" s="43">
        <f t="shared" si="1097"/>
        <v>0.18649802206953975</v>
      </c>
      <c r="Z2015" s="49"/>
      <c r="AA2015" s="24"/>
    </row>
    <row r="2016" spans="1:27" s="13" customFormat="1" hidden="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18.12</v>
      </c>
      <c r="V2016" s="13">
        <f>IF(ISNA(VLOOKUP(LOWER(F2016)&amp;H2016,Prices!A:C,2,0)),0,VLOOKUP(LOWER(F2016)&amp;H2016,Prices!A:C,2,0))</f>
        <v>19</v>
      </c>
      <c r="W2016" s="13">
        <f t="shared" si="1095"/>
        <v>3582.9999999999982</v>
      </c>
      <c r="X2016" s="13">
        <f t="shared" si="1096"/>
        <v>1055.9999999999989</v>
      </c>
      <c r="Y2016" s="43">
        <f t="shared" si="1097"/>
        <v>0.18649802206953975</v>
      </c>
      <c r="Z2016" s="49"/>
      <c r="AA2016" s="24"/>
    </row>
    <row r="2017" spans="1:27" s="13" customFormat="1" hidden="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43.74</v>
      </c>
      <c r="V2017" s="13">
        <f>IF(ISNA(VLOOKUP(LOWER(F2017)&amp;H2017,Prices!A:C,2,0)),0,VLOOKUP(LOWER(F2017)&amp;H2017,Prices!A:C,2,0))</f>
        <v>45.67</v>
      </c>
      <c r="W2017" s="13">
        <f t="shared" si="1095"/>
        <v>2006.9999999999993</v>
      </c>
      <c r="X2017" s="13">
        <f t="shared" si="1096"/>
        <v>771.99999999999989</v>
      </c>
      <c r="Y2017" s="43">
        <f t="shared" si="1097"/>
        <v>0.12346210629921256</v>
      </c>
      <c r="Z2017" s="49"/>
      <c r="AA2017" s="24"/>
    </row>
    <row r="2018" spans="1:27" s="13" customFormat="1" hidden="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27.6</v>
      </c>
      <c r="V2018" s="13">
        <f>IF(ISNA(VLOOKUP(LOWER(F2018)&amp;H2018,Prices!A:C,2,0)),0,VLOOKUP(LOWER(F2018)&amp;H2018,Prices!A:C,2,0))</f>
        <v>27.7</v>
      </c>
      <c r="W2018" s="13">
        <f t="shared" si="1095"/>
        <v>2357.9889199999952</v>
      </c>
      <c r="X2018" s="13">
        <f t="shared" si="1096"/>
        <v>139.99999999999702</v>
      </c>
      <c r="Y2018" s="43">
        <f t="shared" si="1097"/>
        <v>6.4755009611687675E-2</v>
      </c>
      <c r="Z2018" s="49"/>
      <c r="AA2018" s="24"/>
    </row>
    <row r="2019" spans="1:27" s="13" customFormat="1" hidden="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8.2200000000000006</v>
      </c>
      <c r="V2019" s="13">
        <f>IF(ISNA(VLOOKUP(LOWER(F2019)&amp;H2019,Prices!A:C,2,0)),0,VLOOKUP(LOWER(F2019)&amp;H2019,Prices!A:C,2,0))</f>
        <v>8.0500000000000007</v>
      </c>
      <c r="W2019" s="13">
        <f t="shared" si="1095"/>
        <v>144.6005000000028</v>
      </c>
      <c r="X2019" s="13">
        <f t="shared" si="1096"/>
        <v>-424.99999999999983</v>
      </c>
      <c r="Y2019" s="43">
        <f t="shared" si="1097"/>
        <v>7.2390738423030185E-3</v>
      </c>
      <c r="Z2019" s="49"/>
      <c r="AA2019" s="24"/>
    </row>
    <row r="2020" spans="1:27" s="13" customFormat="1" hidden="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43.74</v>
      </c>
      <c r="V2020" s="13">
        <f>IF(ISNA(VLOOKUP(LOWER(F2020)&amp;H2020,Prices!A:C,2,0)),0,VLOOKUP(LOWER(F2020)&amp;H2020,Prices!A:C,2,0))</f>
        <v>45.67</v>
      </c>
      <c r="W2020" s="13">
        <f t="shared" si="1095"/>
        <v>2018.9999999999998</v>
      </c>
      <c r="X2020" s="13">
        <f t="shared" si="1096"/>
        <v>771.99999999999989</v>
      </c>
      <c r="Y2020" s="43">
        <f t="shared" si="1097"/>
        <v>0.12429204629401623</v>
      </c>
      <c r="Z2020" s="49"/>
      <c r="AA2020" s="24"/>
    </row>
    <row r="2021" spans="1:27" s="13" customFormat="1" hidden="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27.07</v>
      </c>
      <c r="V2021" s="13">
        <f>IF(ISNA(VLOOKUP(LOWER(F2021)&amp;H2021,Prices!A:C,2,0)),0,VLOOKUP(LOWER(F2021)&amp;H2021,Prices!A:C,2,0))</f>
        <v>27.07</v>
      </c>
      <c r="W2021" s="13">
        <f t="shared" si="1095"/>
        <v>1858.6041599999987</v>
      </c>
      <c r="X2021" s="13">
        <f t="shared" si="1096"/>
        <v>0</v>
      </c>
      <c r="Y2021" s="43">
        <f t="shared" si="1097"/>
        <v>9.3906839126919897E-2</v>
      </c>
      <c r="Z2021" s="49"/>
      <c r="AA2021" s="24"/>
    </row>
    <row r="2022" spans="1:27" s="13" customFormat="1" hidden="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16.100000000000001</v>
      </c>
      <c r="V2022" s="13">
        <f>IF(ISNA(VLOOKUP(LOWER(F2022)&amp;H2022,Prices!A:C,2,0)),0,VLOOKUP(LOWER(F2022)&amp;H2022,Prices!A:C,2,0))</f>
        <v>16.100000000000001</v>
      </c>
      <c r="W2022" s="13">
        <f t="shared" si="1095"/>
        <v>2048.6224800000027</v>
      </c>
      <c r="X2022" s="13">
        <f t="shared" si="1096"/>
        <v>0</v>
      </c>
      <c r="Y2022" s="43">
        <f t="shared" si="1097"/>
        <v>0.10853054036872233</v>
      </c>
      <c r="Z2022" s="49"/>
      <c r="AA2022" s="24"/>
    </row>
    <row r="2023" spans="1:27" s="13" customFormat="1" hidden="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41.3</v>
      </c>
      <c r="V2023" s="13">
        <f>IF(ISNA(VLOOKUP(LOWER(F2023)&amp;H2023,Prices!A:C,2,0)),0,VLOOKUP(LOWER(F2023)&amp;H2023,Prices!A:C,2,0))</f>
        <v>42.53</v>
      </c>
      <c r="W2023" s="13">
        <f t="shared" si="1095"/>
        <v>7597.0000000000009</v>
      </c>
      <c r="X2023" s="13">
        <f t="shared" si="1096"/>
        <v>738.00000000000239</v>
      </c>
      <c r="Y2023" s="43">
        <f t="shared" si="1097"/>
        <v>0.42403438267470422</v>
      </c>
      <c r="Z2023" s="49"/>
      <c r="AA2023" s="24"/>
    </row>
    <row r="2024" spans="1:27" s="13" customFormat="1" hidden="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43.74</v>
      </c>
      <c r="V2024" s="13">
        <f>IF(ISNA(VLOOKUP(LOWER(F2024)&amp;H2024,Prices!A:C,2,0)),0,VLOOKUP(LOWER(F2024)&amp;H2024,Prices!A:C,2,0))</f>
        <v>45.67</v>
      </c>
      <c r="W2024" s="13">
        <f t="shared" si="1095"/>
        <v>2023.0000000000018</v>
      </c>
      <c r="X2024" s="13">
        <f t="shared" si="1096"/>
        <v>771.99999999999989</v>
      </c>
      <c r="Y2024" s="43">
        <f t="shared" si="1097"/>
        <v>0.12456896551724149</v>
      </c>
      <c r="Z2024" s="49"/>
      <c r="AA2024" s="24"/>
    </row>
    <row r="2025" spans="1:27" s="13" customFormat="1" hidden="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650.07000000000005</v>
      </c>
      <c r="V2025" s="13">
        <f>IF(ISNA(VLOOKUP(LOWER(F2025)&amp;H2025,Prices!A:C,2,0)),0,VLOOKUP(LOWER(F2025)&amp;H2025,Prices!A:C,2,0))</f>
        <v>677.95</v>
      </c>
      <c r="W2025" s="13">
        <f t="shared" si="1095"/>
        <v>22271.987140000012</v>
      </c>
      <c r="X2025" s="13">
        <f t="shared" si="1096"/>
        <v>2787.9999999999995</v>
      </c>
      <c r="Y2025" s="43">
        <f t="shared" si="1097"/>
        <v>0.48935440731219676</v>
      </c>
      <c r="Z2025" s="49"/>
      <c r="AA2025" s="24"/>
    </row>
    <row r="2026" spans="1:27" s="13" customFormat="1" hidden="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8.2200000000000006</v>
      </c>
      <c r="V2026" s="13">
        <f>IF(ISNA(VLOOKUP(LOWER(F2026)&amp;H2026,Prices!A:C,2,0)),0,VLOOKUP(LOWER(F2026)&amp;H2026,Prices!A:C,2,0))</f>
        <v>8.0500000000000007</v>
      </c>
      <c r="W2026" s="13">
        <f t="shared" si="1095"/>
        <v>119.60000000000193</v>
      </c>
      <c r="X2026" s="13">
        <f t="shared" si="1096"/>
        <v>-424.99999999999983</v>
      </c>
      <c r="Y2026" s="43">
        <f t="shared" si="1097"/>
        <v>5.9800000000000963E-3</v>
      </c>
      <c r="Z2026" s="49"/>
      <c r="AA2026" s="24"/>
    </row>
    <row r="2027" spans="1:27" s="13" customFormat="1" hidden="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16.100000000000001</v>
      </c>
      <c r="V2027" s="13">
        <f>IF(ISNA(VLOOKUP(LOWER(F2027)&amp;H2027,Prices!A:C,2,0)),0,VLOOKUP(LOWER(F2027)&amp;H2027,Prices!A:C,2,0))</f>
        <v>16.100000000000001</v>
      </c>
      <c r="W2027" s="13">
        <f t="shared" si="1095"/>
        <v>3972.2665320000056</v>
      </c>
      <c r="X2027" s="13">
        <f t="shared" si="1096"/>
        <v>0</v>
      </c>
      <c r="Y2027" s="43">
        <f t="shared" si="1097"/>
        <v>0.10486614180794852</v>
      </c>
      <c r="Z2027" s="49"/>
      <c r="AA2027" s="24"/>
    </row>
    <row r="2028" spans="1:27" s="13" customFormat="1" hidden="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8.2200000000000006</v>
      </c>
      <c r="V2028" s="13">
        <f>IF(ISNA(VLOOKUP(LOWER(F2028)&amp;H2028,Prices!A:C,2,0)),0,VLOOKUP(LOWER(F2028)&amp;H2028,Prices!A:C,2,0))</f>
        <v>8.0500000000000007</v>
      </c>
      <c r="W2028" s="13">
        <f t="shared" si="1095"/>
        <v>-8.500799999998776</v>
      </c>
      <c r="X2028" s="13">
        <f t="shared" si="1096"/>
        <v>-815.99999999999966</v>
      </c>
      <c r="Y2028" s="43">
        <f t="shared" si="1097"/>
        <v>-2.1999999999996832E-4</v>
      </c>
      <c r="Z2028" s="49"/>
      <c r="AA2028" s="24"/>
    </row>
    <row r="2029" spans="1:27" s="13" customFormat="1" hidden="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27.07</v>
      </c>
      <c r="V2029" s="13">
        <f>IF(ISNA(VLOOKUP(LOWER(F2029)&amp;H2029,Prices!A:C,2,0)),0,VLOOKUP(LOWER(F2029)&amp;H2029,Prices!A:C,2,0))</f>
        <v>27.07</v>
      </c>
      <c r="W2029" s="13">
        <f t="shared" si="1095"/>
        <v>3367.2140799999966</v>
      </c>
      <c r="X2029" s="13">
        <f t="shared" si="1096"/>
        <v>0</v>
      </c>
      <c r="Y2029" s="43">
        <f t="shared" si="1097"/>
        <v>8.431525641025632E-2</v>
      </c>
      <c r="Z2029" s="49"/>
      <c r="AA2029" s="24"/>
    </row>
    <row r="2030" spans="1:27" s="13" customFormat="1" hidden="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41.3</v>
      </c>
      <c r="V2030" s="13">
        <f>IF(ISNA(VLOOKUP(LOWER(F2030)&amp;H2030,Prices!A:C,2,0)),0,VLOOKUP(LOWER(F2030)&amp;H2030,Prices!A:C,2,0))</f>
        <v>42.53</v>
      </c>
      <c r="W2030" s="13">
        <f t="shared" si="1095"/>
        <v>15016.797600000002</v>
      </c>
      <c r="X2030" s="13">
        <f t="shared" si="1096"/>
        <v>1476.0000000000048</v>
      </c>
      <c r="Y2030" s="43">
        <f t="shared" si="1097"/>
        <v>0.416994268577141</v>
      </c>
      <c r="Z2030" s="49"/>
      <c r="AA2030" s="24"/>
    </row>
    <row r="2031" spans="1:27" s="13" customFormat="1" hidden="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43.74</v>
      </c>
      <c r="V2031" s="13">
        <f>IF(ISNA(VLOOKUP(LOWER(F2031)&amp;H2031,Prices!A:C,2,0)),0,VLOOKUP(LOWER(F2031)&amp;H2031,Prices!A:C,2,0))</f>
        <v>45.67</v>
      </c>
      <c r="W2031" s="13">
        <f t="shared" si="1095"/>
        <v>3780.6502399999999</v>
      </c>
      <c r="X2031" s="13">
        <f t="shared" si="1096"/>
        <v>1543.9999999999998</v>
      </c>
      <c r="Y2031" s="43">
        <f t="shared" si="1097"/>
        <v>0.11544393199140121</v>
      </c>
      <c r="Z2031" s="49"/>
      <c r="AA2031" s="24"/>
    </row>
    <row r="2032" spans="1:27" s="13" customFormat="1" hidden="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650.07000000000005</v>
      </c>
      <c r="V2032" s="13">
        <f>IF(ISNA(VLOOKUP(LOWER(F2032)&amp;H2032,Prices!A:C,2,0)),0,VLOOKUP(LOWER(F2032)&amp;H2032,Prices!A:C,2,0))</f>
        <v>677.95</v>
      </c>
      <c r="W2032" s="13">
        <f t="shared" si="1095"/>
        <v>44249.909600000014</v>
      </c>
      <c r="X2032" s="13">
        <f t="shared" si="1096"/>
        <v>5575.9999999999991</v>
      </c>
      <c r="Y2032" s="43">
        <f t="shared" si="1097"/>
        <v>0.48455879982479211</v>
      </c>
      <c r="Z2032" s="49"/>
      <c r="AA2032" s="24"/>
    </row>
    <row r="2033" spans="1:27" s="13" customFormat="1" hidden="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31.44</v>
      </c>
      <c r="V2033" s="13">
        <f>IF(ISNA(VLOOKUP(LOWER(F2033)&amp;H2033,Prices!A:C,2,0)),0,VLOOKUP(LOWER(F2033)&amp;H2033,Prices!A:C,2,0))</f>
        <v>32.450000000000003</v>
      </c>
      <c r="W2033" s="13">
        <f t="shared" si="1095"/>
        <v>1160.490336000008</v>
      </c>
      <c r="X2033" s="13">
        <f t="shared" si="1096"/>
        <v>1212.0000000000018</v>
      </c>
      <c r="Y2033" s="43">
        <f t="shared" si="1097"/>
        <v>3.0724211462701954E-2</v>
      </c>
      <c r="Z2033" s="49"/>
      <c r="AA2033" s="24"/>
    </row>
    <row r="2034" spans="1:27" s="13" customFormat="1" hidden="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43.74</v>
      </c>
      <c r="V2034" s="13">
        <f>IF(ISNA(VLOOKUP(LOWER(F2034)&amp;H2034,Prices!A:C,2,0)),0,VLOOKUP(LOWER(F2034)&amp;H2034,Prices!A:C,2,0))</f>
        <v>45.67</v>
      </c>
      <c r="W2034" s="13">
        <f t="shared" si="1095"/>
        <v>4701.808</v>
      </c>
      <c r="X2034" s="13">
        <f t="shared" si="1096"/>
        <v>1929.9999999999998</v>
      </c>
      <c r="Y2034" s="43">
        <f t="shared" si="1097"/>
        <v>0.11479023437499999</v>
      </c>
      <c r="Z2034" s="49"/>
      <c r="AA2034" s="24"/>
    </row>
    <row r="2035" spans="1:27" s="13" customFormat="1" hidden="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650.07000000000005</v>
      </c>
      <c r="V2035" s="13">
        <f>IF(ISNA(VLOOKUP(LOWER(F2035)&amp;H2035,Prices!A:C,2,0)),0,VLOOKUP(LOWER(F2035)&amp;H2035,Prices!A:C,2,0))</f>
        <v>677.95</v>
      </c>
      <c r="W2035" s="13">
        <f t="shared" si="1095"/>
        <v>44241.907840000007</v>
      </c>
      <c r="X2035" s="13">
        <f t="shared" si="1096"/>
        <v>5575.9999999999991</v>
      </c>
      <c r="Y2035" s="43">
        <f t="shared" si="1097"/>
        <v>0.48442873861247382</v>
      </c>
      <c r="Z2035" s="49"/>
      <c r="AA2035" s="24"/>
    </row>
    <row r="2036" spans="1:27" s="13" customFormat="1" hidden="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43.74</v>
      </c>
      <c r="V2036" s="13">
        <f>IF(ISNA(VLOOKUP(LOWER(F2036)&amp;H2036,Prices!A:C,2,0)),0,VLOOKUP(LOWER(F2036)&amp;H2036,Prices!A:C,2,0))</f>
        <v>45.67</v>
      </c>
      <c r="W2036" s="13">
        <f t="shared" si="1095"/>
        <v>1906.9999999999993</v>
      </c>
      <c r="X2036" s="13">
        <f t="shared" si="1096"/>
        <v>771.99999999999989</v>
      </c>
      <c r="Y2036" s="43">
        <f t="shared" si="1097"/>
        <v>0.11659329909513325</v>
      </c>
      <c r="Z2036" s="49"/>
      <c r="AA2036" s="24"/>
    </row>
    <row r="2037" spans="1:27" s="13" customFormat="1" hidden="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31.44</v>
      </c>
      <c r="V2037" s="13">
        <f>IF(ISNA(VLOOKUP(LOWER(F2037)&amp;H2037,Prices!A:C,2,0)),0,VLOOKUP(LOWER(F2037)&amp;H2037,Prices!A:C,2,0))</f>
        <v>32.450000000000003</v>
      </c>
      <c r="W2037" s="13">
        <f t="shared" si="1095"/>
        <v>552.62176000000306</v>
      </c>
      <c r="X2037" s="13">
        <f t="shared" si="1096"/>
        <v>606.00000000000091</v>
      </c>
      <c r="Y2037" s="43">
        <f t="shared" si="1097"/>
        <v>2.9220693739424868E-2</v>
      </c>
      <c r="Z2037" s="49"/>
      <c r="AA2037" s="24"/>
    </row>
    <row r="2038" spans="1:27" s="13" customFormat="1" hidden="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31.44</v>
      </c>
      <c r="V2038" s="13">
        <f>IF(ISNA(VLOOKUP(LOWER(F2038)&amp;H2038,Prices!A:C,2,0)),0,VLOOKUP(LOWER(F2038)&amp;H2038,Prices!A:C,2,0))</f>
        <v>32.450000000000003</v>
      </c>
      <c r="W2038" s="13">
        <f t="shared" si="1095"/>
        <v>1155.6892800000001</v>
      </c>
      <c r="X2038" s="13">
        <f t="shared" si="1096"/>
        <v>1212.0000000000018</v>
      </c>
      <c r="Y2038" s="43">
        <f t="shared" si="1097"/>
        <v>3.0593214739517156E-2</v>
      </c>
      <c r="Z2038" s="49"/>
      <c r="AA2038" s="24"/>
    </row>
    <row r="2039" spans="1:27" s="13" customFormat="1" hidden="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43.74</v>
      </c>
      <c r="V2039" s="13">
        <f>IF(ISNA(VLOOKUP(LOWER(F2039)&amp;H2039,Prices!A:C,2,0)),0,VLOOKUP(LOWER(F2039)&amp;H2039,Prices!A:C,2,0))</f>
        <v>45.67</v>
      </c>
      <c r="W2039" s="13">
        <f t="shared" si="1095"/>
        <v>3809.4560000000001</v>
      </c>
      <c r="X2039" s="13">
        <f t="shared" si="1096"/>
        <v>1543.9999999999998</v>
      </c>
      <c r="Y2039" s="43">
        <f t="shared" si="1097"/>
        <v>0.11642591687041565</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16.52</v>
      </c>
      <c r="V2040" s="30">
        <f>IF(ISNA(VLOOKUP(LOWER(F2040)&amp;H2040,Prices!A:C,2,0)),0,VLOOKUP(LOWER(F2040)&amp;H2040,Prices!A:C,2,0))</f>
        <v>16.59</v>
      </c>
      <c r="W2040" s="30">
        <f t="shared" si="1095"/>
        <v>3345.2484000000031</v>
      </c>
      <c r="X2040" s="30">
        <f t="shared" si="1096"/>
        <v>182.00000000000074</v>
      </c>
      <c r="Y2040" s="40">
        <f t="shared" si="1097"/>
        <v>8.4093725490196156E-2</v>
      </c>
    </row>
    <row r="2041" spans="1:27" s="13" customFormat="1" hidden="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15.55</v>
      </c>
      <c r="V2041" s="13">
        <f>IF(ISNA(VLOOKUP(LOWER(F2041)&amp;H2041,Prices!A:C,2,0)),0,VLOOKUP(LOWER(F2041)&amp;H2041,Prices!A:C,2,0))</f>
        <v>15.23</v>
      </c>
      <c r="W2041" s="13">
        <f t="shared" si="1095"/>
        <v>10377.473520000005</v>
      </c>
      <c r="X2041" s="13">
        <f t="shared" si="1096"/>
        <v>1408.0000000000014</v>
      </c>
      <c r="Y2041" s="43">
        <f t="shared" si="1097"/>
        <v>0.13393053430385635</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16.52</v>
      </c>
      <c r="V2042" s="30">
        <f>IF(ISNA(VLOOKUP(LOWER(F2042)&amp;H2042,Prices!A:C,2,0)),0,VLOOKUP(LOWER(F2042)&amp;H2042,Prices!A:C,2,0))</f>
        <v>16.59</v>
      </c>
      <c r="W2042" s="30">
        <f t="shared" si="1095"/>
        <v>3345.2484000000031</v>
      </c>
      <c r="X2042" s="30">
        <f t="shared" si="1096"/>
        <v>182.00000000000074</v>
      </c>
      <c r="Y2042" s="40">
        <f t="shared" si="1097"/>
        <v>8.4093725490196156E-2</v>
      </c>
    </row>
    <row r="2043" spans="1:27" s="13" customFormat="1" hidden="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8.2200000000000006</v>
      </c>
      <c r="V2043" s="13">
        <f>IF(ISNA(VLOOKUP(LOWER(F2043)&amp;H2043,Prices!A:C,2,0)),0,VLOOKUP(LOWER(F2043)&amp;H2043,Prices!A:C,2,0))</f>
        <v>8.0500000000000007</v>
      </c>
      <c r="W2043" s="13">
        <f t="shared" ref="W2043:W2049" si="1102">IF(I2043="B",(V2043+T2043)*K2043,(V2043+T2043)*K2043)</f>
        <v>560.65119999999524</v>
      </c>
      <c r="X2043" s="13">
        <f t="shared" ref="X2043:X2049" si="1103">K2043*(V2043-U2043)</f>
        <v>1359.9999999999995</v>
      </c>
      <c r="Y2043" s="43">
        <f t="shared" ref="Y2043:Y2049" si="1104">W2043/O2043</f>
        <v>8.6200984009839349E-3</v>
      </c>
      <c r="Z2043" s="49"/>
      <c r="AA2043" s="24"/>
    </row>
    <row r="2044" spans="1:27" s="13" customFormat="1" hidden="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41.3</v>
      </c>
      <c r="V2044" s="13">
        <f>IF(ISNA(VLOOKUP(LOWER(F2044)&amp;H2044,Prices!A:C,2,0)),0,VLOOKUP(LOWER(F2044)&amp;H2044,Prices!A:C,2,0))</f>
        <v>42.53</v>
      </c>
      <c r="W2044" s="13">
        <f t="shared" si="1102"/>
        <v>-37338.432000000001</v>
      </c>
      <c r="X2044" s="13">
        <f t="shared" si="1103"/>
        <v>-3690.0000000000118</v>
      </c>
      <c r="Y2044" s="43">
        <f t="shared" si="1104"/>
        <v>-0.41321859229747676</v>
      </c>
      <c r="Z2044" s="49"/>
      <c r="AA2044" s="24"/>
    </row>
    <row r="2045" spans="1:27" s="13" customFormat="1" hidden="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55.39</v>
      </c>
      <c r="V2045" s="13">
        <f>IF(ISNA(VLOOKUP(LOWER(F2045)&amp;H2045,Prices!A:C,2,0)),0,VLOOKUP(LOWER(F2045)&amp;H2045,Prices!A:C,2,0))</f>
        <v>57.19</v>
      </c>
      <c r="W2045" s="13">
        <f t="shared" si="1102"/>
        <v>-20434.16</v>
      </c>
      <c r="X2045" s="13">
        <f t="shared" si="1103"/>
        <v>-1799.9999999999973</v>
      </c>
      <c r="Y2045" s="43">
        <f t="shared" si="1104"/>
        <v>-0.55527608695652175</v>
      </c>
      <c r="Z2045" s="49"/>
      <c r="AA2045" s="24"/>
    </row>
    <row r="2046" spans="1:27" s="13" customFormat="1" hidden="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43.74</v>
      </c>
      <c r="V2046" s="13">
        <f>IF(ISNA(VLOOKUP(LOWER(F2046)&amp;H2046,Prices!A:C,2,0)),0,VLOOKUP(LOWER(F2046)&amp;H2046,Prices!A:C,2,0))</f>
        <v>45.67</v>
      </c>
      <c r="W2046" s="13">
        <f t="shared" si="1102"/>
        <v>-10140.528399999992</v>
      </c>
      <c r="X2046" s="13">
        <f t="shared" si="1103"/>
        <v>-4245.9999999999991</v>
      </c>
      <c r="Y2046" s="43">
        <f t="shared" si="1104"/>
        <v>-0.11212189469494252</v>
      </c>
      <c r="Z2046" s="49"/>
      <c r="AA2046" s="24"/>
    </row>
    <row r="2047" spans="1:27" s="13" customFormat="1" hidden="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31.44</v>
      </c>
      <c r="V2047" s="13">
        <f>IF(ISNA(VLOOKUP(LOWER(F2047)&amp;H2047,Prices!A:C,2,0)),0,VLOOKUP(LOWER(F2047)&amp;H2047,Prices!A:C,2,0))</f>
        <v>32.450000000000003</v>
      </c>
      <c r="W2047" s="13">
        <f t="shared" si="1102"/>
        <v>-2066.3879999999999</v>
      </c>
      <c r="X2047" s="13">
        <f t="shared" si="1103"/>
        <v>-3030.0000000000045</v>
      </c>
      <c r="Y2047" s="43">
        <f t="shared" si="1104"/>
        <v>-2.1660251572327042E-2</v>
      </c>
      <c r="Z2047" s="49"/>
      <c r="AA2047" s="24"/>
    </row>
    <row r="2048" spans="1:27" s="13" customFormat="1" hidden="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650.07000000000005</v>
      </c>
      <c r="V2048" s="13">
        <f>IF(ISNA(VLOOKUP(LOWER(F2048)&amp;H2048,Prices!A:C,2,0)),0,VLOOKUP(LOWER(F2048)&amp;H2048,Prices!A:C,2,0))</f>
        <v>677.95</v>
      </c>
      <c r="W2048" s="13">
        <f t="shared" si="1102"/>
        <v>-66578.104280000014</v>
      </c>
      <c r="X2048" s="13">
        <f t="shared" si="1103"/>
        <v>-8363.9999999999982</v>
      </c>
      <c r="Y2048" s="43">
        <f t="shared" si="1104"/>
        <v>-0.48606380977411784</v>
      </c>
      <c r="Z2048" s="49"/>
      <c r="AA2048" s="24"/>
    </row>
    <row r="2049" spans="1:27" s="13" customFormat="1" hidden="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18.12</v>
      </c>
      <c r="V2049" s="13">
        <f>IF(ISNA(VLOOKUP(LOWER(F2049)&amp;H2049,Prices!A:C,2,0)),0,VLOOKUP(LOWER(F2049)&amp;H2049,Prices!A:C,2,0))</f>
        <v>19</v>
      </c>
      <c r="W2049" s="13">
        <f t="shared" si="1102"/>
        <v>-12862.116399999997</v>
      </c>
      <c r="X2049" s="13">
        <f t="shared" si="1103"/>
        <v>-4223.9999999999955</v>
      </c>
      <c r="Y2049" s="43">
        <f t="shared" si="1104"/>
        <v>-0.16399067217462257</v>
      </c>
      <c r="Z2049" s="49"/>
      <c r="AA2049" s="24"/>
    </row>
    <row r="2050" spans="1:27" s="13" customFormat="1" hidden="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31.44</v>
      </c>
      <c r="V2050" s="13">
        <f>IF(ISNA(VLOOKUP(LOWER(F2050)&amp;H2050,Prices!A:C,2,0)),0,VLOOKUP(LOWER(F2050)&amp;H2050,Prices!A:C,2,0))</f>
        <v>32.450000000000003</v>
      </c>
      <c r="W2050" s="13">
        <f t="shared" ref="W2050:W2076" si="1109">IF(I2050="B",(V2050+T2050)*K2050,(V2050+T2050)*K2050)</f>
        <v>-478.98175999999921</v>
      </c>
      <c r="X2050" s="13">
        <f t="shared" ref="X2050:X2076" si="1110">K2050*(V2050-U2050)</f>
        <v>-1212.0000000000018</v>
      </c>
      <c r="Y2050" s="43">
        <f t="shared" ref="Y2050:Y2076" si="1111">W2050/O2050</f>
        <v>-1.2438500051937237E-2</v>
      </c>
      <c r="Z2050" s="49"/>
      <c r="AA2050" s="24"/>
    </row>
    <row r="2051" spans="1:27" s="13" customFormat="1" hidden="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43.74</v>
      </c>
      <c r="V2051" s="13">
        <f>IF(ISNA(VLOOKUP(LOWER(F2051)&amp;H2051,Prices!A:C,2,0)),0,VLOOKUP(LOWER(F2051)&amp;H2051,Prices!A:C,2,0))</f>
        <v>45.67</v>
      </c>
      <c r="W2051" s="13">
        <f t="shared" si="1109"/>
        <v>-9278.5920000000042</v>
      </c>
      <c r="X2051" s="13">
        <f t="shared" si="1110"/>
        <v>-3859.9999999999995</v>
      </c>
      <c r="Y2051" s="43">
        <f t="shared" si="1111"/>
        <v>-0.11293320350535546</v>
      </c>
      <c r="Z2051" s="49"/>
      <c r="AA2051" s="24"/>
    </row>
    <row r="2052" spans="1:27" s="13" customFormat="1" hidden="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41.3</v>
      </c>
      <c r="V2052" s="13">
        <f>IF(ISNA(VLOOKUP(LOWER(F2052)&amp;H2052,Prices!A:C,2,0)),0,VLOOKUP(LOWER(F2052)&amp;H2052,Prices!A:C,2,0))</f>
        <v>42.53</v>
      </c>
      <c r="W2052" s="13">
        <f t="shared" si="1109"/>
        <v>-25731.279999999999</v>
      </c>
      <c r="X2052" s="13">
        <f t="shared" si="1110"/>
        <v>-2460.0000000000082</v>
      </c>
      <c r="Y2052" s="43">
        <f t="shared" si="1111"/>
        <v>-0.43318653198653195</v>
      </c>
      <c r="Z2052" s="49"/>
      <c r="AA2052" s="24"/>
    </row>
    <row r="2053" spans="1:27" s="13" customFormat="1" hidden="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16.100000000000001</v>
      </c>
      <c r="V2053" s="13">
        <f>IF(ISNA(VLOOKUP(LOWER(F2053)&amp;H2053,Prices!A:C,2,0)),0,VLOOKUP(LOWER(F2053)&amp;H2053,Prices!A:C,2,0))</f>
        <v>16.100000000000001</v>
      </c>
      <c r="W2053" s="13">
        <f t="shared" si="1109"/>
        <v>2612.6015600000014</v>
      </c>
      <c r="X2053" s="13">
        <f t="shared" si="1110"/>
        <v>0</v>
      </c>
      <c r="Y2053" s="43">
        <f t="shared" si="1111"/>
        <v>0.13114152996687087</v>
      </c>
      <c r="Z2053" s="49"/>
      <c r="AA2053" s="24"/>
    </row>
    <row r="2054" spans="1:27" s="13" customFormat="1" hidden="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55.39</v>
      </c>
      <c r="V2054" s="13">
        <f>IF(ISNA(VLOOKUP(LOWER(F2054)&amp;H2054,Prices!A:C,2,0)),0,VLOOKUP(LOWER(F2054)&amp;H2054,Prices!A:C,2,0))</f>
        <v>57.19</v>
      </c>
      <c r="W2054" s="13">
        <f t="shared" si="1109"/>
        <v>23422.104200000002</v>
      </c>
      <c r="X2054" s="13">
        <f t="shared" si="1110"/>
        <v>1979.9999999999968</v>
      </c>
      <c r="Y2054" s="43">
        <f t="shared" si="1111"/>
        <v>0.59328007801616056</v>
      </c>
      <c r="Z2054" s="49"/>
      <c r="AA2054" s="24"/>
    </row>
    <row r="2055" spans="1:27" s="13" customFormat="1" hidden="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16.100000000000001</v>
      </c>
      <c r="V2055" s="13">
        <f>IF(ISNA(VLOOKUP(LOWER(F2055)&amp;H2055,Prices!A:C,2,0)),0,VLOOKUP(LOWER(F2055)&amp;H2055,Prices!A:C,2,0))</f>
        <v>16.100000000000001</v>
      </c>
      <c r="W2055" s="13">
        <f t="shared" si="1109"/>
        <v>4851.5058000000045</v>
      </c>
      <c r="X2055" s="13">
        <f t="shared" si="1110"/>
        <v>0</v>
      </c>
      <c r="Y2055" s="43">
        <f t="shared" si="1111"/>
        <v>0.125654125874126</v>
      </c>
      <c r="Z2055" s="49"/>
      <c r="AA2055" s="24"/>
    </row>
    <row r="2056" spans="1:27" s="13" customFormat="1" hidden="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650.07000000000005</v>
      </c>
      <c r="V2056" s="13">
        <f>IF(ISNA(VLOOKUP(LOWER(F2056)&amp;H2056,Prices!A:C,2,0)),0,VLOOKUP(LOWER(F2056)&amp;H2056,Prices!A:C,2,0))</f>
        <v>677.95</v>
      </c>
      <c r="W2056" s="13">
        <f t="shared" si="1109"/>
        <v>22869.118480000005</v>
      </c>
      <c r="X2056" s="13">
        <f t="shared" si="1110"/>
        <v>2787.9999999999995</v>
      </c>
      <c r="Y2056" s="43">
        <f t="shared" si="1111"/>
        <v>0.50915305191913807</v>
      </c>
      <c r="Z2056" s="49"/>
      <c r="AA2056" s="24"/>
    </row>
    <row r="2057" spans="1:27" s="13" customFormat="1" hidden="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43.74</v>
      </c>
      <c r="V2057" s="13">
        <f>IF(ISNA(VLOOKUP(LOWER(F2057)&amp;H2057,Prices!A:C,2,0)),0,VLOOKUP(LOWER(F2057)&amp;H2057,Prices!A:C,2,0))</f>
        <v>45.67</v>
      </c>
      <c r="W2057" s="13">
        <f t="shared" si="1109"/>
        <v>3133.0000000000027</v>
      </c>
      <c r="X2057" s="13">
        <f t="shared" si="1110"/>
        <v>1157.9999999999998</v>
      </c>
      <c r="Y2057" s="43">
        <f t="shared" si="1111"/>
        <v>0.12912133201450721</v>
      </c>
      <c r="Z2057" s="49"/>
      <c r="AA2057" s="24"/>
    </row>
    <row r="2058" spans="1:27" s="13" customFormat="1" hidden="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43.74</v>
      </c>
      <c r="V2058" s="13">
        <f>IF(ISNA(VLOOKUP(LOWER(F2058)&amp;H2058,Prices!A:C,2,0)),0,VLOOKUP(LOWER(F2058)&amp;H2058,Prices!A:C,2,0))</f>
        <v>45.67</v>
      </c>
      <c r="W2058" s="13">
        <f t="shared" si="1109"/>
        <v>3091.0000000000027</v>
      </c>
      <c r="X2058" s="13">
        <f t="shared" si="1110"/>
        <v>1157.9999999999998</v>
      </c>
      <c r="Y2058" s="43">
        <f t="shared" si="1111"/>
        <v>0.12717024602978699</v>
      </c>
      <c r="Z2058" s="49"/>
      <c r="AA2058" s="24"/>
    </row>
    <row r="2059" spans="1:27" s="13" customFormat="1" hidden="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55.39</v>
      </c>
      <c r="V2059" s="13">
        <f>IF(ISNA(VLOOKUP(LOWER(F2059)&amp;H2059,Prices!A:C,2,0)),0,VLOOKUP(LOWER(F2059)&amp;H2059,Prices!A:C,2,0))</f>
        <v>57.19</v>
      </c>
      <c r="W2059" s="13">
        <f t="shared" si="1109"/>
        <v>12721</v>
      </c>
      <c r="X2059" s="13">
        <f t="shared" si="1110"/>
        <v>1079.9999999999982</v>
      </c>
      <c r="Y2059" s="43">
        <f t="shared" si="1111"/>
        <v>0.5892625532703355</v>
      </c>
      <c r="Z2059" s="49"/>
      <c r="AA2059" s="24"/>
    </row>
    <row r="2060" spans="1:27" s="13" customFormat="1" hidden="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43.74</v>
      </c>
      <c r="V2060" s="13">
        <f>IF(ISNA(VLOOKUP(LOWER(F2060)&amp;H2060,Prices!A:C,2,0)),0,VLOOKUP(LOWER(F2060)&amp;H2060,Prices!A:C,2,0))</f>
        <v>45.67</v>
      </c>
      <c r="W2060" s="13">
        <f t="shared" si="1109"/>
        <v>2554.9999999999995</v>
      </c>
      <c r="X2060" s="13">
        <f t="shared" si="1110"/>
        <v>964.99999999999989</v>
      </c>
      <c r="Y2060" s="43">
        <f t="shared" si="1111"/>
        <v>0.1260172626387176</v>
      </c>
      <c r="Z2060" s="49"/>
      <c r="AA2060" s="24"/>
    </row>
    <row r="2061" spans="1:27" s="13" customFormat="1" hidden="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55.39</v>
      </c>
      <c r="V2061" s="13">
        <f>IF(ISNA(VLOOKUP(LOWER(F2061)&amp;H2061,Prices!A:C,2,0)),0,VLOOKUP(LOWER(F2061)&amp;H2061,Prices!A:C,2,0))</f>
        <v>57.19</v>
      </c>
      <c r="W2061" s="13">
        <f t="shared" si="1109"/>
        <v>12619</v>
      </c>
      <c r="X2061" s="13">
        <f t="shared" si="1110"/>
        <v>1079.9999999999982</v>
      </c>
      <c r="Y2061" s="43">
        <f t="shared" si="1111"/>
        <v>0.58178884278469345</v>
      </c>
      <c r="Z2061" s="49"/>
      <c r="AA2061" s="24"/>
    </row>
    <row r="2062" spans="1:27" s="13" customFormat="1" hidden="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55.39</v>
      </c>
      <c r="V2062" s="13">
        <f>IF(ISNA(VLOOKUP(LOWER(F2062)&amp;H2062,Prices!A:C,2,0)),0,VLOOKUP(LOWER(F2062)&amp;H2062,Prices!A:C,2,0))</f>
        <v>57.19</v>
      </c>
      <c r="W2062" s="13">
        <f t="shared" si="1109"/>
        <v>12648.999999999998</v>
      </c>
      <c r="X2062" s="13">
        <f t="shared" si="1110"/>
        <v>1079.9999999999982</v>
      </c>
      <c r="Y2062" s="43">
        <f t="shared" si="1111"/>
        <v>0.58397968605724826</v>
      </c>
      <c r="Z2062" s="49"/>
      <c r="AA2062" s="24"/>
    </row>
    <row r="2063" spans="1:27" s="13" customFormat="1" hidden="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55.39</v>
      </c>
      <c r="V2063" s="13">
        <f>IF(ISNA(VLOOKUP(LOWER(F2063)&amp;H2063,Prices!A:C,2,0)),0,VLOOKUP(LOWER(F2063)&amp;H2063,Prices!A:C,2,0))</f>
        <v>57.19</v>
      </c>
      <c r="W2063" s="13">
        <f t="shared" si="1109"/>
        <v>12637</v>
      </c>
      <c r="X2063" s="13">
        <f t="shared" si="1110"/>
        <v>1079.9999999999982</v>
      </c>
      <c r="Y2063" s="43">
        <f t="shared" si="1111"/>
        <v>0.58310262089331855</v>
      </c>
      <c r="Z2063" s="49"/>
      <c r="AA2063" s="24"/>
    </row>
    <row r="2064" spans="1:27" s="13" customFormat="1" hidden="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55.39</v>
      </c>
      <c r="V2064" s="13">
        <f>IF(ISNA(VLOOKUP(LOWER(F2064)&amp;H2064,Prices!A:C,2,0)),0,VLOOKUP(LOWER(F2064)&amp;H2064,Prices!A:C,2,0))</f>
        <v>57.19</v>
      </c>
      <c r="W2064" s="13">
        <f t="shared" si="1109"/>
        <v>12601</v>
      </c>
      <c r="X2064" s="13">
        <f t="shared" si="1110"/>
        <v>1079.9999999999982</v>
      </c>
      <c r="Y2064" s="43">
        <f t="shared" si="1111"/>
        <v>0.58047724341256679</v>
      </c>
      <c r="Z2064" s="49"/>
      <c r="AA2064" s="24"/>
    </row>
    <row r="2065" spans="1:27" s="13" customFormat="1" hidden="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43.74</v>
      </c>
      <c r="V2065" s="13">
        <f>IF(ISNA(VLOOKUP(LOWER(F2065)&amp;H2065,Prices!A:C,2,0)),0,VLOOKUP(LOWER(F2065)&amp;H2065,Prices!A:C,2,0))</f>
        <v>45.67</v>
      </c>
      <c r="W2065" s="13">
        <f t="shared" si="1109"/>
        <v>4465.6740000000009</v>
      </c>
      <c r="X2065" s="13">
        <f t="shared" si="1110"/>
        <v>1736.9999999999998</v>
      </c>
      <c r="Y2065" s="43">
        <f t="shared" si="1111"/>
        <v>0.12191302211302214</v>
      </c>
      <c r="Z2065" s="49"/>
      <c r="AA2065" s="24"/>
    </row>
    <row r="2066" spans="1:27" s="13" customFormat="1" hidden="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43.74</v>
      </c>
      <c r="V2066" s="13">
        <f>IF(ISNA(VLOOKUP(LOWER(F2066)&amp;H2066,Prices!A:C,2,0)),0,VLOOKUP(LOWER(F2066)&amp;H2066,Prices!A:C,2,0))</f>
        <v>45.67</v>
      </c>
      <c r="W2066" s="13">
        <f t="shared" si="1109"/>
        <v>4465.6740000000009</v>
      </c>
      <c r="X2066" s="13">
        <f t="shared" si="1110"/>
        <v>1736.9999999999998</v>
      </c>
      <c r="Y2066" s="43">
        <f t="shared" si="1111"/>
        <v>0.12191302211302214</v>
      </c>
      <c r="Z2066" s="49"/>
      <c r="AA2066" s="24"/>
    </row>
    <row r="2067" spans="1:27" s="13" customFormat="1" hidden="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43.74</v>
      </c>
      <c r="V2067" s="13">
        <f>IF(ISNA(VLOOKUP(LOWER(F2067)&amp;H2067,Prices!A:C,2,0)),0,VLOOKUP(LOWER(F2067)&amp;H2067,Prices!A:C,2,0))</f>
        <v>45.67</v>
      </c>
      <c r="W2067" s="13">
        <f t="shared" si="1109"/>
        <v>1987.0000000000005</v>
      </c>
      <c r="X2067" s="13">
        <f t="shared" si="1110"/>
        <v>771.99999999999989</v>
      </c>
      <c r="Y2067" s="43">
        <f t="shared" si="1111"/>
        <v>0.1220815925288769</v>
      </c>
      <c r="Z2067" s="49"/>
      <c r="AA2067" s="24"/>
    </row>
    <row r="2068" spans="1:27" s="13" customFormat="1" hidden="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650.07000000000005</v>
      </c>
      <c r="V2068" s="13">
        <f>IF(ISNA(VLOOKUP(LOWER(F2068)&amp;H2068,Prices!A:C,2,0)),0,VLOOKUP(LOWER(F2068)&amp;H2068,Prices!A:C,2,0))</f>
        <v>677.95</v>
      </c>
      <c r="W2068" s="13">
        <f t="shared" si="1109"/>
        <v>22774.097580000001</v>
      </c>
      <c r="X2068" s="13">
        <f t="shared" si="1110"/>
        <v>2787.9999999999995</v>
      </c>
      <c r="Y2068" s="43">
        <f t="shared" si="1111"/>
        <v>0.50596737641909761</v>
      </c>
      <c r="Z2068" s="49"/>
      <c r="AA2068" s="24"/>
    </row>
    <row r="2069" spans="1:27" s="13" customFormat="1" hidden="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43.74</v>
      </c>
      <c r="V2069" s="13">
        <f>IF(ISNA(VLOOKUP(LOWER(F2069)&amp;H2069,Prices!A:C,2,0)),0,VLOOKUP(LOWER(F2069)&amp;H2069,Prices!A:C,2,0))</f>
        <v>45.67</v>
      </c>
      <c r="W2069" s="13">
        <f t="shared" si="1109"/>
        <v>4105.5152000000016</v>
      </c>
      <c r="X2069" s="13">
        <f t="shared" si="1110"/>
        <v>1543.9999999999998</v>
      </c>
      <c r="Y2069" s="43">
        <f t="shared" si="1111"/>
        <v>0.12661963977300769</v>
      </c>
      <c r="Z2069" s="49"/>
      <c r="AA2069" s="24"/>
    </row>
    <row r="2070" spans="1:27" s="13" customFormat="1" hidden="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650.07000000000005</v>
      </c>
      <c r="V2070" s="13">
        <f>IF(ISNA(VLOOKUP(LOWER(F2070)&amp;H2070,Prices!A:C,2,0)),0,VLOOKUP(LOWER(F2070)&amp;H2070,Prices!A:C,2,0))</f>
        <v>677.95</v>
      </c>
      <c r="W2070" s="13">
        <f t="shared" si="1109"/>
        <v>23055.159400000004</v>
      </c>
      <c r="X2070" s="13">
        <f t="shared" si="1110"/>
        <v>2787.9999999999995</v>
      </c>
      <c r="Y2070" s="43">
        <f t="shared" si="1111"/>
        <v>0.5154294522691707</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16.52</v>
      </c>
      <c r="V2071" s="30">
        <f>IF(ISNA(VLOOKUP(LOWER(F2071)&amp;H2071,Prices!A:C,2,0)),0,VLOOKUP(LOWER(F2071)&amp;H2071,Prices!A:C,2,0))</f>
        <v>16.59</v>
      </c>
      <c r="W2071" s="30">
        <f t="shared" si="1109"/>
        <v>1990.6431879999991</v>
      </c>
      <c r="X2071" s="30">
        <f t="shared" si="1110"/>
        <v>73.15000000000029</v>
      </c>
      <c r="Y2071" s="40">
        <f t="shared" si="1111"/>
        <v>0.12976305933275095</v>
      </c>
    </row>
    <row r="2072" spans="1:27" s="13" customFormat="1" hidden="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41.3</v>
      </c>
      <c r="V2072" s="13">
        <f>IF(ISNA(VLOOKUP(LOWER(F2072)&amp;H2072,Prices!A:C,2,0)),0,VLOOKUP(LOWER(F2072)&amp;H2072,Prices!A:C,2,0))</f>
        <v>42.53</v>
      </c>
      <c r="W2072" s="13">
        <f t="shared" si="1109"/>
        <v>8365</v>
      </c>
      <c r="X2072" s="13">
        <f t="shared" si="1110"/>
        <v>738.00000000000239</v>
      </c>
      <c r="Y2072" s="43">
        <f t="shared" si="1111"/>
        <v>0.48781198973641243</v>
      </c>
      <c r="Z2072" s="49"/>
      <c r="AA2072" s="24"/>
    </row>
    <row r="2073" spans="1:27" s="13" customFormat="1" hidden="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41.3</v>
      </c>
      <c r="V2073" s="13">
        <f>IF(ISNA(VLOOKUP(LOWER(F2073)&amp;H2073,Prices!A:C,2,0)),0,VLOOKUP(LOWER(F2073)&amp;H2073,Prices!A:C,2,0))</f>
        <v>42.53</v>
      </c>
      <c r="W2073" s="13">
        <f t="shared" si="1109"/>
        <v>8233</v>
      </c>
      <c r="X2073" s="13">
        <f t="shared" si="1110"/>
        <v>738.00000000000239</v>
      </c>
      <c r="Y2073" s="43">
        <f t="shared" si="1111"/>
        <v>0.47644675925925928</v>
      </c>
      <c r="Z2073" s="49"/>
      <c r="AA2073" s="24"/>
    </row>
    <row r="2074" spans="1:27" s="13" customFormat="1" hidden="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16.100000000000001</v>
      </c>
      <c r="V2074" s="13">
        <f>IF(ISNA(VLOOKUP(LOWER(F2074)&amp;H2074,Prices!A:C,2,0)),0,VLOOKUP(LOWER(F2074)&amp;H2074,Prices!A:C,2,0))</f>
        <v>16.100000000000001</v>
      </c>
      <c r="W2074" s="13">
        <f t="shared" si="1109"/>
        <v>4359.7517600000119</v>
      </c>
      <c r="X2074" s="13">
        <f t="shared" si="1110"/>
        <v>0</v>
      </c>
      <c r="Y2074" s="43">
        <f t="shared" si="1111"/>
        <v>0.11628485436893236</v>
      </c>
      <c r="Z2074" s="49"/>
      <c r="AA2074" s="24"/>
    </row>
    <row r="2075" spans="1:27" s="13" customFormat="1" hidden="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41.3</v>
      </c>
      <c r="V2075" s="13">
        <f>IF(ISNA(VLOOKUP(LOWER(F2075)&amp;H2075,Prices!A:C,2,0)),0,VLOOKUP(LOWER(F2075)&amp;H2075,Prices!A:C,2,0))</f>
        <v>42.53</v>
      </c>
      <c r="W2075" s="13">
        <f t="shared" si="1109"/>
        <v>80185.008000000016</v>
      </c>
      <c r="X2075" s="13">
        <f t="shared" si="1110"/>
        <v>7380.0000000000236</v>
      </c>
      <c r="Y2075" s="43">
        <f t="shared" si="1111"/>
        <v>0.4583048010973938</v>
      </c>
      <c r="Z2075" s="49"/>
      <c r="AA2075" s="24"/>
    </row>
    <row r="2076" spans="1:27" s="13" customFormat="1" hidden="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41.3</v>
      </c>
      <c r="V2076" s="13">
        <f>IF(ISNA(VLOOKUP(LOWER(F2076)&amp;H2076,Prices!A:C,2,0)),0,VLOOKUP(LOWER(F2076)&amp;H2076,Prices!A:C,2,0))</f>
        <v>42.53</v>
      </c>
      <c r="W2076" s="13">
        <f t="shared" si="1109"/>
        <v>16073.008800000003</v>
      </c>
      <c r="X2076" s="13">
        <f t="shared" si="1110"/>
        <v>1476.0000000000048</v>
      </c>
      <c r="Y2076" s="43">
        <f t="shared" si="1111"/>
        <v>0.45980686577411611</v>
      </c>
      <c r="Z2076" s="49"/>
      <c r="AA2076" s="24"/>
    </row>
    <row r="2077" spans="1:27" s="13" customFormat="1" hidden="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8.2200000000000006</v>
      </c>
      <c r="V2077" s="13">
        <f>IF(ISNA(VLOOKUP(LOWER(F2077)&amp;H2077,Prices!A:C,2,0)),0,VLOOKUP(LOWER(F2077)&amp;H2077,Prices!A:C,2,0))</f>
        <v>8.0500000000000007</v>
      </c>
      <c r="W2077" s="13">
        <f t="shared" ref="W2077:W2092" si="1120">IF(I2077="B",(V2077+T2077)*K2077,(V2077+T2077)*K2077)</f>
        <v>120.21399999999538</v>
      </c>
      <c r="X2077" s="13">
        <f t="shared" ref="X2077:X2092" si="1121">K2077*(V2077-U2077)</f>
        <v>509.99999999999977</v>
      </c>
      <c r="Y2077" s="43">
        <f t="shared" ref="Y2077:Y2092" si="1122">W2077/O2077</f>
        <v>4.9470781893002211E-3</v>
      </c>
      <c r="Z2077" s="49"/>
      <c r="AA2077" s="24"/>
    </row>
    <row r="2078" spans="1:27" s="13" customFormat="1" hidden="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55.39</v>
      </c>
      <c r="V2078" s="13">
        <f>IF(ISNA(VLOOKUP(LOWER(F2078)&amp;H2078,Prices!A:C,2,0)),0,VLOOKUP(LOWER(F2078)&amp;H2078,Prices!A:C,2,0))</f>
        <v>57.19</v>
      </c>
      <c r="W2078" s="13">
        <f t="shared" si="1120"/>
        <v>-23433.424599999991</v>
      </c>
      <c r="X2078" s="13">
        <f t="shared" si="1121"/>
        <v>-1979.9999999999968</v>
      </c>
      <c r="Y2078" s="43">
        <f t="shared" si="1122"/>
        <v>-0.59290601927991271</v>
      </c>
      <c r="Z2078" s="49"/>
      <c r="AA2078" s="24"/>
    </row>
    <row r="2079" spans="1:27" s="13" customFormat="1" hidden="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16.100000000000001</v>
      </c>
      <c r="V2079" s="13">
        <f>IF(ISNA(VLOOKUP(LOWER(F2079)&amp;H2079,Prices!A:C,2,0)),0,VLOOKUP(LOWER(F2079)&amp;H2079,Prices!A:C,2,0))</f>
        <v>16.100000000000001</v>
      </c>
      <c r="W2079" s="13">
        <f t="shared" si="1120"/>
        <v>-5368.5072000000018</v>
      </c>
      <c r="X2079" s="13">
        <f t="shared" si="1121"/>
        <v>0</v>
      </c>
      <c r="Y2079" s="43">
        <f t="shared" si="1122"/>
        <v>-0.13502281690140849</v>
      </c>
      <c r="Z2079" s="49"/>
      <c r="AA2079" s="24"/>
    </row>
    <row r="2080" spans="1:27" s="13" customFormat="1" hidden="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650.07000000000005</v>
      </c>
      <c r="V2080" s="13">
        <f>IF(ISNA(VLOOKUP(LOWER(F2080)&amp;H2080,Prices!A:C,2,0)),0,VLOOKUP(LOWER(F2080)&amp;H2080,Prices!A:C,2,0))</f>
        <v>677.95</v>
      </c>
      <c r="W2080" s="13">
        <f t="shared" si="1120"/>
        <v>-22670.119600000005</v>
      </c>
      <c r="X2080" s="13">
        <f t="shared" si="1121"/>
        <v>-2787.9999999999995</v>
      </c>
      <c r="Y2080" s="43">
        <f t="shared" si="1122"/>
        <v>-0.50177334218680847</v>
      </c>
      <c r="Z2080" s="49"/>
      <c r="AA2080" s="24"/>
    </row>
    <row r="2081" spans="1:27" s="13" customFormat="1" hidden="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27.07</v>
      </c>
      <c r="V2081" s="13">
        <f>IF(ISNA(VLOOKUP(LOWER(F2081)&amp;H2081,Prices!A:C,2,0)),0,VLOOKUP(LOWER(F2081)&amp;H2081,Prices!A:C,2,0))</f>
        <v>27.07</v>
      </c>
      <c r="W2081" s="13">
        <f t="shared" si="1120"/>
        <v>-1042.9959999999994</v>
      </c>
      <c r="X2081" s="13">
        <f t="shared" si="1121"/>
        <v>0</v>
      </c>
      <c r="Y2081" s="43">
        <f t="shared" si="1122"/>
        <v>-0.10642816326530606</v>
      </c>
      <c r="Z2081" s="49"/>
      <c r="AA2081" s="24"/>
    </row>
    <row r="2082" spans="1:27" s="13" customFormat="1" hidden="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27.07</v>
      </c>
      <c r="V2082" s="13">
        <f>IF(ISNA(VLOOKUP(LOWER(F2082)&amp;H2082,Prices!A:C,2,0)),0,VLOOKUP(LOWER(F2082)&amp;H2082,Prices!A:C,2,0))</f>
        <v>27.07</v>
      </c>
      <c r="W2082" s="13">
        <f t="shared" si="1120"/>
        <v>-5279.6823999999988</v>
      </c>
      <c r="X2082" s="13">
        <f t="shared" si="1121"/>
        <v>0</v>
      </c>
      <c r="Y2082" s="43">
        <f t="shared" si="1122"/>
        <v>-0.10792482420278002</v>
      </c>
      <c r="Z2082" s="49"/>
      <c r="AA2082" s="24"/>
    </row>
    <row r="2083" spans="1:27" s="13" customFormat="1" hidden="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43.74</v>
      </c>
      <c r="V2083" s="13">
        <f>IF(ISNA(VLOOKUP(LOWER(F2083)&amp;H2083,Prices!A:C,2,0)),0,VLOOKUP(LOWER(F2083)&amp;H2083,Prices!A:C,2,0))</f>
        <v>45.67</v>
      </c>
      <c r="W2083" s="13">
        <f t="shared" si="1120"/>
        <v>-11076.432000000012</v>
      </c>
      <c r="X2083" s="13">
        <f t="shared" si="1121"/>
        <v>-3859.9999999999995</v>
      </c>
      <c r="Y2083" s="43">
        <f t="shared" si="1122"/>
        <v>-0.13783514186162285</v>
      </c>
      <c r="Z2083" s="49"/>
      <c r="AA2083" s="24"/>
    </row>
    <row r="2084" spans="1:27" s="13" customFormat="1" hidden="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55.39</v>
      </c>
      <c r="V2084" s="13">
        <f>IF(ISNA(VLOOKUP(LOWER(F2084)&amp;H2084,Prices!A:C,2,0)),0,VLOOKUP(LOWER(F2084)&amp;H2084,Prices!A:C,2,0))</f>
        <v>57.19</v>
      </c>
      <c r="W2084" s="13">
        <f t="shared" si="1120"/>
        <v>-42845.943999999989</v>
      </c>
      <c r="X2084" s="13">
        <f t="shared" si="1121"/>
        <v>-3599.9999999999945</v>
      </c>
      <c r="Y2084" s="43">
        <f t="shared" si="1122"/>
        <v>-0.59823993297961442</v>
      </c>
      <c r="Z2084" s="49"/>
      <c r="AA2084" s="24"/>
    </row>
    <row r="2085" spans="1:27" s="13" customFormat="1" hidden="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43.74</v>
      </c>
      <c r="V2085" s="13">
        <f>IF(ISNA(VLOOKUP(LOWER(F2085)&amp;H2085,Prices!A:C,2,0)),0,VLOOKUP(LOWER(F2085)&amp;H2085,Prices!A:C,2,0))</f>
        <v>45.67</v>
      </c>
      <c r="W2085" s="13">
        <f t="shared" si="1120"/>
        <v>-12315.912800000002</v>
      </c>
      <c r="X2085" s="13">
        <f t="shared" si="1121"/>
        <v>-4245.9999999999991</v>
      </c>
      <c r="Y2085" s="43">
        <f t="shared" si="1122"/>
        <v>-0.13953494969636546</v>
      </c>
      <c r="Z2085" s="49"/>
      <c r="AA2085" s="24"/>
    </row>
    <row r="2086" spans="1:27" s="13" customFormat="1" hidden="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41.3</v>
      </c>
      <c r="V2086" s="13">
        <f>IF(ISNA(VLOOKUP(LOWER(F2086)&amp;H2086,Prices!A:C,2,0)),0,VLOOKUP(LOWER(F2086)&amp;H2086,Prices!A:C,2,0))</f>
        <v>42.53</v>
      </c>
      <c r="W2086" s="13">
        <f t="shared" si="1120"/>
        <v>-41503.428000000007</v>
      </c>
      <c r="X2086" s="13">
        <f t="shared" si="1121"/>
        <v>-3690.0000000000118</v>
      </c>
      <c r="Y2086" s="43">
        <f t="shared" si="1122"/>
        <v>-0.48153414549251661</v>
      </c>
      <c r="Z2086" s="49"/>
      <c r="AA2086" s="24"/>
    </row>
    <row r="2087" spans="1:27" s="13" customFormat="1" hidden="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650.07000000000005</v>
      </c>
      <c r="V2087" s="13">
        <f>IF(ISNA(VLOOKUP(LOWER(F2087)&amp;H2087,Prices!A:C,2,0)),0,VLOOKUP(LOWER(F2087)&amp;H2087,Prices!A:C,2,0))</f>
        <v>677.95</v>
      </c>
      <c r="W2087" s="13">
        <f t="shared" si="1120"/>
        <v>-90584.599520000032</v>
      </c>
      <c r="X2087" s="13">
        <f t="shared" si="1121"/>
        <v>-11151.999999999998</v>
      </c>
      <c r="Y2087" s="43">
        <f t="shared" si="1122"/>
        <v>-0.50097668082470592</v>
      </c>
      <c r="Z2087" s="49"/>
      <c r="AA2087" s="24"/>
    </row>
    <row r="2088" spans="1:27" s="13" customFormat="1" hidden="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8.2200000000000006</v>
      </c>
      <c r="V2088" s="13">
        <f>IF(ISNA(VLOOKUP(LOWER(F2088)&amp;H2088,Prices!A:C,2,0)),0,VLOOKUP(LOWER(F2088)&amp;H2088,Prices!A:C,2,0))</f>
        <v>8.0500000000000007</v>
      </c>
      <c r="W2088" s="13">
        <f t="shared" si="1120"/>
        <v>99.426659999994797</v>
      </c>
      <c r="X2088" s="13">
        <f t="shared" si="1121"/>
        <v>560.99999999999977</v>
      </c>
      <c r="Y2088" s="43">
        <f t="shared" si="1122"/>
        <v>3.7242634003818707E-3</v>
      </c>
      <c r="Z2088" s="49"/>
      <c r="AA2088" s="24"/>
    </row>
    <row r="2089" spans="1:27" s="13" customFormat="1" hidden="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16.100000000000001</v>
      </c>
      <c r="V2089" s="13">
        <f>IF(ISNA(VLOOKUP(LOWER(F2089)&amp;H2089,Prices!A:C,2,0)),0,VLOOKUP(LOWER(F2089)&amp;H2089,Prices!A:C,2,0))</f>
        <v>16.100000000000001</v>
      </c>
      <c r="W2089" s="13">
        <f t="shared" si="1120"/>
        <v>-9736.4370000000108</v>
      </c>
      <c r="X2089" s="13">
        <f t="shared" si="1121"/>
        <v>0</v>
      </c>
      <c r="Y2089" s="43">
        <f t="shared" si="1122"/>
        <v>-0.13742324629498956</v>
      </c>
      <c r="Z2089" s="49"/>
      <c r="AA2089" s="24"/>
    </row>
    <row r="2090" spans="1:27" s="13" customFormat="1" hidden="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41.3</v>
      </c>
      <c r="V2090" s="13">
        <f>IF(ISNA(VLOOKUP(LOWER(F2090)&amp;H2090,Prices!A:C,2,0)),0,VLOOKUP(LOWER(F2090)&amp;H2090,Prices!A:C,2,0))</f>
        <v>42.53</v>
      </c>
      <c r="W2090" s="13">
        <f t="shared" si="1120"/>
        <v>-60564.063999999998</v>
      </c>
      <c r="X2090" s="13">
        <f t="shared" si="1121"/>
        <v>-5412.0000000000173</v>
      </c>
      <c r="Y2090" s="43">
        <f t="shared" si="1122"/>
        <v>-0.47793611111111112</v>
      </c>
      <c r="Z2090" s="49"/>
      <c r="AA2090" s="24"/>
    </row>
    <row r="2091" spans="1:27" s="13" customFormat="1" hidden="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55.39</v>
      </c>
      <c r="V2091" s="13">
        <f>IF(ISNA(VLOOKUP(LOWER(F2091)&amp;H2091,Prices!A:C,2,0)),0,VLOOKUP(LOWER(F2091)&amp;H2091,Prices!A:C,2,0))</f>
        <v>57.19</v>
      </c>
      <c r="W2091" s="13">
        <f t="shared" si="1120"/>
        <v>-64328.843999999983</v>
      </c>
      <c r="X2091" s="13">
        <f t="shared" si="1121"/>
        <v>-5399.9999999999918</v>
      </c>
      <c r="Y2091" s="43">
        <f t="shared" si="1122"/>
        <v>-0.59913238334730357</v>
      </c>
      <c r="Z2091" s="49"/>
      <c r="AA2091" s="24"/>
    </row>
    <row r="2092" spans="1:27" s="13" customFormat="1" hidden="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27.07</v>
      </c>
      <c r="V2092" s="13">
        <f>IF(ISNA(VLOOKUP(LOWER(F2092)&amp;H2092,Prices!A:C,2,0)),0,VLOOKUP(LOWER(F2092)&amp;H2092,Prices!A:C,2,0))</f>
        <v>27.07</v>
      </c>
      <c r="W2092" s="13">
        <f t="shared" si="1120"/>
        <v>14323.380000000014</v>
      </c>
      <c r="X2092" s="13">
        <f t="shared" si="1121"/>
        <v>0</v>
      </c>
      <c r="Y2092" s="43">
        <f t="shared" si="1122"/>
        <v>0.11837504132231416</v>
      </c>
      <c r="Z2092" s="49" t="s">
        <v>4189</v>
      </c>
      <c r="AA2092" s="24"/>
    </row>
    <row r="2093" spans="1:27" s="13" customFormat="1" hidden="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31.44</v>
      </c>
      <c r="V2093" s="13">
        <f>IF(ISNA(VLOOKUP(LOWER(F2093)&amp;H2093,Prices!A:C,2,0)),0,VLOOKUP(LOWER(F2093)&amp;H2093,Prices!A:C,2,0))</f>
        <v>32.450000000000003</v>
      </c>
      <c r="W2093" s="13">
        <f t="shared" ref="W2093:W2096" si="1127">IF(I2093="B",(V2093+T2093)*K2093,(V2093+T2093)*K2093)</f>
        <v>930.49472000000435</v>
      </c>
      <c r="X2093" s="13">
        <f t="shared" ref="X2093:X2096" si="1128">K2093*(V2093-U2093)</f>
        <v>808.00000000000125</v>
      </c>
      <c r="Y2093" s="43">
        <f t="shared" ref="Y2093:Y2096" si="1129">W2093/O2093</f>
        <v>3.7184092071611427E-2</v>
      </c>
      <c r="Z2093" s="49"/>
      <c r="AA2093" s="24"/>
    </row>
    <row r="2094" spans="1:27" s="13" customFormat="1" hidden="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9.69</v>
      </c>
      <c r="V2094" s="13">
        <f>IF(ISNA(VLOOKUP(LOWER(F2094)&amp;H2094,Prices!A:C,2,0)),0,VLOOKUP(LOWER(F2094)&amp;H2094,Prices!A:C,2,0))</f>
        <v>9.4499999999999993</v>
      </c>
      <c r="W2094" s="13">
        <f t="shared" si="1127"/>
        <v>-975.20839999999964</v>
      </c>
      <c r="X2094" s="13">
        <f t="shared" si="1128"/>
        <v>-240.00000000000023</v>
      </c>
      <c r="Y2094" s="43">
        <f t="shared" si="1129"/>
        <v>-9.3590057581573863E-2</v>
      </c>
      <c r="Z2094" s="49" t="s">
        <v>4188</v>
      </c>
      <c r="AA2094" s="24"/>
    </row>
    <row r="2095" spans="1:27" s="13" customFormat="1" hidden="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66.33</v>
      </c>
      <c r="V2095" s="13">
        <f>IF(ISNA(VLOOKUP(LOWER(F2095)&amp;H2095,Prices!A:C,2,0)),0,VLOOKUP(LOWER(F2095)&amp;H2095,Prices!A:C,2,0))</f>
        <v>69.89</v>
      </c>
      <c r="W2095" s="13">
        <f t="shared" si="1127"/>
        <v>3311.7867799999999</v>
      </c>
      <c r="X2095" s="13">
        <f t="shared" si="1128"/>
        <v>712.00000000000045</v>
      </c>
      <c r="Y2095" s="43">
        <f t="shared" si="1129"/>
        <v>0.31064504080292654</v>
      </c>
      <c r="Z2095" s="49" t="s">
        <v>4188</v>
      </c>
      <c r="AA2095" s="24"/>
    </row>
    <row r="2096" spans="1:27" s="13" customFormat="1" hidden="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10.63</v>
      </c>
      <c r="V2096" s="13">
        <f>IF(ISNA(VLOOKUP(LOWER(F2096)&amp;H2096,Prices!A:C,2,0)),0,VLOOKUP(LOWER(F2096)&amp;H2096,Prices!A:C,2,0))</f>
        <v>10.44</v>
      </c>
      <c r="W2096" s="13">
        <f t="shared" si="1127"/>
        <v>-345.21559999999954</v>
      </c>
      <c r="X2096" s="13">
        <f t="shared" si="1128"/>
        <v>-190.00000000000128</v>
      </c>
      <c r="Y2096" s="43">
        <f t="shared" si="1129"/>
        <v>-3.2023710575139107E-2</v>
      </c>
      <c r="Z2096" s="49"/>
      <c r="AA2096" s="24"/>
    </row>
    <row r="2097" spans="1:27" s="13" customFormat="1" hidden="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27.07</v>
      </c>
      <c r="V2097" s="13">
        <f>IF(ISNA(VLOOKUP(LOWER(F2097)&amp;H2097,Prices!A:C,2,0)),0,VLOOKUP(LOWER(F2097)&amp;H2097,Prices!A:C,2,0))</f>
        <v>27.07</v>
      </c>
      <c r="W2097" s="13">
        <f t="shared" ref="W2097:W2098" si="1134">IF(I2097="B",(V2097+T2097)*K2097,(V2097+T2097)*K2097)</f>
        <v>-6211.6097999999911</v>
      </c>
      <c r="X2097" s="13">
        <f t="shared" ref="X2097:X2098" si="1135">K2097*(V2097-U2097)</f>
        <v>0</v>
      </c>
      <c r="Y2097" s="43">
        <f t="shared" ref="Y2097:Y2098" si="1136">W2097/O2097</f>
        <v>-8.2722197363164079E-2</v>
      </c>
      <c r="Z2097" s="49"/>
      <c r="AA2097" s="24"/>
    </row>
    <row r="2098" spans="1:27" s="13" customFormat="1" hidden="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16.100000000000001</v>
      </c>
      <c r="V2098" s="13">
        <f>IF(ISNA(VLOOKUP(LOWER(F2098)&amp;H2098,Prices!A:C,2,0)),0,VLOOKUP(LOWER(F2098)&amp;H2098,Prices!A:C,2,0))</f>
        <v>16.100000000000001</v>
      </c>
      <c r="W2098" s="13">
        <f t="shared" si="1134"/>
        <v>13.968359999995528</v>
      </c>
      <c r="X2098" s="13">
        <f t="shared" si="1135"/>
        <v>0</v>
      </c>
      <c r="Y2098" s="43">
        <f t="shared" si="1136"/>
        <v>6.1856168629862405E-4</v>
      </c>
      <c r="Z2098" s="49"/>
      <c r="AA2098" s="24"/>
    </row>
    <row r="2099" spans="1:27" s="13" customFormat="1" hidden="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8.2200000000000006</v>
      </c>
      <c r="V2099" s="13">
        <f>IF(ISNA(VLOOKUP(LOWER(F2099)&amp;H2099,Prices!A:C,2,0)),0,VLOOKUP(LOWER(F2099)&amp;H2099,Prices!A:C,2,0))</f>
        <v>8.0500000000000007</v>
      </c>
      <c r="W2099" s="13">
        <f t="shared" ref="W2099" si="1139">IF(I2099="B",(V2099+T2099)*K2099,(V2099+T2099)*K2099)</f>
        <v>181.34791999999999</v>
      </c>
      <c r="X2099" s="13">
        <f t="shared" ref="X2099" si="1140">K2099*(V2099-U2099)</f>
        <v>50.999999999999979</v>
      </c>
      <c r="Y2099" s="43">
        <f t="shared" ref="Y2099" si="1141">W2099/O2099</f>
        <v>6.9642058371735788E-2</v>
      </c>
      <c r="Z2099" s="49"/>
      <c r="AA2099" s="24"/>
    </row>
    <row r="2100" spans="1:27" s="13" customFormat="1" hidden="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66.33</v>
      </c>
      <c r="V2100" s="13">
        <f>IF(ISNA(VLOOKUP(LOWER(F2100)&amp;H2100,Prices!A:C,2,0)),0,VLOOKUP(LOWER(F2100)&amp;H2100,Prices!A:C,2,0))</f>
        <v>69.89</v>
      </c>
      <c r="W2100" s="13">
        <f t="shared" ref="W2100:W2102" si="1146">IF(I2100="B",(V2100+T2100)*K2100,(V2100+T2100)*K2100)</f>
        <v>11821.839540000003</v>
      </c>
      <c r="X2100" s="13">
        <f t="shared" ref="X2100:X2102" si="1147">K2100*(V2100-U2100)</f>
        <v>2492.0000000000018</v>
      </c>
      <c r="Y2100" s="43">
        <f t="shared" ref="Y2100:Y2102" si="1148">W2100/O2100</f>
        <v>0.31870809964144187</v>
      </c>
      <c r="Z2100" s="49"/>
      <c r="AA2100" s="24"/>
    </row>
    <row r="2101" spans="1:27" s="13" customFormat="1" hidden="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66.33</v>
      </c>
      <c r="V2101" s="13">
        <f>IF(ISNA(VLOOKUP(LOWER(F2101)&amp;H2101,Prices!A:C,2,0)),0,VLOOKUP(LOWER(F2101)&amp;H2101,Prices!A:C,2,0))</f>
        <v>69.89</v>
      </c>
      <c r="W2101" s="13">
        <f t="shared" si="1146"/>
        <v>11646.80104</v>
      </c>
      <c r="X2101" s="13">
        <f t="shared" si="1147"/>
        <v>2492.0000000000018</v>
      </c>
      <c r="Y2101" s="43">
        <f t="shared" si="1148"/>
        <v>0.31251478587528175</v>
      </c>
      <c r="Z2101" s="49"/>
      <c r="AA2101" s="24"/>
    </row>
    <row r="2102" spans="1:27" s="13" customFormat="1" hidden="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66.33</v>
      </c>
      <c r="V2102" s="13">
        <f>IF(ISNA(VLOOKUP(LOWER(F2102)&amp;H2102,Prices!A:C,2,0)),0,VLOOKUP(LOWER(F2102)&amp;H2102,Prices!A:C,2,0))</f>
        <v>69.89</v>
      </c>
      <c r="W2102" s="13">
        <f t="shared" si="1146"/>
        <v>11639.799500000005</v>
      </c>
      <c r="X2102" s="13">
        <f t="shared" si="1147"/>
        <v>2492.0000000000018</v>
      </c>
      <c r="Y2102" s="43">
        <f t="shared" si="1148"/>
        <v>0.31226826291079823</v>
      </c>
      <c r="Z2102" s="49"/>
      <c r="AA2102" s="24"/>
    </row>
    <row r="2103" spans="1:27" s="13" customFormat="1" hidden="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9.69</v>
      </c>
      <c r="V2103" s="13">
        <f>IF(ISNA(VLOOKUP(LOWER(F2103)&amp;H2103,Prices!A:C,2,0)),0,VLOOKUP(LOWER(F2103)&amp;H2103,Prices!A:C,2,0))</f>
        <v>9.4499999999999993</v>
      </c>
      <c r="W2103" s="13">
        <f t="shared" ref="W2103:W2111" si="1153">IF(I2103="B",(V2103+T2103)*K2103,(V2103+T2103)*K2103)</f>
        <v>-3165.308279999997</v>
      </c>
      <c r="X2103" s="13">
        <f t="shared" ref="X2103:X2111" si="1154">K2103*(V2103-U2103)</f>
        <v>-648.00000000000057</v>
      </c>
      <c r="Y2103" s="43">
        <f t="shared" ref="Y2103:Y2111" si="1155">W2103/O2103</f>
        <v>-0.11038949152542364</v>
      </c>
      <c r="Z2103" s="49"/>
      <c r="AA2103" s="24"/>
    </row>
    <row r="2104" spans="1:27" s="13" customFormat="1" hidden="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10.63</v>
      </c>
      <c r="V2104" s="13">
        <f>IF(ISNA(VLOOKUP(LOWER(F2104)&amp;H2104,Prices!A:C,2,0)),0,VLOOKUP(LOWER(F2104)&amp;H2104,Prices!A:C,2,0))</f>
        <v>10.44</v>
      </c>
      <c r="W2104" s="13">
        <f t="shared" si="1153"/>
        <v>-907.08840000000282</v>
      </c>
      <c r="X2104" s="13">
        <f t="shared" si="1154"/>
        <v>-570.00000000000387</v>
      </c>
      <c r="Y2104" s="43">
        <f t="shared" si="1155"/>
        <v>-2.8152960893854835E-2</v>
      </c>
      <c r="Z2104" s="49"/>
      <c r="AA2104" s="24"/>
    </row>
    <row r="2105" spans="1:27" s="13" customFormat="1" hidden="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9.69</v>
      </c>
      <c r="V2105" s="13">
        <f>IF(ISNA(VLOOKUP(LOWER(F2105)&amp;H2105,Prices!A:C,2,0)),0,VLOOKUP(LOWER(F2105)&amp;H2105,Prices!A:C,2,0))</f>
        <v>9.4499999999999993</v>
      </c>
      <c r="W2105" s="13">
        <f t="shared" si="1153"/>
        <v>-2325.4244000000026</v>
      </c>
      <c r="X2105" s="13">
        <f t="shared" si="1154"/>
        <v>-480.00000000000045</v>
      </c>
      <c r="Y2105" s="43">
        <f t="shared" si="1155"/>
        <v>-0.10958644674835073</v>
      </c>
      <c r="Z2105" s="49"/>
      <c r="AA2105" s="24"/>
    </row>
    <row r="2106" spans="1:27" s="13" customFormat="1" hidden="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650.07000000000005</v>
      </c>
      <c r="V2106" s="13">
        <f>IF(ISNA(VLOOKUP(LOWER(F2106)&amp;H2106,Prices!A:C,2,0)),0,VLOOKUP(LOWER(F2106)&amp;H2106,Prices!A:C,2,0))</f>
        <v>677.95</v>
      </c>
      <c r="W2106" s="13">
        <f t="shared" si="1153"/>
        <v>20184.528000000013</v>
      </c>
      <c r="X2106" s="13">
        <f t="shared" si="1154"/>
        <v>2787.9999999999995</v>
      </c>
      <c r="Y2106" s="43">
        <f t="shared" si="1155"/>
        <v>0.42404470588235321</v>
      </c>
      <c r="Z2106" s="49"/>
      <c r="AA2106" s="24"/>
    </row>
    <row r="2107" spans="1:27" s="13" customFormat="1" hidden="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9.69</v>
      </c>
      <c r="V2107" s="13">
        <f>IF(ISNA(VLOOKUP(LOWER(F2107)&amp;H2107,Prices!A:C,2,0)),0,VLOOKUP(LOWER(F2107)&amp;H2107,Prices!A:C,2,0))</f>
        <v>9.4499999999999993</v>
      </c>
      <c r="W2107" s="13">
        <f t="shared" si="1153"/>
        <v>-4522.6853800000008</v>
      </c>
      <c r="X2107" s="13">
        <f t="shared" si="1154"/>
        <v>-888.0000000000008</v>
      </c>
      <c r="Y2107" s="43">
        <f t="shared" si="1155"/>
        <v>-0.11455926897844426</v>
      </c>
      <c r="Z2107" s="49"/>
      <c r="AA2107" s="24"/>
    </row>
    <row r="2108" spans="1:27" s="13" customFormat="1" hidden="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10.63</v>
      </c>
      <c r="V2108" s="13">
        <f>IF(ISNA(VLOOKUP(LOWER(F2108)&amp;H2108,Prices!A:C,2,0)),0,VLOOKUP(LOWER(F2108)&amp;H2108,Prices!A:C,2,0))</f>
        <v>10.44</v>
      </c>
      <c r="W2108" s="13">
        <f t="shared" si="1153"/>
        <v>-1340.7912000000042</v>
      </c>
      <c r="X2108" s="13">
        <f t="shared" si="1154"/>
        <v>-703.00000000000477</v>
      </c>
      <c r="Y2108" s="43">
        <f t="shared" si="1155"/>
        <v>-3.3553333333333442E-2</v>
      </c>
      <c r="Z2108" s="49"/>
      <c r="AA2108" s="24"/>
    </row>
    <row r="2109" spans="1:27" s="13" customFormat="1" hidden="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27.6</v>
      </c>
      <c r="V2109" s="13">
        <f>IF(ISNA(VLOOKUP(LOWER(F2109)&amp;H2109,Prices!A:C,2,0)),0,VLOOKUP(LOWER(F2109)&amp;H2109,Prices!A:C,2,0))</f>
        <v>27.7</v>
      </c>
      <c r="W2109" s="13">
        <f t="shared" si="1153"/>
        <v>2046.3110999999969</v>
      </c>
      <c r="X2109" s="13">
        <f t="shared" si="1154"/>
        <v>149.99999999999682</v>
      </c>
      <c r="Y2109" s="43">
        <f t="shared" si="1155"/>
        <v>5.181190277250277E-2</v>
      </c>
      <c r="Z2109" s="49"/>
      <c r="AA2109" s="24"/>
    </row>
    <row r="2110" spans="1:27" s="13" customFormat="1" hidden="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10.63</v>
      </c>
      <c r="V2110" s="13">
        <f>IF(ISNA(VLOOKUP(LOWER(F2110)&amp;H2110,Prices!A:C,2,0)),0,VLOOKUP(LOWER(F2110)&amp;H2110,Prices!A:C,2,0))</f>
        <v>10.44</v>
      </c>
      <c r="W2110" s="13">
        <f t="shared" si="1153"/>
        <v>-1340.7912000000042</v>
      </c>
      <c r="X2110" s="13">
        <f t="shared" si="1154"/>
        <v>-703.00000000000477</v>
      </c>
      <c r="Y2110" s="43">
        <f t="shared" si="1155"/>
        <v>-3.3553333333333442E-2</v>
      </c>
      <c r="Z2110" s="49"/>
      <c r="AA2110" s="24"/>
    </row>
    <row r="2111" spans="1:27" s="13" customFormat="1" hidden="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2.8849999999999998</v>
      </c>
      <c r="V2111" s="13">
        <f>IF(ISNA(VLOOKUP(LOWER(F2111)&amp;H2111,Prices!A:C,2,0)),0,VLOOKUP(LOWER(F2111)&amp;H2111,Prices!A:C,2,0))</f>
        <v>2.9180000000000001</v>
      </c>
      <c r="W2111" s="13">
        <f t="shared" si="1153"/>
        <v>19.199999999999974</v>
      </c>
      <c r="X2111" s="13">
        <f t="shared" si="1154"/>
        <v>3.3000000000000362</v>
      </c>
      <c r="Y2111" s="43">
        <f t="shared" si="1155"/>
        <v>7.1748878923766718E-2</v>
      </c>
      <c r="Z2111" s="49"/>
      <c r="AA2111" s="24"/>
    </row>
    <row r="2112" spans="1:27" s="13" customFormat="1" hidden="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2.8849999999999998</v>
      </c>
      <c r="V2112" s="13">
        <f>IF(ISNA(VLOOKUP(LOWER(F2112)&amp;H2112,Prices!A:C,2,0)),0,VLOOKUP(LOWER(F2112)&amp;H2112,Prices!A:C,2,0))</f>
        <v>2.9180000000000001</v>
      </c>
      <c r="W2112" s="13">
        <f t="shared" ref="W2112:W2121" si="1160">IF(I2112="B",(V2112+T2112)*K2112,(V2112+T2112)*K2112)</f>
        <v>3322.0287200000007</v>
      </c>
      <c r="X2112" s="13">
        <f t="shared" ref="X2112:X2121" si="1161">K2112*(V2112-U2112)</f>
        <v>488.40000000000538</v>
      </c>
      <c r="Y2112" s="43">
        <f t="shared" ref="Y2112:Y2121" si="1162">W2112/O2112</f>
        <v>8.3349944300037143E-2</v>
      </c>
      <c r="Z2112" s="49"/>
      <c r="AA2112" s="24"/>
    </row>
    <row r="2113" spans="1:27" s="13" customFormat="1" hidden="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9.69</v>
      </c>
      <c r="V2113" s="13">
        <f>IF(ISNA(VLOOKUP(LOWER(F2113)&amp;H2113,Prices!A:C,2,0)),0,VLOOKUP(LOWER(F2113)&amp;H2113,Prices!A:C,2,0))</f>
        <v>9.4499999999999993</v>
      </c>
      <c r="W2113" s="13">
        <f t="shared" si="1160"/>
        <v>-3542.6776800000061</v>
      </c>
      <c r="X2113" s="13">
        <f t="shared" si="1161"/>
        <v>-912.0000000000008</v>
      </c>
      <c r="Y2113" s="43">
        <f t="shared" si="1162"/>
        <v>-8.9815375722543514E-2</v>
      </c>
      <c r="Z2113" s="49"/>
      <c r="AA2113" s="24"/>
    </row>
    <row r="2114" spans="1:27" s="13" customFormat="1" hidden="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10.63</v>
      </c>
      <c r="V2114" s="13">
        <f>IF(ISNA(VLOOKUP(LOWER(F2114)&amp;H2114,Prices!A:C,2,0)),0,VLOOKUP(LOWER(F2114)&amp;H2114,Prices!A:C,2,0))</f>
        <v>10.44</v>
      </c>
      <c r="W2114" s="13">
        <f t="shared" si="1160"/>
        <v>-600.62839999999721</v>
      </c>
      <c r="X2114" s="13">
        <f t="shared" si="1161"/>
        <v>-703.00000000000477</v>
      </c>
      <c r="Y2114" s="43">
        <f t="shared" si="1162"/>
        <v>-1.5314339622641438E-2</v>
      </c>
      <c r="Z2114" s="49"/>
      <c r="AA2114" s="24"/>
    </row>
    <row r="2115" spans="1:27" s="13" customFormat="1" hidden="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16.100000000000001</v>
      </c>
      <c r="V2115" s="13">
        <f>IF(ISNA(VLOOKUP(LOWER(F2115)&amp;H2115,Prices!A:C,2,0)),0,VLOOKUP(LOWER(F2115)&amp;H2115,Prices!A:C,2,0))</f>
        <v>16.100000000000001</v>
      </c>
      <c r="W2115" s="13">
        <f t="shared" si="1160"/>
        <v>466.24950000000001</v>
      </c>
      <c r="X2115" s="13">
        <f t="shared" si="1161"/>
        <v>0</v>
      </c>
      <c r="Y2115" s="43">
        <f t="shared" si="1162"/>
        <v>1.1722174732872407E-2</v>
      </c>
      <c r="Z2115" s="49"/>
      <c r="AA2115" s="24"/>
    </row>
    <row r="2116" spans="1:27" s="13" customFormat="1" hidden="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27.6</v>
      </c>
      <c r="V2116" s="13">
        <f>IF(ISNA(VLOOKUP(LOWER(F2116)&amp;H2116,Prices!A:C,2,0)),0,VLOOKUP(LOWER(F2116)&amp;H2116,Prices!A:C,2,0))</f>
        <v>27.7</v>
      </c>
      <c r="W2116" s="13">
        <f t="shared" si="1160"/>
        <v>2166.3374999999992</v>
      </c>
      <c r="X2116" s="13">
        <f t="shared" si="1161"/>
        <v>149.99999999999682</v>
      </c>
      <c r="Y2116" s="43">
        <f t="shared" si="1162"/>
        <v>5.501809523809522E-2</v>
      </c>
      <c r="Z2116" s="49"/>
      <c r="AA2116" s="24"/>
    </row>
    <row r="2117" spans="1:27" s="13" customFormat="1" hidden="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2.8849999999999998</v>
      </c>
      <c r="V2117" s="13">
        <f>IF(ISNA(VLOOKUP(LOWER(F2117)&amp;H2117,Prices!A:C,2,0)),0,VLOOKUP(LOWER(F2117)&amp;H2117,Prices!A:C,2,0))</f>
        <v>2.9180000000000001</v>
      </c>
      <c r="W2117" s="13">
        <f t="shared" si="1160"/>
        <v>3262.8168800000067</v>
      </c>
      <c r="X2117" s="13">
        <f t="shared" si="1161"/>
        <v>488.40000000000538</v>
      </c>
      <c r="Y2117" s="43">
        <f t="shared" si="1162"/>
        <v>8.1742899517983109E-2</v>
      </c>
      <c r="Z2117" s="49"/>
      <c r="AA2117" s="24"/>
    </row>
    <row r="2118" spans="1:27" s="13" customFormat="1" hidden="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2.8849999999999998</v>
      </c>
      <c r="V2118" s="13">
        <f>IF(ISNA(VLOOKUP(LOWER(F2118)&amp;H2118,Prices!A:C,2,0)),0,VLOOKUP(LOWER(F2118)&amp;H2118,Prices!A:C,2,0))</f>
        <v>2.9180000000000001</v>
      </c>
      <c r="W2118" s="13">
        <f t="shared" si="1160"/>
        <v>3277.6198400000003</v>
      </c>
      <c r="X2118" s="13">
        <f t="shared" si="1161"/>
        <v>488.40000000000538</v>
      </c>
      <c r="Y2118" s="43">
        <f t="shared" si="1162"/>
        <v>8.2144213649851638E-2</v>
      </c>
      <c r="Z2118" s="49"/>
      <c r="AA2118" s="24"/>
    </row>
    <row r="2119" spans="1:27" s="13" customFormat="1" hidden="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27.07</v>
      </c>
      <c r="V2119" s="13">
        <f>IF(ISNA(VLOOKUP(LOWER(F2119)&amp;H2119,Prices!A:C,2,0)),0,VLOOKUP(LOWER(F2119)&amp;H2119,Prices!A:C,2,0))</f>
        <v>27.07</v>
      </c>
      <c r="W2119" s="13">
        <f t="shared" si="1160"/>
        <v>2121.5354999999986</v>
      </c>
      <c r="X2119" s="13">
        <f t="shared" si="1161"/>
        <v>0</v>
      </c>
      <c r="Y2119" s="43">
        <f t="shared" si="1162"/>
        <v>5.5140623781676376E-2</v>
      </c>
      <c r="Z2119" s="49"/>
      <c r="AA2119" s="24"/>
    </row>
    <row r="2120" spans="1:27" s="13" customFormat="1" hidden="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10.63</v>
      </c>
      <c r="V2120" s="13">
        <f>IF(ISNA(VLOOKUP(LOWER(F2120)&amp;H2120,Prices!A:C,2,0)),0,VLOOKUP(LOWER(F2120)&amp;H2120,Prices!A:C,2,0))</f>
        <v>10.44</v>
      </c>
      <c r="W2120" s="13">
        <f t="shared" si="1160"/>
        <v>-600.62839999999721</v>
      </c>
      <c r="X2120" s="13">
        <f t="shared" si="1161"/>
        <v>-703.00000000000477</v>
      </c>
      <c r="Y2120" s="43">
        <f t="shared" si="1162"/>
        <v>-1.5314339622641438E-2</v>
      </c>
      <c r="Z2120" s="49"/>
      <c r="AA2120" s="24"/>
    </row>
    <row r="2121" spans="1:27" s="13" customFormat="1" hidden="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9.69</v>
      </c>
      <c r="V2121" s="13">
        <f>IF(ISNA(VLOOKUP(LOWER(F2121)&amp;H2121,Prices!A:C,2,0)),0,VLOOKUP(LOWER(F2121)&amp;H2121,Prices!A:C,2,0))</f>
        <v>9.4499999999999993</v>
      </c>
      <c r="W2121" s="13">
        <f t="shared" si="1160"/>
        <v>-3504.6693200000041</v>
      </c>
      <c r="X2121" s="13">
        <f t="shared" si="1161"/>
        <v>-912.0000000000008</v>
      </c>
      <c r="Y2121" s="43">
        <f t="shared" si="1162"/>
        <v>-8.8937454194792778E-2</v>
      </c>
      <c r="Z2121" s="49"/>
      <c r="AA2121" s="24"/>
    </row>
    <row r="2122" spans="1:27" s="13" customFormat="1" hidden="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2.8849999999999998</v>
      </c>
      <c r="V2122" s="13">
        <f>IF(ISNA(VLOOKUP(LOWER(F2122)&amp;H2122,Prices!A:C,2,0)),0,VLOOKUP(LOWER(F2122)&amp;H2122,Prices!A:C,2,0))</f>
        <v>2.9180000000000001</v>
      </c>
      <c r="W2122" s="13">
        <f t="shared" ref="W2122:W2126" si="1170">IF(I2122="B",(V2122+T2122)*K2122,(V2122+T2122)*K2122)</f>
        <v>33948.018000000025</v>
      </c>
      <c r="X2122" s="13">
        <f t="shared" ref="X2122:X2126" si="1171">K2122*(V2122-U2122)</f>
        <v>4455.0000000000491</v>
      </c>
      <c r="Y2122" s="43">
        <f t="shared" ref="Y2122:Y2126" si="1172">W2122/O2122</f>
        <v>9.4323630907726996E-2</v>
      </c>
      <c r="Z2122" s="49"/>
      <c r="AA2122" s="24"/>
    </row>
    <row r="2123" spans="1:27" s="13" customFormat="1" hidden="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2.8849999999999998</v>
      </c>
      <c r="V2123" s="13">
        <f>IF(ISNA(VLOOKUP(LOWER(F2123)&amp;H2123,Prices!A:C,2,0)),0,VLOOKUP(LOWER(F2123)&amp;H2123,Prices!A:C,2,0))</f>
        <v>2.9180000000000001</v>
      </c>
      <c r="W2123" s="13">
        <f t="shared" si="1170"/>
        <v>7634.0220000000072</v>
      </c>
      <c r="X2123" s="13">
        <f t="shared" si="1171"/>
        <v>990.00000000001091</v>
      </c>
      <c r="Y2123" s="43">
        <f t="shared" si="1172"/>
        <v>9.5556665414945646E-2</v>
      </c>
      <c r="Z2123" s="49"/>
      <c r="AA2123" s="24"/>
    </row>
    <row r="2124" spans="1:27" s="13" customFormat="1" hidden="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2.8849999999999998</v>
      </c>
      <c r="V2124" s="13">
        <f>IF(ISNA(VLOOKUP(LOWER(F2124)&amp;H2124,Prices!A:C,2,0)),0,VLOOKUP(LOWER(F2124)&amp;H2124,Prices!A:C,2,0))</f>
        <v>2.9180000000000001</v>
      </c>
      <c r="W2124" s="13">
        <f t="shared" si="1170"/>
        <v>7664.0280000000075</v>
      </c>
      <c r="X2124" s="13">
        <f t="shared" si="1171"/>
        <v>990.00000000001091</v>
      </c>
      <c r="Y2124" s="43">
        <f t="shared" si="1172"/>
        <v>9.596829451540205E-2</v>
      </c>
      <c r="Z2124" s="49"/>
      <c r="AA2124" s="24"/>
    </row>
    <row r="2125" spans="1:27" s="13" customFormat="1" hidden="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2.8849999999999998</v>
      </c>
      <c r="V2125" s="13">
        <f>IF(ISNA(VLOOKUP(LOWER(F2125)&amp;H2125,Prices!A:C,2,0)),0,VLOOKUP(LOWER(F2125)&amp;H2125,Prices!A:C,2,0))</f>
        <v>2.9180000000000001</v>
      </c>
      <c r="W2125" s="13">
        <f t="shared" si="1170"/>
        <v>7604.0160000000069</v>
      </c>
      <c r="X2125" s="13">
        <f t="shared" si="1171"/>
        <v>990.00000000001091</v>
      </c>
      <c r="Y2125" s="43">
        <f t="shared" si="1172"/>
        <v>9.5145345345345425E-2</v>
      </c>
      <c r="Z2125" s="49"/>
      <c r="AA2125" s="24"/>
    </row>
    <row r="2126" spans="1:27" s="13" customFormat="1" hidden="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2.8849999999999998</v>
      </c>
      <c r="V2126" s="13">
        <f>IF(ISNA(VLOOKUP(LOWER(F2126)&amp;H2126,Prices!A:C,2,0)),0,VLOOKUP(LOWER(F2126)&amp;H2126,Prices!A:C,2,0))</f>
        <v>2.9180000000000001</v>
      </c>
      <c r="W2126" s="13">
        <f t="shared" si="1170"/>
        <v>10178.696000000009</v>
      </c>
      <c r="X2126" s="13">
        <f t="shared" si="1171"/>
        <v>1320.0000000000146</v>
      </c>
      <c r="Y2126" s="43">
        <f t="shared" si="1172"/>
        <v>9.5556665414945646E-2</v>
      </c>
      <c r="Z2126" s="49"/>
      <c r="AA2126" s="24"/>
    </row>
    <row r="2127" spans="1:27" s="13" customFormat="1" hidden="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2.8849999999999998</v>
      </c>
      <c r="V2127" s="13">
        <f>IF(ISNA(VLOOKUP(LOWER(F2127)&amp;H2127,Prices!A:C,2,0)),0,VLOOKUP(LOWER(F2127)&amp;H2127,Prices!A:C,2,0))</f>
        <v>2.9180000000000001</v>
      </c>
      <c r="W2127" s="13">
        <f t="shared" ref="W2127:W2134" si="1178">IF(I2127="B",(V2127+T2127)*K2127,(V2127+T2127)*K2127)</f>
        <v>-9621.4240000000118</v>
      </c>
      <c r="X2127" s="13">
        <f t="shared" ref="X2127:X2134" si="1179">K2127*(V2127-U2127)</f>
        <v>-1320.0000000000146</v>
      </c>
      <c r="Y2127" s="43">
        <f t="shared" ref="Y2127:Y2134" si="1180">W2127/O2127</f>
        <v>-8.9819118745332452E-2</v>
      </c>
      <c r="Z2127" s="49"/>
      <c r="AA2127" s="24"/>
    </row>
    <row r="2128" spans="1:27" s="13" customFormat="1" hidden="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43.74</v>
      </c>
      <c r="V2128" s="13">
        <f>IF(ISNA(VLOOKUP(LOWER(F2128)&amp;H2128,Prices!A:C,2,0)),0,VLOOKUP(LOWER(F2128)&amp;H2128,Prices!A:C,2,0))</f>
        <v>45.67</v>
      </c>
      <c r="W2128" s="13">
        <f t="shared" si="1178"/>
        <v>2659.0000000000005</v>
      </c>
      <c r="X2128" s="13">
        <f t="shared" si="1179"/>
        <v>771.99999999999989</v>
      </c>
      <c r="Y2128" s="43">
        <f t="shared" si="1180"/>
        <v>0.17040502435273011</v>
      </c>
      <c r="Z2128" s="49"/>
      <c r="AA2128" s="24"/>
    </row>
    <row r="2129" spans="1:27" s="13" customFormat="1" hidden="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43.74</v>
      </c>
      <c r="V2129" s="13">
        <f>IF(ISNA(VLOOKUP(LOWER(F2129)&amp;H2129,Prices!A:C,2,0)),0,VLOOKUP(LOWER(F2129)&amp;H2129,Prices!A:C,2,0))</f>
        <v>45.67</v>
      </c>
      <c r="W2129" s="13">
        <f t="shared" si="1178"/>
        <v>6652.1979999999985</v>
      </c>
      <c r="X2129" s="13">
        <f t="shared" si="1179"/>
        <v>1929.9999999999998</v>
      </c>
      <c r="Y2129" s="43">
        <f t="shared" si="1180"/>
        <v>0.17052545501153546</v>
      </c>
      <c r="Z2129" s="49"/>
      <c r="AA2129" s="24"/>
    </row>
    <row r="2130" spans="1:27" s="13" customFormat="1" hidden="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2.8849999999999998</v>
      </c>
      <c r="V2130" s="13">
        <f>IF(ISNA(VLOOKUP(LOWER(F2130)&amp;H2130,Prices!A:C,2,0)),0,VLOOKUP(LOWER(F2130)&amp;H2130,Prices!A:C,2,0))</f>
        <v>2.9180000000000001</v>
      </c>
      <c r="W2130" s="13">
        <f t="shared" si="1178"/>
        <v>-11976.790000000026</v>
      </c>
      <c r="X2130" s="13">
        <f t="shared" si="1179"/>
        <v>-1650.0000000000182</v>
      </c>
      <c r="Y2130" s="43">
        <f t="shared" si="1180"/>
        <v>-8.9412392683837452E-2</v>
      </c>
      <c r="Z2130" s="49"/>
      <c r="AA2130" s="24"/>
    </row>
    <row r="2131" spans="1:27" s="13" customFormat="1" hidden="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2.8849999999999998</v>
      </c>
      <c r="V2131" s="13">
        <f>IF(ISNA(VLOOKUP(LOWER(F2131)&amp;H2131,Prices!A:C,2,0)),0,VLOOKUP(LOWER(F2131)&amp;H2131,Prices!A:C,2,0))</f>
        <v>2.9180000000000001</v>
      </c>
      <c r="W2131" s="13">
        <f t="shared" si="1178"/>
        <v>-11926.799999999994</v>
      </c>
      <c r="X2131" s="13">
        <f t="shared" si="1179"/>
        <v>-1650.0000000000182</v>
      </c>
      <c r="Y2131" s="43">
        <f t="shared" si="1180"/>
        <v>-8.9005970149253683E-2</v>
      </c>
      <c r="Z2131" s="49"/>
      <c r="AA2131" s="24"/>
    </row>
    <row r="2132" spans="1:27" s="13" customFormat="1" hidden="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2.8849999999999998</v>
      </c>
      <c r="V2132" s="13">
        <f>IF(ISNA(VLOOKUP(LOWER(F2132)&amp;H2132,Prices!A:C,2,0)),0,VLOOKUP(LOWER(F2132)&amp;H2132,Prices!A:C,2,0))</f>
        <v>2.9180000000000001</v>
      </c>
      <c r="W2132" s="13">
        <f t="shared" si="1178"/>
        <v>-11976.790000000026</v>
      </c>
      <c r="X2132" s="13">
        <f t="shared" si="1179"/>
        <v>-1650.0000000000182</v>
      </c>
      <c r="Y2132" s="43">
        <f t="shared" si="1180"/>
        <v>-8.9412392683837452E-2</v>
      </c>
      <c r="Z2132" s="49"/>
      <c r="AA2132" s="24"/>
    </row>
    <row r="2133" spans="1:27" s="13" customFormat="1" hidden="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2.8849999999999998</v>
      </c>
      <c r="V2133" s="13">
        <f>IF(ISNA(VLOOKUP(LOWER(F2133)&amp;H2133,Prices!A:C,2,0)),0,VLOOKUP(LOWER(F2133)&amp;H2133,Prices!A:C,2,0))</f>
        <v>2.9180000000000001</v>
      </c>
      <c r="W2133" s="13">
        <f t="shared" si="1178"/>
        <v>-12026.780000000015</v>
      </c>
      <c r="X2133" s="13">
        <f t="shared" si="1179"/>
        <v>-1650.0000000000182</v>
      </c>
      <c r="Y2133" s="43">
        <f t="shared" si="1180"/>
        <v>-8.9819118745332452E-2</v>
      </c>
      <c r="Z2133" s="49"/>
      <c r="AA2133" s="24"/>
    </row>
    <row r="2134" spans="1:27" s="13" customFormat="1" hidden="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2.8849999999999998</v>
      </c>
      <c r="V2134" s="13">
        <f>IF(ISNA(VLOOKUP(LOWER(F2134)&amp;H2134,Prices!A:C,2,0)),0,VLOOKUP(LOWER(F2134)&amp;H2134,Prices!A:C,2,0))</f>
        <v>2.9180000000000001</v>
      </c>
      <c r="W2134" s="13">
        <f t="shared" si="1178"/>
        <v>-1805.0000000000011</v>
      </c>
      <c r="X2134" s="13">
        <f t="shared" si="1179"/>
        <v>-247.50000000000273</v>
      </c>
      <c r="Y2134" s="43">
        <f t="shared" si="1180"/>
        <v>-8.9868060741847208E-2</v>
      </c>
      <c r="Z2134" s="49"/>
      <c r="AA2134" s="24"/>
    </row>
    <row r="2135" spans="1:27" s="13" customFormat="1" hidden="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31.44</v>
      </c>
      <c r="V2135" s="13">
        <f>IF(ISNA(VLOOKUP(LOWER(F2135)&amp;H2135,Prices!A:C,2,0)),0,VLOOKUP(LOWER(F2135)&amp;H2135,Prices!A:C,2,0))</f>
        <v>32.450000000000003</v>
      </c>
      <c r="W2135" s="13">
        <f t="shared" ref="W2135:W2140" si="1188">IF(I2135="B",(V2135+T2135)*K2135,(V2135+T2135)*K2135)</f>
        <v>1260.6359200000022</v>
      </c>
      <c r="X2135" s="13">
        <f t="shared" ref="X2135:X2140" si="1189">K2135*(V2135-U2135)</f>
        <v>606.00000000000091</v>
      </c>
      <c r="Y2135" s="43">
        <f t="shared" ref="Y2135:Y2140" si="1190">W2135/O2135</f>
        <v>6.9250490002197435E-2</v>
      </c>
      <c r="Z2135" s="49"/>
      <c r="AA2135" s="24"/>
    </row>
    <row r="2136" spans="1:27" s="13" customFormat="1" hidden="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2.8849999999999998</v>
      </c>
      <c r="V2136" s="13">
        <f>IF(ISNA(VLOOKUP(LOWER(F2136)&amp;H2136,Prices!A:C,2,0)),0,VLOOKUP(LOWER(F2136)&amp;H2136,Prices!A:C,2,0))</f>
        <v>2.9180000000000001</v>
      </c>
      <c r="W2136" s="13">
        <f t="shared" si="1188"/>
        <v>-7156.080000000009</v>
      </c>
      <c r="X2136" s="13">
        <f t="shared" si="1189"/>
        <v>-990.00000000001091</v>
      </c>
      <c r="Y2136" s="43">
        <f t="shared" si="1190"/>
        <v>-8.9005970149253849E-2</v>
      </c>
      <c r="Z2136" s="49"/>
      <c r="AA2136" s="24"/>
    </row>
    <row r="2137" spans="1:27" s="13" customFormat="1" hidden="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9.69</v>
      </c>
      <c r="V2137" s="13">
        <f>IF(ISNA(VLOOKUP(LOWER(F2137)&amp;H2137,Prices!A:C,2,0)),0,VLOOKUP(LOWER(F2137)&amp;H2137,Prices!A:C,2,0))</f>
        <v>9.4499999999999993</v>
      </c>
      <c r="W2137" s="13">
        <f t="shared" si="1188"/>
        <v>4087.2920000000067</v>
      </c>
      <c r="X2137" s="13">
        <f t="shared" si="1189"/>
        <v>1200.0000000000011</v>
      </c>
      <c r="Y2137" s="43">
        <f t="shared" si="1190"/>
        <v>7.9519299610895072E-2</v>
      </c>
      <c r="Z2137" s="49"/>
      <c r="AA2137" s="24"/>
    </row>
    <row r="2138" spans="1:27" s="13" customFormat="1" hidden="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27.6</v>
      </c>
      <c r="V2138" s="13">
        <f>IF(ISNA(VLOOKUP(LOWER(F2138)&amp;H2138,Prices!A:C,2,0)),0,VLOOKUP(LOWER(F2138)&amp;H2138,Prices!A:C,2,0))</f>
        <v>27.7</v>
      </c>
      <c r="W2138" s="13">
        <f t="shared" si="1188"/>
        <v>-3083.9035999999992</v>
      </c>
      <c r="X2138" s="13">
        <f t="shared" si="1189"/>
        <v>-199.99999999999574</v>
      </c>
      <c r="Y2138" s="43">
        <f t="shared" si="1190"/>
        <v>-5.8875593738067951E-2</v>
      </c>
      <c r="Z2138" s="49"/>
      <c r="AA2138" s="24"/>
    </row>
    <row r="2139" spans="1:27" s="13" customFormat="1" hidden="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10.63</v>
      </c>
      <c r="V2139" s="13">
        <f>IF(ISNA(VLOOKUP(LOWER(F2139)&amp;H2139,Prices!A:C,2,0)),0,VLOOKUP(LOWER(F2139)&amp;H2139,Prices!A:C,2,0))</f>
        <v>10.44</v>
      </c>
      <c r="W2139" s="13">
        <f t="shared" si="1188"/>
        <v>935.09600000000864</v>
      </c>
      <c r="X2139" s="13">
        <f t="shared" si="1189"/>
        <v>950.00000000000637</v>
      </c>
      <c r="Y2139" s="43">
        <f t="shared" si="1190"/>
        <v>1.7576992481203171E-2</v>
      </c>
      <c r="Z2139" s="49"/>
      <c r="AA2139" s="24"/>
    </row>
    <row r="2140" spans="1:27" s="13" customFormat="1" hidden="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10.63</v>
      </c>
      <c r="V2140" s="13">
        <f>IF(ISNA(VLOOKUP(LOWER(F2140)&amp;H2140,Prices!A:C,2,0)),0,VLOOKUP(LOWER(F2140)&amp;H2140,Prices!A:C,2,0))</f>
        <v>10.44</v>
      </c>
      <c r="W2140" s="13">
        <f t="shared" si="1188"/>
        <v>935.09600000000864</v>
      </c>
      <c r="X2140" s="13">
        <f t="shared" si="1189"/>
        <v>950.00000000000637</v>
      </c>
      <c r="Y2140" s="43">
        <f t="shared" si="1190"/>
        <v>1.7576992481203171E-2</v>
      </c>
      <c r="Z2140" s="49"/>
      <c r="AA2140" s="24"/>
    </row>
    <row r="2141" spans="1:27" s="13" customFormat="1" hidden="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31.44</v>
      </c>
      <c r="V2141" s="13">
        <f>IF(ISNA(VLOOKUP(LOWER(F2141)&amp;H2141,Prices!A:C,2,0)),0,VLOOKUP(LOWER(F2141)&amp;H2141,Prices!A:C,2,0))</f>
        <v>32.450000000000003</v>
      </c>
      <c r="W2141" s="13">
        <f t="shared" ref="W2141:W2143" si="1198">IF(I2141="B",(V2141+T2141)*K2141,(V2141+T2141)*K2141)</f>
        <v>3059.3942600000046</v>
      </c>
      <c r="X2141" s="13">
        <f t="shared" ref="X2141:X2143" si="1199">K2141*(V2141-U2141)</f>
        <v>1313.000000000002</v>
      </c>
      <c r="Y2141" s="43">
        <f t="shared" ref="Y2141:Y2143" si="1200">W2141/O2141</f>
        <v>7.821137254901972E-2</v>
      </c>
      <c r="Z2141" s="49"/>
      <c r="AA2141" s="24"/>
    </row>
    <row r="2142" spans="1:27" s="13" customFormat="1" hidden="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27.07</v>
      </c>
      <c r="V2142" s="13">
        <f>IF(ISNA(VLOOKUP(LOWER(F2142)&amp;H2142,Prices!A:C,2,0)),0,VLOOKUP(LOWER(F2142)&amp;H2142,Prices!A:C,2,0))</f>
        <v>27.07</v>
      </c>
      <c r="W2142" s="13">
        <f t="shared" si="1198"/>
        <v>2466.6114000000016</v>
      </c>
      <c r="X2142" s="13">
        <f t="shared" si="1199"/>
        <v>0</v>
      </c>
      <c r="Y2142" s="43">
        <f t="shared" si="1200"/>
        <v>6.468952006294261E-2</v>
      </c>
      <c r="Z2142" s="49"/>
      <c r="AA2142" s="24"/>
    </row>
    <row r="2143" spans="1:27" s="13" customFormat="1" hidden="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31.44</v>
      </c>
      <c r="V2143" s="13">
        <f>IF(ISNA(VLOOKUP(LOWER(F2143)&amp;H2143,Prices!A:C,2,0)),0,VLOOKUP(LOWER(F2143)&amp;H2143,Prices!A:C,2,0))</f>
        <v>32.450000000000003</v>
      </c>
      <c r="W2143" s="13">
        <f t="shared" si="1198"/>
        <v>2981.3770999999997</v>
      </c>
      <c r="X2143" s="13">
        <f t="shared" si="1199"/>
        <v>1313.000000000002</v>
      </c>
      <c r="Y2143" s="43">
        <f t="shared" si="1200"/>
        <v>7.606524046434493E-2</v>
      </c>
      <c r="Z2143" s="49"/>
      <c r="AA2143" s="24"/>
    </row>
    <row r="2144" spans="1:27" s="13" customFormat="1" hidden="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43.74</v>
      </c>
      <c r="V2144" s="13">
        <f>IF(ISNA(VLOOKUP(LOWER(F2144)&amp;H2144,Prices!A:C,2,0)),0,VLOOKUP(LOWER(F2144)&amp;H2144,Prices!A:C,2,0))</f>
        <v>45.67</v>
      </c>
      <c r="W2144" s="13">
        <f t="shared" ref="W2144:W2157" si="1208">IF(I2144="B",(V2144+T2144)*K2144,(V2144+T2144)*K2144)</f>
        <v>9768.2549999999956</v>
      </c>
      <c r="X2144" s="13">
        <f t="shared" ref="X2144:X2157" si="1209">K2144*(V2144-U2144)</f>
        <v>2894.9999999999995</v>
      </c>
      <c r="Y2144" s="43">
        <f t="shared" ref="Y2144:Y2157" si="1210">W2144/O2144</f>
        <v>0.16633895274584923</v>
      </c>
      <c r="Z2144" s="49"/>
      <c r="AA2144" s="24"/>
    </row>
    <row r="2145" spans="1:27" s="13" customFormat="1" hidden="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31.44</v>
      </c>
      <c r="V2145" s="13">
        <f>IF(ISNA(VLOOKUP(LOWER(F2145)&amp;H2145,Prices!A:C,2,0)),0,VLOOKUP(LOWER(F2145)&amp;H2145,Prices!A:C,2,0))</f>
        <v>32.450000000000003</v>
      </c>
      <c r="W2145" s="13">
        <f t="shared" si="1208"/>
        <v>4826.7868000000008</v>
      </c>
      <c r="X2145" s="13">
        <f t="shared" si="1209"/>
        <v>2020.0000000000032</v>
      </c>
      <c r="Y2145" s="43">
        <f t="shared" si="1210"/>
        <v>8.0366080586080593E-2</v>
      </c>
      <c r="Z2145" s="49"/>
      <c r="AA2145" s="24"/>
    </row>
    <row r="2146" spans="1:27" s="13" customFormat="1" hidden="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43.74</v>
      </c>
      <c r="V2146" s="13">
        <f>IF(ISNA(VLOOKUP(LOWER(F2146)&amp;H2146,Prices!A:C,2,0)),0,VLOOKUP(LOWER(F2146)&amp;H2146,Prices!A:C,2,0))</f>
        <v>45.67</v>
      </c>
      <c r="W2146" s="13">
        <f t="shared" si="1208"/>
        <v>6532.1739999999972</v>
      </c>
      <c r="X2146" s="13">
        <f t="shared" si="1209"/>
        <v>1929.9999999999998</v>
      </c>
      <c r="Y2146" s="43">
        <f t="shared" si="1210"/>
        <v>0.16693519039100427</v>
      </c>
      <c r="Z2146" s="49"/>
      <c r="AA2146" s="24"/>
    </row>
    <row r="2147" spans="1:27" s="13" customFormat="1" hidden="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16.100000000000001</v>
      </c>
      <c r="V2147" s="13">
        <f>IF(ISNA(VLOOKUP(LOWER(F2147)&amp;H2147,Prices!A:C,2,0)),0,VLOOKUP(LOWER(F2147)&amp;H2147,Prices!A:C,2,0))</f>
        <v>16.100000000000001</v>
      </c>
      <c r="W2147" s="13">
        <f t="shared" si="1208"/>
        <v>-267.14119999999753</v>
      </c>
      <c r="X2147" s="13">
        <f t="shared" si="1209"/>
        <v>0</v>
      </c>
      <c r="Y2147" s="43">
        <f t="shared" si="1210"/>
        <v>-8.2298582871225354E-3</v>
      </c>
      <c r="Z2147" s="49"/>
      <c r="AA2147" s="24"/>
    </row>
    <row r="2148" spans="1:27" s="13" customFormat="1" hidden="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650.07000000000005</v>
      </c>
      <c r="V2148" s="13">
        <f>IF(ISNA(VLOOKUP(LOWER(F2148)&amp;H2148,Prices!A:C,2,0)),0,VLOOKUP(LOWER(F2148)&amp;H2148,Prices!A:C,2,0))</f>
        <v>677.95</v>
      </c>
      <c r="W2148" s="13">
        <f t="shared" si="1208"/>
        <v>19958.47828000001</v>
      </c>
      <c r="X2148" s="13">
        <f t="shared" si="1209"/>
        <v>2787.9999999999995</v>
      </c>
      <c r="Y2148" s="43">
        <f t="shared" si="1210"/>
        <v>0.41731439551708299</v>
      </c>
      <c r="Z2148" s="49"/>
      <c r="AA2148" s="24"/>
    </row>
    <row r="2149" spans="1:27" s="13" customFormat="1" hidden="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31.44</v>
      </c>
      <c r="V2149" s="13">
        <f>IF(ISNA(VLOOKUP(LOWER(F2149)&amp;H2149,Prices!A:C,2,0)),0,VLOOKUP(LOWER(F2149)&amp;H2149,Prices!A:C,2,0))</f>
        <v>32.450000000000003</v>
      </c>
      <c r="W2149" s="13">
        <f t="shared" si="1208"/>
        <v>3680.1032999999989</v>
      </c>
      <c r="X2149" s="13">
        <f t="shared" si="1209"/>
        <v>1515.0000000000023</v>
      </c>
      <c r="Y2149" s="43">
        <f t="shared" si="1210"/>
        <v>8.1807342447482473E-2</v>
      </c>
      <c r="Z2149" s="49"/>
      <c r="AA2149" s="24"/>
    </row>
    <row r="2150" spans="1:27" s="13" customFormat="1" hidden="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10.63</v>
      </c>
      <c r="V2150" s="13">
        <f>IF(ISNA(VLOOKUP(LOWER(F2150)&amp;H2150,Prices!A:C,2,0)),0,VLOOKUP(LOWER(F2150)&amp;H2150,Prices!A:C,2,0))</f>
        <v>10.44</v>
      </c>
      <c r="W2150" s="13">
        <f t="shared" si="1208"/>
        <v>-341.57142000000073</v>
      </c>
      <c r="X2150" s="13">
        <f t="shared" si="1209"/>
        <v>-703.00000000000477</v>
      </c>
      <c r="Y2150" s="43">
        <f t="shared" si="1210"/>
        <v>-8.7670085470085649E-3</v>
      </c>
      <c r="Z2150" s="49"/>
      <c r="AA2150" s="24"/>
    </row>
    <row r="2151" spans="1:27" s="13" customFormat="1" hidden="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43.74</v>
      </c>
      <c r="V2151" s="13">
        <f>IF(ISNA(VLOOKUP(LOWER(F2151)&amp;H2151,Prices!A:C,2,0)),0,VLOOKUP(LOWER(F2151)&amp;H2151,Prices!A:C,2,0))</f>
        <v>45.67</v>
      </c>
      <c r="W2151" s="13">
        <f t="shared" si="1208"/>
        <v>6382.1440000000039</v>
      </c>
      <c r="X2151" s="13">
        <f t="shared" si="1209"/>
        <v>1929.9999999999998</v>
      </c>
      <c r="Y2151" s="43">
        <f t="shared" si="1210"/>
        <v>0.16247820773930763</v>
      </c>
      <c r="Z2151" s="49"/>
      <c r="AA2151" s="24"/>
    </row>
    <row r="2152" spans="1:27" s="13" customFormat="1" hidden="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31.44</v>
      </c>
      <c r="V2152" s="13">
        <f>IF(ISNA(VLOOKUP(LOWER(F2152)&amp;H2152,Prices!A:C,2,0)),0,VLOOKUP(LOWER(F2152)&amp;H2152,Prices!A:C,2,0))</f>
        <v>32.450000000000003</v>
      </c>
      <c r="W2152" s="13">
        <f t="shared" si="1208"/>
        <v>3176.4200000000005</v>
      </c>
      <c r="X2152" s="13">
        <f t="shared" si="1209"/>
        <v>1313.000000000002</v>
      </c>
      <c r="Y2152" s="43">
        <f t="shared" si="1210"/>
        <v>8.1446666666666681E-2</v>
      </c>
      <c r="Z2152" s="49"/>
      <c r="AA2152" s="24"/>
    </row>
    <row r="2153" spans="1:27" s="13" customFormat="1" hidden="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31.44</v>
      </c>
      <c r="V2153" s="13">
        <f>IF(ISNA(VLOOKUP(LOWER(F2153)&amp;H2153,Prices!A:C,2,0)),0,VLOOKUP(LOWER(F2153)&amp;H2153,Prices!A:C,2,0))</f>
        <v>32.450000000000003</v>
      </c>
      <c r="W2153" s="13">
        <f t="shared" si="1208"/>
        <v>3176.4200000000005</v>
      </c>
      <c r="X2153" s="13">
        <f t="shared" si="1209"/>
        <v>1313.000000000002</v>
      </c>
      <c r="Y2153" s="43">
        <f t="shared" si="1210"/>
        <v>8.1446666666666681E-2</v>
      </c>
      <c r="Z2153" s="49"/>
      <c r="AA2153" s="24"/>
    </row>
    <row r="2154" spans="1:27" s="13" customFormat="1" hidden="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650.07000000000005</v>
      </c>
      <c r="V2154" s="13">
        <f>IF(ISNA(VLOOKUP(LOWER(F2154)&amp;H2154,Prices!A:C,2,0)),0,VLOOKUP(LOWER(F2154)&amp;H2154,Prices!A:C,2,0))</f>
        <v>677.95</v>
      </c>
      <c r="W2154" s="13">
        <f t="shared" si="1208"/>
        <v>19993.485980000001</v>
      </c>
      <c r="X2154" s="13">
        <f t="shared" si="1209"/>
        <v>2787.9999999999995</v>
      </c>
      <c r="Y2154" s="43">
        <f t="shared" si="1210"/>
        <v>0.41835253457764016</v>
      </c>
      <c r="Z2154" s="49"/>
      <c r="AA2154" s="24"/>
    </row>
    <row r="2155" spans="1:27" s="13" customFormat="1" hidden="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43.74</v>
      </c>
      <c r="V2155" s="13">
        <f>IF(ISNA(VLOOKUP(LOWER(F2155)&amp;H2155,Prices!A:C,2,0)),0,VLOOKUP(LOWER(F2155)&amp;H2155,Prices!A:C,2,0))</f>
        <v>45.67</v>
      </c>
      <c r="W2155" s="13">
        <f t="shared" si="1208"/>
        <v>6342.1360000000032</v>
      </c>
      <c r="X2155" s="13">
        <f t="shared" si="1209"/>
        <v>1929.9999999999998</v>
      </c>
      <c r="Y2155" s="43">
        <f t="shared" si="1210"/>
        <v>0.16129542217700923</v>
      </c>
      <c r="Z2155" s="49"/>
      <c r="AA2155" s="24"/>
    </row>
    <row r="2156" spans="1:27" s="13" customFormat="1" hidden="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9.69</v>
      </c>
      <c r="V2156" s="13">
        <f>IF(ISNA(VLOOKUP(LOWER(F2156)&amp;H2156,Prices!A:C,2,0)),0,VLOOKUP(LOWER(F2156)&amp;H2156,Prices!A:C,2,0))</f>
        <v>9.4499999999999993</v>
      </c>
      <c r="W2156" s="13">
        <f t="shared" si="1208"/>
        <v>-3162.5940800000026</v>
      </c>
      <c r="X2156" s="13">
        <f t="shared" si="1209"/>
        <v>-912.0000000000008</v>
      </c>
      <c r="Y2156" s="43">
        <f t="shared" si="1210"/>
        <v>-8.0959299610895014E-2</v>
      </c>
      <c r="Z2156" s="49"/>
      <c r="AA2156" s="24"/>
    </row>
    <row r="2157" spans="1:27" s="13" customFormat="1" hidden="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43.74</v>
      </c>
      <c r="V2157" s="13">
        <f>IF(ISNA(VLOOKUP(LOWER(F2157)&amp;H2157,Prices!A:C,2,0)),0,VLOOKUP(LOWER(F2157)&amp;H2157,Prices!A:C,2,0))</f>
        <v>45.67</v>
      </c>
      <c r="W2157" s="13">
        <f t="shared" si="1208"/>
        <v>6362.140000000004</v>
      </c>
      <c r="X2157" s="13">
        <f t="shared" si="1209"/>
        <v>1929.9999999999998</v>
      </c>
      <c r="Y2157" s="43">
        <f t="shared" si="1210"/>
        <v>0.16188651399491105</v>
      </c>
      <c r="Z2157" s="49"/>
      <c r="AA2157" s="24"/>
    </row>
    <row r="2158" spans="1:27" s="13" customFormat="1" hidden="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43.74</v>
      </c>
      <c r="V2158" s="13">
        <f>IF(ISNA(VLOOKUP(LOWER(F2158)&amp;H2158,Prices!A:C,2,0)),0,VLOOKUP(LOWER(F2158)&amp;H2158,Prices!A:C,2,0))</f>
        <v>45.67</v>
      </c>
      <c r="W2158" s="13">
        <f t="shared" ref="W2158:W2160" si="1218">IF(I2158="B",(V2158+T2158)*K2158,(V2158+T2158)*K2158)</f>
        <v>6598.2819999999974</v>
      </c>
      <c r="X2158" s="13">
        <f t="shared" ref="X2158:X2160" si="1219">K2158*(V2158-U2158)</f>
        <v>1929.9999999999998</v>
      </c>
      <c r="Y2158" s="43">
        <f t="shared" ref="Y2158:Y2160" si="1220">W2158/O2158</f>
        <v>0.16892683051715304</v>
      </c>
      <c r="Z2158" s="49"/>
      <c r="AA2158" s="24"/>
    </row>
    <row r="2159" spans="1:27" s="13" customFormat="1" hidden="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31.44</v>
      </c>
      <c r="V2159" s="13">
        <f>IF(ISNA(VLOOKUP(LOWER(F2159)&amp;H2159,Prices!A:C,2,0)),0,VLOOKUP(LOWER(F2159)&amp;H2159,Prices!A:C,2,0))</f>
        <v>32.450000000000003</v>
      </c>
      <c r="W2159" s="13">
        <f t="shared" si="1218"/>
        <v>3675.6048000000055</v>
      </c>
      <c r="X2159" s="13">
        <f t="shared" si="1219"/>
        <v>1515.0000000000023</v>
      </c>
      <c r="Y2159" s="43">
        <f t="shared" si="1220"/>
        <v>8.1707342447482623E-2</v>
      </c>
      <c r="Z2159" s="49"/>
      <c r="AA2159" s="24"/>
    </row>
    <row r="2160" spans="1:27" s="13" customFormat="1" hidden="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41.3</v>
      </c>
      <c r="V2160" s="13">
        <f>IF(ISNA(VLOOKUP(LOWER(F2160)&amp;H2160,Prices!A:C,2,0)),0,VLOOKUP(LOWER(F2160)&amp;H2160,Prices!A:C,2,0))</f>
        <v>42.53</v>
      </c>
      <c r="W2160" s="13">
        <f t="shared" si="1218"/>
        <v>19506.144</v>
      </c>
      <c r="X2160" s="13">
        <f t="shared" si="1219"/>
        <v>1845.0000000000059</v>
      </c>
      <c r="Y2160" s="43">
        <f t="shared" si="1220"/>
        <v>0.44051815718157183</v>
      </c>
      <c r="Z2160" s="49"/>
      <c r="AA2160" s="24"/>
    </row>
    <row r="2161" spans="1:27" s="13" customFormat="1" hidden="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2.8849999999999998</v>
      </c>
      <c r="V2161" s="13">
        <f>IF(ISNA(VLOOKUP(LOWER(F2161)&amp;H2161,Prices!A:C,2,0)),0,VLOOKUP(LOWER(F2161)&amp;H2161,Prices!A:C,2,0))</f>
        <v>2.9180000000000001</v>
      </c>
      <c r="W2161" s="13">
        <f t="shared" ref="W2161:W2165" si="1229">IF(I2161="B",(V2161+T2161)*K2161,(V2161+T2161)*K2161)</f>
        <v>10259.320000000005</v>
      </c>
      <c r="X2161" s="13">
        <f t="shared" ref="X2161:X2165" si="1230">K2161*(V2161-U2161)</f>
        <v>1650.0000000000182</v>
      </c>
      <c r="Y2161" s="43">
        <f t="shared" ref="Y2161:Y2165" si="1231">W2161/O2161</f>
        <v>7.5658702064896791E-2</v>
      </c>
      <c r="Z2161" s="49"/>
      <c r="AA2161" s="24"/>
    </row>
    <row r="2162" spans="1:27" s="13" customFormat="1" hidden="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2.8849999999999998</v>
      </c>
      <c r="V2162" s="13">
        <f>IF(ISNA(VLOOKUP(LOWER(F2162)&amp;H2162,Prices!A:C,2,0)),0,VLOOKUP(LOWER(F2162)&amp;H2162,Prices!A:C,2,0))</f>
        <v>2.9180000000000001</v>
      </c>
      <c r="W2162" s="13">
        <f t="shared" si="1229"/>
        <v>10309.334999999997</v>
      </c>
      <c r="X2162" s="13">
        <f t="shared" si="1230"/>
        <v>1650.0000000000182</v>
      </c>
      <c r="Y2162" s="43">
        <f t="shared" si="1231"/>
        <v>7.6055588343784564E-2</v>
      </c>
      <c r="Z2162" s="49"/>
      <c r="AA2162" s="24"/>
    </row>
    <row r="2163" spans="1:27" s="13" customFormat="1" hidden="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2.8849999999999998</v>
      </c>
      <c r="V2163" s="13">
        <f>IF(ISNA(VLOOKUP(LOWER(F2163)&amp;H2163,Prices!A:C,2,0)),0,VLOOKUP(LOWER(F2163)&amp;H2163,Prices!A:C,2,0))</f>
        <v>2.9180000000000001</v>
      </c>
      <c r="W2163" s="13">
        <f t="shared" si="1229"/>
        <v>10359.350000000011</v>
      </c>
      <c r="X2163" s="13">
        <f t="shared" si="1230"/>
        <v>1650.0000000000182</v>
      </c>
      <c r="Y2163" s="43">
        <f t="shared" si="1231"/>
        <v>7.6452767527675367E-2</v>
      </c>
      <c r="Z2163" s="49"/>
      <c r="AA2163" s="24"/>
    </row>
    <row r="2164" spans="1:27" s="13" customFormat="1" hidden="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2.8849999999999998</v>
      </c>
      <c r="V2164" s="13">
        <f>IF(ISNA(VLOOKUP(LOWER(F2164)&amp;H2164,Prices!A:C,2,0)),0,VLOOKUP(LOWER(F2164)&amp;H2164,Prices!A:C,2,0))</f>
        <v>2.9180000000000001</v>
      </c>
      <c r="W2164" s="13">
        <f t="shared" si="1229"/>
        <v>10409.365000000003</v>
      </c>
      <c r="X2164" s="13">
        <f t="shared" si="1230"/>
        <v>1650.0000000000182</v>
      </c>
      <c r="Y2164" s="43">
        <f t="shared" si="1231"/>
        <v>7.6850239940937634E-2</v>
      </c>
      <c r="Z2164" s="49"/>
      <c r="AA2164" s="24"/>
    </row>
    <row r="2165" spans="1:27" s="13" customFormat="1" hidden="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2.8849999999999998</v>
      </c>
      <c r="V2165" s="13">
        <f>IF(ISNA(VLOOKUP(LOWER(F2165)&amp;H2165,Prices!A:C,2,0)),0,VLOOKUP(LOWER(F2165)&amp;H2165,Prices!A:C,2,0))</f>
        <v>2.9180000000000001</v>
      </c>
      <c r="W2165" s="13">
        <f t="shared" si="1229"/>
        <v>10559.410000000002</v>
      </c>
      <c r="X2165" s="13">
        <f t="shared" si="1230"/>
        <v>1650.0000000000182</v>
      </c>
      <c r="Y2165" s="43">
        <f t="shared" si="1231"/>
        <v>7.8044419807834456E-2</v>
      </c>
      <c r="Z2165" s="49"/>
      <c r="AA2165" s="24"/>
    </row>
    <row r="2166" spans="1:27" s="13" customFormat="1" hidden="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31.44</v>
      </c>
      <c r="V2166" s="13">
        <f>IF(ISNA(VLOOKUP(LOWER(F2166)&amp;H2166,Prices!A:C,2,0)),0,VLOOKUP(LOWER(F2166)&amp;H2166,Prices!A:C,2,0))</f>
        <v>32.450000000000003</v>
      </c>
      <c r="W2166" s="19">
        <f t="shared" ref="W2166:W2175" si="1240">IF(I2166="B",(V2166+T2166)*K2166,(V2166+T2166)*K2166)</f>
        <v>-42937.532480000053</v>
      </c>
      <c r="X2166" s="13">
        <f t="shared" ref="X2166:X2176" si="1241">K2166*(V2166-U2166)</f>
        <v>-13029.00000000002</v>
      </c>
      <c r="Y2166" s="43">
        <f t="shared" ref="Y2166:Y2176" si="1242">W2166/O2166</f>
        <v>-0.11414577811805503</v>
      </c>
      <c r="Z2166" s="49"/>
      <c r="AA2166" s="24"/>
    </row>
    <row r="2167" spans="1:27" s="13" customFormat="1" hidden="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43.74</v>
      </c>
      <c r="V2167" s="13">
        <f>IF(ISNA(VLOOKUP(LOWER(F2167)&amp;H2167,Prices!A:C,2,0)),0,VLOOKUP(LOWER(F2167)&amp;H2167,Prices!A:C,2,0))</f>
        <v>45.67</v>
      </c>
      <c r="W2167" s="19">
        <f t="shared" si="1240"/>
        <v>-66352.996400000018</v>
      </c>
      <c r="X2167" s="13">
        <f t="shared" si="1241"/>
        <v>-16211.999999999998</v>
      </c>
      <c r="Y2167" s="43">
        <f t="shared" si="1242"/>
        <v>-0.20886214273123321</v>
      </c>
      <c r="Z2167" s="49"/>
      <c r="AA2167" s="24"/>
    </row>
    <row r="2168" spans="1:27" s="13" customFormat="1" hidden="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9.69</v>
      </c>
      <c r="V2168" s="13">
        <f>IF(ISNA(VLOOKUP(LOWER(F2168)&amp;H2168,Prices!A:C,2,0)),0,VLOOKUP(LOWER(F2168)&amp;H2168,Prices!A:C,2,0))</f>
        <v>9.4499999999999993</v>
      </c>
      <c r="W2168" s="19">
        <f t="shared" si="1240"/>
        <v>8323.6505599999964</v>
      </c>
      <c r="X2168" s="13">
        <f t="shared" si="1241"/>
        <v>3792.0000000000032</v>
      </c>
      <c r="Y2168" s="43">
        <f t="shared" si="1242"/>
        <v>5.2734066724952781E-2</v>
      </c>
      <c r="Z2168" s="49"/>
      <c r="AA2168" s="24"/>
    </row>
    <row r="2169" spans="1:27" s="13" customFormat="1" hidden="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10.63</v>
      </c>
      <c r="V2169" s="13">
        <f>IF(ISNA(VLOOKUP(LOWER(F2169)&amp;H2169,Prices!A:C,2,0)),0,VLOOKUP(LOWER(F2169)&amp;H2169,Prices!A:C,2,0))</f>
        <v>10.44</v>
      </c>
      <c r="W2169" s="19">
        <f t="shared" si="1240"/>
        <v>-4166.9799999999977</v>
      </c>
      <c r="X2169" s="13">
        <f t="shared" si="1241"/>
        <v>2375.0000000000159</v>
      </c>
      <c r="Y2169" s="43">
        <f t="shared" si="1242"/>
        <v>-3.294055335968378E-2</v>
      </c>
      <c r="Z2169" s="49"/>
      <c r="AA2169" s="24"/>
    </row>
    <row r="2170" spans="1:27" s="13" customFormat="1" hidden="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66.33</v>
      </c>
      <c r="V2170" s="13">
        <f>IF(ISNA(VLOOKUP(LOWER(F2170)&amp;H2170,Prices!A:C,2,0)),0,VLOOKUP(LOWER(F2170)&amp;H2170,Prices!A:C,2,0))</f>
        <v>69.89</v>
      </c>
      <c r="W2170" s="19">
        <f t="shared" si="1240"/>
        <v>-41277.310832000003</v>
      </c>
      <c r="X2170" s="13">
        <f t="shared" si="1241"/>
        <v>-8188.0000000000055</v>
      </c>
      <c r="Y2170" s="43">
        <f t="shared" si="1242"/>
        <v>-0.34504839043832697</v>
      </c>
      <c r="Z2170" s="49"/>
      <c r="AA2170" s="24"/>
    </row>
    <row r="2171" spans="1:27" s="13" customFormat="1" hidden="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41.3</v>
      </c>
      <c r="V2171" s="13">
        <f>IF(ISNA(VLOOKUP(LOWER(F2171)&amp;H2171,Prices!A:C,2,0)),0,VLOOKUP(LOWER(F2171)&amp;H2171,Prices!A:C,2,0))</f>
        <v>42.53</v>
      </c>
      <c r="W2171" s="19">
        <f t="shared" si="1240"/>
        <v>-34418.600000000013</v>
      </c>
      <c r="X2171" s="13">
        <f t="shared" si="1241"/>
        <v>-3075.00000000001</v>
      </c>
      <c r="Y2171" s="43">
        <f t="shared" si="1242"/>
        <v>-0.47803611111111127</v>
      </c>
      <c r="Z2171" s="49"/>
      <c r="AA2171" s="24"/>
    </row>
    <row r="2172" spans="1:27" s="13" customFormat="1" hidden="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27.6</v>
      </c>
      <c r="V2172" s="13">
        <f>IF(ISNA(VLOOKUP(LOWER(F2172)&amp;H2172,Prices!A:C,2,0)),0,VLOOKUP(LOWER(F2172)&amp;H2172,Prices!A:C,2,0))</f>
        <v>27.7</v>
      </c>
      <c r="W2172" s="19">
        <f t="shared" si="1240"/>
        <v>-4210.3026399999981</v>
      </c>
      <c r="X2172" s="13">
        <f t="shared" si="1241"/>
        <v>-239.99999999999488</v>
      </c>
      <c r="Y2172" s="43">
        <f t="shared" si="1242"/>
        <v>-6.7524740826276589E-2</v>
      </c>
      <c r="Z2172" s="49"/>
      <c r="AA2172" s="24"/>
    </row>
    <row r="2173" spans="1:27" s="13" customFormat="1" hidden="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16.100000000000001</v>
      </c>
      <c r="V2173" s="13">
        <f>IF(ISNA(VLOOKUP(LOWER(F2173)&amp;H2173,Prices!A:C,2,0)),0,VLOOKUP(LOWER(F2173)&amp;H2173,Prices!A:C,2,0))</f>
        <v>16.100000000000001</v>
      </c>
      <c r="W2173" s="19">
        <f t="shared" si="1240"/>
        <v>-596.76576000002012</v>
      </c>
      <c r="X2173" s="13">
        <f t="shared" si="1241"/>
        <v>0</v>
      </c>
      <c r="Y2173" s="43">
        <f t="shared" si="1242"/>
        <v>-6.3137789627374695E-3</v>
      </c>
      <c r="Z2173" s="49"/>
      <c r="AA2173" s="24"/>
    </row>
    <row r="2174" spans="1:27" s="13" customFormat="1" hidden="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27.07</v>
      </c>
      <c r="V2174" s="13">
        <f>IF(ISNA(VLOOKUP(LOWER(F2174)&amp;H2174,Prices!A:C,2,0)),0,VLOOKUP(LOWER(F2174)&amp;H2174,Prices!A:C,2,0))</f>
        <v>27.07</v>
      </c>
      <c r="W2174" s="19">
        <f t="shared" si="1240"/>
        <v>-7219.3560000000189</v>
      </c>
      <c r="X2174" s="13">
        <f t="shared" si="1241"/>
        <v>0</v>
      </c>
      <c r="Y2174" s="43">
        <f t="shared" si="1242"/>
        <v>-5.6269337490257358E-2</v>
      </c>
      <c r="Z2174" s="49"/>
      <c r="AA2174" s="24"/>
    </row>
    <row r="2175" spans="1:27" s="13" customFormat="1" hidden="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650.07000000000005</v>
      </c>
      <c r="V2175" s="13">
        <f>IF(ISNA(VLOOKUP(LOWER(F2175)&amp;H2175,Prices!A:C,2,0)),0,VLOOKUP(LOWER(F2175)&amp;H2175,Prices!A:C,2,0))</f>
        <v>677.95</v>
      </c>
      <c r="W2175" s="19">
        <f t="shared" si="1240"/>
        <v>-81902.178960000019</v>
      </c>
      <c r="X2175" s="13">
        <f t="shared" si="1241"/>
        <v>-11151.999999999998</v>
      </c>
      <c r="Y2175" s="43">
        <f t="shared" si="1242"/>
        <v>-0.43213762061542366</v>
      </c>
      <c r="Z2175" s="49"/>
      <c r="AA2175" s="24"/>
    </row>
    <row r="2176" spans="1:27" s="13" customFormat="1" hidden="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2.8849999999999998</v>
      </c>
      <c r="V2176" s="13">
        <f>IF(ISNA(VLOOKUP(LOWER(F2176)&amp;H2176,Prices!A:C,2,0)),0,VLOOKUP(LOWER(F2176)&amp;H2176,Prices!A:C,2,0))</f>
        <v>2.9180000000000001</v>
      </c>
      <c r="W2176" s="19">
        <f>IF(I2176="B",(V2176+T2176)*K2176,(V2176+T2176)*K2176)</f>
        <v>-48160.680000000066</v>
      </c>
      <c r="X2176" s="13">
        <f t="shared" si="1241"/>
        <v>-6600.0000000000728</v>
      </c>
      <c r="Y2176" s="43">
        <f t="shared" si="1242"/>
        <v>-8.9919118745332455E-2</v>
      </c>
      <c r="Z2176" s="49"/>
      <c r="AA2176" s="24"/>
    </row>
    <row r="2177" spans="1:27" s="13" customFormat="1" hidden="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2.8849999999999998</v>
      </c>
      <c r="V2177" s="13">
        <f>IF(ISNA(VLOOKUP(LOWER(F2177)&amp;H2177,Prices!A:C,2,0)),0,VLOOKUP(LOWER(F2177)&amp;H2177,Prices!A:C,2,0))</f>
        <v>2.9180000000000001</v>
      </c>
      <c r="W2177" s="19">
        <f t="shared" ref="W2177:W2178" si="1250">IF(I2177="B",(V2177+T2177)*K2177,(V2177+T2177)*K2177)</f>
        <v>39284.43450000001</v>
      </c>
      <c r="X2177" s="13">
        <f t="shared" ref="X2177:X2178" si="1251">K2177*(V2177-U2177)</f>
        <v>5352.6000000000586</v>
      </c>
      <c r="Y2177" s="43">
        <f t="shared" ref="Y2177:Y2178" si="1252">W2177/O2177</f>
        <v>9.0541121495327129E-2</v>
      </c>
      <c r="Z2177" s="49"/>
      <c r="AA2177" s="24"/>
    </row>
    <row r="2178" spans="1:27" s="13" customFormat="1" hidden="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2.8849999999999998</v>
      </c>
      <c r="V2178" s="13">
        <f>IF(ISNA(VLOOKUP(LOWER(F2178)&amp;H2178,Prices!A:C,2,0)),0,VLOOKUP(LOWER(F2178)&amp;H2178,Prices!A:C,2,0))</f>
        <v>2.9180000000000001</v>
      </c>
      <c r="W2178" s="19">
        <f t="shared" si="1250"/>
        <v>46638.960000000028</v>
      </c>
      <c r="X2178" s="13">
        <f t="shared" si="1251"/>
        <v>6600.0000000000728</v>
      </c>
      <c r="Y2178" s="43">
        <f t="shared" si="1252"/>
        <v>8.6883308494783956E-2</v>
      </c>
      <c r="Z2178" s="49"/>
      <c r="AA2178" s="24"/>
    </row>
    <row r="2179" spans="1:27" s="13" customFormat="1" hidden="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2.8849999999999998</v>
      </c>
      <c r="V2179" s="13">
        <f>IF(ISNA(VLOOKUP(LOWER(F2179)&amp;H2179,Prices!A:C,2,0)),0,VLOOKUP(LOWER(F2179)&amp;H2179,Prices!A:C,2,0))</f>
        <v>2.9180000000000001</v>
      </c>
      <c r="W2179" s="19">
        <f t="shared" ref="W2179:W2180" si="1262">IF(I2179="B",(V2179+T2179)*K2179,(V2179+T2179)*K2179)</f>
        <v>12059.85999999999</v>
      </c>
      <c r="X2179" s="13">
        <f t="shared" ref="X2179:X2180" si="1263">K2179*(V2179-U2179)</f>
        <v>1650.0000000000182</v>
      </c>
      <c r="Y2179" s="43">
        <f t="shared" ref="Y2179:Y2180" si="1264">W2179/O2179</f>
        <v>9.0133482810164353E-2</v>
      </c>
      <c r="Z2179" s="49"/>
      <c r="AA2179" s="24"/>
    </row>
    <row r="2180" spans="1:27" s="13" customFormat="1" hidden="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2.8849999999999998</v>
      </c>
      <c r="V2180" s="13">
        <f>IF(ISNA(VLOOKUP(LOWER(F2180)&amp;H2180,Prices!A:C,2,0)),0,VLOOKUP(LOWER(F2180)&amp;H2180,Prices!A:C,2,0))</f>
        <v>2.9180000000000001</v>
      </c>
      <c r="W2180" s="19">
        <f t="shared" si="1262"/>
        <v>12109.875000000004</v>
      </c>
      <c r="X2180" s="13">
        <f t="shared" si="1263"/>
        <v>1650.0000000000182</v>
      </c>
      <c r="Y2180" s="43">
        <f t="shared" si="1264"/>
        <v>9.0541121495327129E-2</v>
      </c>
      <c r="Z2180" s="49"/>
      <c r="AA2180" s="24"/>
    </row>
    <row r="2181" spans="1:27" s="13" customFormat="1" hidden="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2.8849999999999998</v>
      </c>
      <c r="V2181" s="13">
        <f>IF(ISNA(VLOOKUP(LOWER(F2181)&amp;H2181,Prices!A:C,2,0)),0,VLOOKUP(LOWER(F2181)&amp;H2181,Prices!A:C,2,0))</f>
        <v>2.9180000000000001</v>
      </c>
      <c r="W2181" s="19">
        <f t="shared" ref="W2181" si="1273">IF(I2181="B",(V2181+T2181)*K2181,(V2181+T2181)*K2181)</f>
        <v>13260.220000000001</v>
      </c>
      <c r="X2181" s="13">
        <f t="shared" ref="X2181" si="1274">K2181*(V2181-U2181)</f>
        <v>1650.0000000000182</v>
      </c>
      <c r="Y2181" s="43">
        <f t="shared" ref="Y2181" si="1275">W2181/O2181</f>
        <v>0.10000165912518855</v>
      </c>
      <c r="Z2181" s="49"/>
      <c r="AA2181" s="24"/>
    </row>
    <row r="2182" spans="1:27" s="13" customFormat="1" hidden="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2.8849999999999998</v>
      </c>
      <c r="V2182" s="13">
        <f>IF(ISNA(VLOOKUP(LOWER(F2182)&amp;H2182,Prices!A:C,2,0)),0,VLOOKUP(LOWER(F2182)&amp;H2182,Prices!A:C,2,0))</f>
        <v>2.9180000000000001</v>
      </c>
      <c r="W2182" s="19">
        <f t="shared" ref="W2182:W2183" si="1284">IF(I2182="B",(V2182+T2182)*K2182,(V2182+T2182)*K2182)</f>
        <v>-89935.709999999919</v>
      </c>
      <c r="X2182" s="13">
        <f t="shared" ref="X2182:X2183" si="1285">K2182*(V2182-U2182)</f>
        <v>-9900.0000000001091</v>
      </c>
      <c r="Y2182" s="43">
        <f t="shared" ref="Y2182:Y2183" si="1286">W2182/O2182</f>
        <v>-0.11446571210385631</v>
      </c>
      <c r="Z2182" s="49"/>
      <c r="AA2182" s="24"/>
    </row>
    <row r="2183" spans="1:27" s="13" customFormat="1" hidden="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2.8849999999999998</v>
      </c>
      <c r="V2183" s="13">
        <f>IF(ISNA(VLOOKUP(LOWER(F2183)&amp;H2183,Prices!A:C,2,0)),0,VLOOKUP(LOWER(F2183)&amp;H2183,Prices!A:C,2,0))</f>
        <v>2.9180000000000001</v>
      </c>
      <c r="W2183" s="19">
        <f t="shared" si="1284"/>
        <v>-87314.617720000097</v>
      </c>
      <c r="X2183" s="13">
        <f t="shared" si="1285"/>
        <v>-9708.6000000001059</v>
      </c>
      <c r="Y2183" s="43">
        <f t="shared" si="1286"/>
        <v>-0.11319092295957296</v>
      </c>
      <c r="Z2183" s="49"/>
      <c r="AA2183" s="24"/>
    </row>
    <row r="2184" spans="1:27" hidden="1"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5.94</v>
      </c>
      <c r="V2184" s="30">
        <f>IF(ISNA(VLOOKUP(LOWER(F2184)&amp;H2184,Prices!A:C,2,0)),0,VLOOKUP(LOWER(F2184)&amp;H2184,Prices!A:C,2,0))</f>
        <v>5.82</v>
      </c>
      <c r="W2184" s="18">
        <f t="shared" ref="W2184" si="1295">IF(I2184="B",(V2184+T2184)*K2184,(V2184+T2184)*K2184)</f>
        <v>694.68808000000126</v>
      </c>
      <c r="X2184" s="30">
        <f t="shared" ref="X2184" si="1296">K2184*(V2184-U2184)</f>
        <v>-336.00000000000028</v>
      </c>
      <c r="Y2184" s="40">
        <f t="shared" ref="Y2184" si="1297">W2184/O2184</f>
        <v>4.4542708386765918E-2</v>
      </c>
    </row>
    <row r="2185" spans="1:27" s="13" customFormat="1" hidden="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8.19</v>
      </c>
      <c r="V2185" s="13">
        <f>IF(ISNA(VLOOKUP(LOWER(F2185)&amp;H2185,Prices!A:C,2,0)),0,VLOOKUP(LOWER(F2185)&amp;H2185,Prices!A:C,2,0))</f>
        <v>8.25</v>
      </c>
      <c r="W2185" s="19">
        <f t="shared" ref="W2185:W2189" si="1306">IF(I2185="B",(V2185+T2185)*K2185,(V2185+T2185)*K2185)</f>
        <v>6231.7695999999787</v>
      </c>
      <c r="X2185" s="13">
        <f t="shared" ref="X2185:X2189" si="1307">K2185*(V2185-U2185)</f>
        <v>-480.00000000000398</v>
      </c>
      <c r="Y2185" s="43">
        <f t="shared" ref="Y2185:Y2189" si="1308">W2185/O2185</f>
        <v>8.6169380530973158E-2</v>
      </c>
      <c r="Z2185" s="49"/>
      <c r="AA2185" s="24"/>
    </row>
    <row r="2186" spans="1:27" s="13" customFormat="1" hidden="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8.19</v>
      </c>
      <c r="V2186" s="13">
        <f>IF(ISNA(VLOOKUP(LOWER(F2186)&amp;H2186,Prices!A:C,2,0)),0,VLOOKUP(LOWER(F2186)&amp;H2186,Prices!A:C,2,0))</f>
        <v>8.25</v>
      </c>
      <c r="W2186" s="19">
        <f t="shared" si="1306"/>
        <v>4963.3962000000147</v>
      </c>
      <c r="X2186" s="13">
        <f t="shared" si="1307"/>
        <v>-420.00000000000347</v>
      </c>
      <c r="Y2186" s="43">
        <f t="shared" si="1308"/>
        <v>7.9047558528428319E-2</v>
      </c>
      <c r="Z2186" s="49"/>
      <c r="AA2186" s="24"/>
    </row>
    <row r="2187" spans="1:27" hidden="1"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650.07000000000005</v>
      </c>
      <c r="V2187" s="30">
        <f>IF(ISNA(VLOOKUP(LOWER(F2187)&amp;H2187,Prices!A:C,2,0)),0,VLOOKUP(LOWER(F2187)&amp;H2187,Prices!A:C,2,0))</f>
        <v>677.95</v>
      </c>
      <c r="W2187" s="18">
        <f t="shared" si="1306"/>
        <v>19894.464200000006</v>
      </c>
      <c r="X2187" s="30">
        <f t="shared" si="1307"/>
        <v>2787.9999999999995</v>
      </c>
      <c r="Y2187" s="40">
        <f t="shared" si="1308"/>
        <v>0.41542000835247456</v>
      </c>
    </row>
    <row r="2188" spans="1:27" hidden="1"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650.07000000000005</v>
      </c>
      <c r="V2188" s="30">
        <f>IF(ISNA(VLOOKUP(LOWER(F2188)&amp;H2188,Prices!A:C,2,0)),0,VLOOKUP(LOWER(F2188)&amp;H2188,Prices!A:C,2,0))</f>
        <v>677.95</v>
      </c>
      <c r="W2188" s="18">
        <f t="shared" si="1306"/>
        <v>19564.391600000006</v>
      </c>
      <c r="X2188" s="30">
        <f t="shared" si="1307"/>
        <v>2787.9999999999995</v>
      </c>
      <c r="Y2188" s="40">
        <f t="shared" si="1308"/>
        <v>0.40573188718374131</v>
      </c>
    </row>
    <row r="2189" spans="1:27" hidden="1"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650.07000000000005</v>
      </c>
      <c r="V2189" s="30">
        <f>IF(ISNA(VLOOKUP(LOWER(F2189)&amp;H2189,Prices!A:C,2,0)),0,VLOOKUP(LOWER(F2189)&amp;H2189,Prices!A:C,2,0))</f>
        <v>677.95</v>
      </c>
      <c r="W2189" s="18">
        <f t="shared" si="1306"/>
        <v>19334.341000000008</v>
      </c>
      <c r="X2189" s="30">
        <f t="shared" si="1307"/>
        <v>2787.9999999999995</v>
      </c>
      <c r="Y2189" s="40">
        <f t="shared" si="1308"/>
        <v>0.39905760577915395</v>
      </c>
    </row>
    <row r="2190" spans="1:27" hidden="1"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650.07000000000005</v>
      </c>
      <c r="V2190" s="30">
        <f>IF(ISNA(VLOOKUP(LOWER(F2190)&amp;H2190,Prices!A:C,2,0)),0,VLOOKUP(LOWER(F2190)&amp;H2190,Prices!A:C,2,0))</f>
        <v>677.95</v>
      </c>
      <c r="W2190" s="18">
        <f t="shared" ref="W2190" si="1317">IF(I2190="B",(V2190+T2190)*K2190,(V2190+T2190)*K2190)</f>
        <v>-18714.950800000002</v>
      </c>
      <c r="X2190" s="30">
        <f t="shared" ref="X2190" si="1318">K2190*(V2190-U2190)</f>
        <v>-2787.9999999999995</v>
      </c>
      <c r="Y2190" s="40">
        <f t="shared" ref="Y2190" si="1319">W2190/O2190</f>
        <v>-0.3808496296296297</v>
      </c>
    </row>
    <row r="2191" spans="1:27" hidden="1"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5.94</v>
      </c>
      <c r="V2191" s="30">
        <f>IF(ISNA(VLOOKUP(LOWER(F2191)&amp;H2191,Prices!A:C,2,0)),0,VLOOKUP(LOWER(F2191)&amp;H2191,Prices!A:C,2,0))</f>
        <v>5.82</v>
      </c>
      <c r="W2191" s="18">
        <f t="shared" ref="W2191:W2192" si="1328">IF(I2191="B",(V2191+T2191)*K2191,(V2191+T2191)*K2191)</f>
        <v>-8.7067199999982137</v>
      </c>
      <c r="X2191" s="30">
        <f t="shared" ref="X2191:X2192" si="1329">K2191*(V2191-U2191)</f>
        <v>-816.00000000000068</v>
      </c>
      <c r="Y2191" s="40">
        <f t="shared" ref="Y2191:Y2192" si="1330">W2191/O2191</f>
        <v>-2.1999999999995485E-4</v>
      </c>
    </row>
    <row r="2192" spans="1:27" hidden="1"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5.94</v>
      </c>
      <c r="V2192" s="30">
        <f>IF(ISNA(VLOOKUP(LOWER(F2192)&amp;H2192,Prices!A:C,2,0)),0,VLOOKUP(LOWER(F2192)&amp;H2192,Prices!A:C,2,0))</f>
        <v>5.82</v>
      </c>
      <c r="W2192" s="18">
        <f t="shared" si="1328"/>
        <v>-348.78152000000142</v>
      </c>
      <c r="X2192" s="30">
        <f t="shared" si="1329"/>
        <v>-816.00000000000068</v>
      </c>
      <c r="Y2192" s="40">
        <f t="shared" si="1330"/>
        <v>-8.7378875638841925E-3</v>
      </c>
    </row>
    <row r="2193" spans="1:25" hidden="1"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41.3</v>
      </c>
      <c r="V2193" s="30">
        <f>IF(ISNA(VLOOKUP(LOWER(F2193)&amp;H2193,Prices!A:C,2,0)),0,VLOOKUP(LOWER(F2193)&amp;H2193,Prices!A:C,2,0))</f>
        <v>42.53</v>
      </c>
      <c r="W2193" s="18">
        <f t="shared" ref="W2193" si="1337">IF(I2193="B",(V2193+T2193)*K2193,(V2193+T2193)*K2193)</f>
        <v>9463.5376000000033</v>
      </c>
      <c r="X2193" s="30">
        <f t="shared" ref="X2193" si="1338">K2193*(V2193-U2193)</f>
        <v>1353.0000000000043</v>
      </c>
      <c r="Y2193" s="40">
        <f t="shared" ref="Y2193" si="1339">W2193/O2193</f>
        <v>0.25363254716981143</v>
      </c>
    </row>
    <row r="2194" spans="1:25" hidden="1"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5.94</v>
      </c>
      <c r="V2194" s="30">
        <f>IF(ISNA(VLOOKUP(LOWER(F2194)&amp;H2194,Prices!A:C,2,0)),0,VLOOKUP(LOWER(F2194)&amp;H2194,Prices!A:C,2,0))</f>
        <v>5.82</v>
      </c>
      <c r="W2194" s="18">
        <f t="shared" ref="W2194:W2195" si="1348">IF(I2194="B",(V2194+T2194)*K2194,(V2194+T2194)*K2194)</f>
        <v>-477.68185999999793</v>
      </c>
      <c r="X2194" s="30">
        <f t="shared" ref="X2194:X2195" si="1349">K2194*(V2194-U2194)</f>
        <v>-804.00000000000068</v>
      </c>
      <c r="Y2194" s="40">
        <f t="shared" ref="Y2194:Y2195" si="1350">W2194/O2194</f>
        <v>-1.2104550084889591E-2</v>
      </c>
    </row>
    <row r="2195" spans="1:25" hidden="1"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650.07000000000005</v>
      </c>
      <c r="V2195" s="30">
        <f>IF(ISNA(VLOOKUP(LOWER(F2195)&amp;H2195,Prices!A:C,2,0)),0,VLOOKUP(LOWER(F2195)&amp;H2195,Prices!A:C,2,0))</f>
        <v>677.95</v>
      </c>
      <c r="W2195" s="18">
        <f t="shared" si="1348"/>
        <v>19134.297000000002</v>
      </c>
      <c r="X2195" s="30">
        <f t="shared" si="1349"/>
        <v>2787.9999999999995</v>
      </c>
      <c r="Y2195" s="40">
        <f t="shared" si="1350"/>
        <v>0.39330517985611513</v>
      </c>
    </row>
    <row r="2196" spans="1:25" hidden="1"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650.07000000000005</v>
      </c>
      <c r="V2196" s="30">
        <f>IF(ISNA(VLOOKUP(LOWER(F2196)&amp;H2196,Prices!A:C,2,0)),0,VLOOKUP(LOWER(F2196)&amp;H2196,Prices!A:C,2,0))</f>
        <v>677.95</v>
      </c>
      <c r="W2196" s="18">
        <f t="shared" ref="W2196" si="1359">IF(I2196="B",(V2196+T2196)*K2196,(V2196+T2196)*K2196)</f>
        <v>20634.627000000008</v>
      </c>
      <c r="X2196" s="30">
        <f t="shared" ref="X2196" si="1360">K2196*(V2196-U2196)</f>
        <v>2787.9999999999995</v>
      </c>
      <c r="Y2196" s="40">
        <f>W2196/O2196</f>
        <v>0.43763790031813377</v>
      </c>
    </row>
    <row r="2197" spans="1:25"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16.52</v>
      </c>
      <c r="V2197" s="30">
        <f>IF(ISNA(VLOOKUP(LOWER(F2197)&amp;H2197,Prices!A:C,2,0)),0,VLOOKUP(LOWER(F2197)&amp;H2197,Prices!A:C,2,0))</f>
        <v>16.59</v>
      </c>
      <c r="W2197" s="18">
        <f t="shared" ref="W2197" si="1369">IF(I2197="B",(V2197+T2197)*K2197,(V2197+T2197)*K2197)</f>
        <v>3995.3914000000022</v>
      </c>
      <c r="X2197" s="30">
        <f t="shared" ref="X2197" si="1370">K2197*(V2197-U2197)</f>
        <v>182.00000000000074</v>
      </c>
      <c r="Y2197" s="40">
        <f t="shared" ref="Y2197" si="1371">W2197/O2197</f>
        <v>0.10210558139534889</v>
      </c>
    </row>
    <row r="2198" spans="1:25" hidden="1"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26.42</v>
      </c>
      <c r="V2198" s="30">
        <f>IF(ISNA(VLOOKUP(LOWER(F2198)&amp;H2198,Prices!A:C,2,0)),0,VLOOKUP(LOWER(F2198)&amp;H2198,Prices!A:C,2,0))</f>
        <v>25.72</v>
      </c>
      <c r="W2198" s="18">
        <f t="shared" ref="W2198:W2199" si="1379">IF(I2198="B",(V2198+T2198)*K2198,(V2198+T2198)*K2198)</f>
        <v>-4559.3997200000003</v>
      </c>
      <c r="X2198" s="30">
        <f t="shared" ref="X2198:X2200" si="1380">K2198*(V2198-U2198)</f>
        <v>-420.00000000000171</v>
      </c>
      <c r="Y2198" s="40">
        <f t="shared" ref="Y2198:Y2200" si="1381">W2198/O2198</f>
        <v>-0.22812967677374163</v>
      </c>
    </row>
    <row r="2199" spans="1:25" hidden="1"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70.98</v>
      </c>
      <c r="V2199" s="30">
        <f>IF(ISNA(VLOOKUP(LOWER(F2199)&amp;H2199,Prices!A:C,2,0)),0,VLOOKUP(LOWER(F2199)&amp;H2199,Prices!A:C,2,0))</f>
        <v>71.52</v>
      </c>
      <c r="W2199" s="18">
        <f t="shared" si="1379"/>
        <v>5118.5303199999989</v>
      </c>
      <c r="X2199" s="30">
        <f t="shared" si="1380"/>
        <v>215.99999999999682</v>
      </c>
      <c r="Y2199" s="40">
        <f t="shared" si="1381"/>
        <v>0.21795819792198939</v>
      </c>
    </row>
    <row r="2200" spans="1:25" hidden="1"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17.079999999999998</v>
      </c>
      <c r="V2200" s="30">
        <f>IF(ISNA(VLOOKUP(LOWER(F2200)&amp;H2200,Prices!A:C,2,0)),0,VLOOKUP(LOWER(F2200)&amp;H2200,Prices!A:C,2,0))</f>
        <v>17.010000000000002</v>
      </c>
      <c r="W2200" s="18">
        <f>IF(I2200="B",(V2200+T2200)*K2200,(V2200+T2200)*K2200)</f>
        <v>-2449.9728000000032</v>
      </c>
      <c r="X2200" s="30">
        <f t="shared" si="1380"/>
        <v>-153.99999999999281</v>
      </c>
      <c r="Y2200" s="40">
        <f t="shared" si="1381"/>
        <v>-6.1458278145695447E-2</v>
      </c>
    </row>
    <row r="2201" spans="1:25" hidden="1"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17.079999999999998</v>
      </c>
      <c r="V2201" s="30">
        <f>IF(ISNA(VLOOKUP(LOWER(F2201)&amp;H2201,Prices!A:C,2,0)),0,VLOOKUP(LOWER(F2201)&amp;H2201,Prices!A:C,2,0))</f>
        <v>17.010000000000002</v>
      </c>
      <c r="W2201" s="18">
        <f>IF(I2201="B",(V2201+T2201)*K2201,(V2201+T2201)*K2201)</f>
        <v>-1384.999999999998</v>
      </c>
      <c r="X2201" s="30">
        <f t="shared" ref="X2201" si="1389">K2201*(V2201-U2201)</f>
        <v>-83.999999999996078</v>
      </c>
      <c r="Y2201" s="40">
        <f t="shared" ref="Y2201" si="1390">W2201/O2201</f>
        <v>-6.3555433186490359E-2</v>
      </c>
    </row>
    <row r="2202" spans="1:25" hidden="1"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43.74</v>
      </c>
      <c r="V2202" s="30">
        <f>IF(ISNA(VLOOKUP(LOWER(F2202)&amp;H2202,Prices!A:C,2,0)),0,VLOOKUP(LOWER(F2202)&amp;H2202,Prices!A:C,2,0))</f>
        <v>45.67</v>
      </c>
      <c r="W2202" s="18">
        <f t="shared" ref="W2202:W2205" si="1398">IF(I2202="B",(V2202+T2202)*K2202,(V2202+T2202)*K2202)</f>
        <v>4025.0000000000023</v>
      </c>
      <c r="X2202" s="30">
        <f t="shared" ref="X2202:X2205" si="1399">K2202*(V2202-U2202)</f>
        <v>964.99999999999989</v>
      </c>
      <c r="Y2202" s="40">
        <f t="shared" ref="Y2202:Y2205" si="1400">W2202/O2202</f>
        <v>0.21403881946290892</v>
      </c>
    </row>
    <row r="2203" spans="1:25" hidden="1"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31.84</v>
      </c>
      <c r="V2203" s="30">
        <f>IF(ISNA(VLOOKUP(LOWER(F2203)&amp;H2203,Prices!A:C,2,0)),0,VLOOKUP(LOWER(F2203)&amp;H2203,Prices!A:C,2,0))</f>
        <v>32.01</v>
      </c>
      <c r="W2203" s="18">
        <f t="shared" si="1398"/>
        <v>-1310.3462000000015</v>
      </c>
      <c r="X2203" s="30">
        <f t="shared" si="1399"/>
        <v>84.999999999999076</v>
      </c>
      <c r="Y2203" s="40">
        <f t="shared" si="1400"/>
        <v>-7.5698798382437982E-2</v>
      </c>
    </row>
    <row r="2204" spans="1:25" hidden="1" x14ac:dyDescent="0.15">
      <c r="A2204" s="1">
        <v>42998</v>
      </c>
      <c r="B2204" s="65">
        <v>0.40633101851851849</v>
      </c>
      <c r="C2204" s="30" t="s">
        <v>1128</v>
      </c>
      <c r="D2204" s="30" t="s">
        <v>1129</v>
      </c>
      <c r="E2204" t="s">
        <v>1130</v>
      </c>
      <c r="F2204" t="s">
        <v>4408</v>
      </c>
      <c r="G2204" s="30" t="str">
        <f>VLOOKUP(LOWER(F2204)&amp;H2204,'Current pricing'!A:B,2,0)</f>
        <v>今世缘</v>
      </c>
      <c r="H2204" s="3" t="s">
        <v>4415</v>
      </c>
      <c r="I2204" t="s">
        <v>1207</v>
      </c>
      <c r="J2204" s="29" t="s">
        <v>1798</v>
      </c>
      <c r="K2204">
        <v>100</v>
      </c>
      <c r="L2204">
        <v>1</v>
      </c>
      <c r="M2204">
        <v>16.559999999999999</v>
      </c>
      <c r="N2204" s="30">
        <f t="shared" si="1391"/>
        <v>1655.9999999999998</v>
      </c>
      <c r="O2204" s="30">
        <f t="shared" si="1392"/>
        <v>1655.9999999999998</v>
      </c>
      <c r="P2204" s="18">
        <f t="shared" si="1393"/>
        <v>3.3119999999999997E-2</v>
      </c>
      <c r="Q2204" s="18">
        <f t="shared" si="1394"/>
        <v>5</v>
      </c>
      <c r="R2204" s="30">
        <f t="shared" si="1395"/>
        <v>0</v>
      </c>
      <c r="S2204" s="18">
        <f t="shared" si="1396"/>
        <v>-1661.0331199999998</v>
      </c>
      <c r="T2204" s="30">
        <f t="shared" si="1397"/>
        <v>-16.610331199999997</v>
      </c>
      <c r="U2204" s="30">
        <f>IF(ISNA(VLOOKUP(LOWER(F2204)&amp;H2204,Prices!A:C,3,0)),0,VLOOKUP(LOWER(F2204)&amp;H2204,Prices!A:C,3,0))</f>
        <v>15.78</v>
      </c>
      <c r="V2204" s="30">
        <f>IF(ISNA(VLOOKUP(LOWER(F2204)&amp;H2204,Prices!A:C,2,0)),0,VLOOKUP(LOWER(F2204)&amp;H2204,Prices!A:C,2,0))</f>
        <v>16.28</v>
      </c>
      <c r="W2204" s="18">
        <f t="shared" si="1398"/>
        <v>-33.033119999999627</v>
      </c>
      <c r="X2204" s="30">
        <f t="shared" si="1399"/>
        <v>50.000000000000178</v>
      </c>
      <c r="Y2204" s="40">
        <f t="shared" si="1400"/>
        <v>-1.9947536231883837E-2</v>
      </c>
    </row>
    <row r="2205" spans="1:25" hidden="1"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43.74</v>
      </c>
      <c r="V2205" s="30">
        <f>IF(ISNA(VLOOKUP(LOWER(F2205)&amp;H2205,Prices!A:C,2,0)),0,VLOOKUP(LOWER(F2205)&amp;H2205,Prices!A:C,2,0))</f>
        <v>45.67</v>
      </c>
      <c r="W2205" s="18">
        <f t="shared" si="1398"/>
        <v>3905.0000000000009</v>
      </c>
      <c r="X2205" s="30">
        <f t="shared" si="1399"/>
        <v>964.99999999999989</v>
      </c>
      <c r="Y2205" s="40">
        <f t="shared" si="1400"/>
        <v>0.20634081902245713</v>
      </c>
    </row>
    <row r="2206" spans="1:25" hidden="1"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35.64</v>
      </c>
      <c r="V2206" s="30">
        <f>IF(ISNA(VLOOKUP(LOWER(F2206)&amp;H2206,Prices!A:C,2,0)),0,VLOOKUP(LOWER(F2206)&amp;H2206,Prices!A:C,2,0))</f>
        <v>39.200000000000003</v>
      </c>
      <c r="W2206" s="18">
        <f t="shared" ref="W2206" si="1408">IF(I2206="B",(V2206+T2206)*K2206,(V2206+T2206)*K2206)</f>
        <v>7086.6714400000001</v>
      </c>
      <c r="X2206" s="30">
        <f t="shared" ref="X2206" si="1409">K2206*(V2206-U2206)</f>
        <v>2136.0000000000014</v>
      </c>
      <c r="Y2206" s="40">
        <f t="shared" ref="Y2206" si="1410">W2206/O2206</f>
        <v>0.43137761383004625</v>
      </c>
    </row>
    <row r="2207" spans="1:25" hidden="1"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41.3</v>
      </c>
      <c r="V2207" s="30">
        <f>IF(ISNA(VLOOKUP(LOWER(F2207)&amp;H2207,Prices!A:C,2,0)),0,VLOOKUP(LOWER(F2207)&amp;H2207,Prices!A:C,2,0))</f>
        <v>42.53</v>
      </c>
      <c r="W2207" s="18">
        <f t="shared" ref="W2207" si="1418">IF(I2207="B",(V2207+T2207)*K2207,(V2207+T2207)*K2207)</f>
        <v>5475.0000000000018</v>
      </c>
      <c r="X2207" s="30">
        <f t="shared" ref="X2207" si="1419">K2207*(V2207-U2207)</f>
        <v>615.00000000000205</v>
      </c>
      <c r="Y2207" s="40">
        <f t="shared" ref="Y2207" si="1420">W2207/O2207</f>
        <v>0.34684827367754206</v>
      </c>
    </row>
    <row r="2208" spans="1:25" hidden="1"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28.37</v>
      </c>
      <c r="V2208" s="30">
        <f>IF(ISNA(VLOOKUP(LOWER(F2208)&amp;H2208,Prices!A:C,2,0)),0,VLOOKUP(LOWER(F2208)&amp;H2208,Prices!A:C,2,0))</f>
        <v>28.49</v>
      </c>
      <c r="W2208" s="18">
        <f t="shared" ref="W2208" si="1428">IF(I2208="B",(V2208+T2208)*K2208,(V2208+T2208)*K2208)</f>
        <v>1162.9999999999995</v>
      </c>
      <c r="X2208" s="30">
        <f t="shared" ref="X2208" si="1429">K2208*(V2208-U2208)</f>
        <v>47.999999999998977</v>
      </c>
      <c r="Y2208" s="40">
        <f t="shared" ref="Y2208" si="1430">W2208/O2208</f>
        <v>0.11370746969104414</v>
      </c>
    </row>
    <row r="2209" spans="1:25" hidden="1"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43.74</v>
      </c>
      <c r="V2209" s="30">
        <f>IF(ISNA(VLOOKUP(LOWER(F2209)&amp;H2209,Prices!A:C,2,0)),0,VLOOKUP(LOWER(F2209)&amp;H2209,Prices!A:C,2,0))</f>
        <v>45.67</v>
      </c>
      <c r="W2209" s="18">
        <f t="shared" ref="W2209" si="1438">IF(I2209="B",(V2209+T2209)*K2209,(V2209+T2209)*K2209)</f>
        <v>-7505.8519999999971</v>
      </c>
      <c r="X2209" s="30">
        <f t="shared" ref="X2209" si="1439">K2209*(V2209-U2209)</f>
        <v>-1929.9999999999998</v>
      </c>
      <c r="Y2209" s="40">
        <f t="shared" ref="Y2209" si="1440">W2209/O2209</f>
        <v>-0.19643684899241029</v>
      </c>
    </row>
    <row r="2210" spans="1:25" hidden="1"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17.079999999999998</v>
      </c>
      <c r="V2210" s="30">
        <f>IF(ISNA(VLOOKUP(LOWER(F2210)&amp;H2210,Prices!A:C,2,0)),0,VLOOKUP(LOWER(F2210)&amp;H2210,Prices!A:C,2,0))</f>
        <v>17.010000000000002</v>
      </c>
      <c r="W2210" s="18">
        <f t="shared" ref="W2210" si="1448">IF(I2210="B",(V2210+T2210)*K2210,(V2210+T2210)*K2210)</f>
        <v>7367.6639999999989</v>
      </c>
      <c r="X2210" s="30">
        <f t="shared" ref="X2210" si="1449">K2210*(V2210-U2210)</f>
        <v>237.99999999998889</v>
      </c>
      <c r="Y2210" s="40">
        <f t="shared" ref="Y2210" si="1450">W2210/O2210</f>
        <v>0.11286249999999998</v>
      </c>
    </row>
    <row r="2211" spans="1:25" hidden="1"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17.079999999999998</v>
      </c>
      <c r="V2211" s="30">
        <f>IF(ISNA(VLOOKUP(LOWER(F2211)&amp;H2211,Prices!A:C,2,0)),0,VLOOKUP(LOWER(F2211)&amp;H2211,Prices!A:C,2,0))</f>
        <v>17.010000000000002</v>
      </c>
      <c r="W2211" s="18">
        <f t="shared" ref="W2211" si="1458">IF(I2211="B",(V2211+T2211)*K2211,(V2211+T2211)*K2211)</f>
        <v>-2465</v>
      </c>
      <c r="X2211" s="30">
        <f t="shared" ref="X2211" si="1459">K2211*(V2211-U2211)</f>
        <v>-69.999999999996732</v>
      </c>
      <c r="Y2211" s="40">
        <f t="shared" ref="Y2211" si="1460">W2211/O2211</f>
        <v>-0.12660503338469439</v>
      </c>
    </row>
    <row r="2212" spans="1:25" hidden="1"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26.42</v>
      </c>
      <c r="V2212" s="30">
        <f>IF(ISNA(VLOOKUP(LOWER(F2212)&amp;H2212,Prices!A:C,2,0)),0,VLOOKUP(LOWER(F2212)&amp;H2212,Prices!A:C,2,0))</f>
        <v>25.72</v>
      </c>
      <c r="W2212" s="18">
        <f t="shared" ref="W2212:W2214" si="1468">IF(I2212="B",(V2212+T2212)*K2212,(V2212+T2212)*K2212)</f>
        <v>-956.17333999999983</v>
      </c>
      <c r="X2212" s="30">
        <f t="shared" ref="X2212:X2214" si="1469">K2212*(V2212-U2212)</f>
        <v>-210.00000000000085</v>
      </c>
      <c r="Y2212" s="40">
        <f t="shared" ref="Y2212:Y2214" si="1470">W2212/O2212</f>
        <v>-0.11032344986731278</v>
      </c>
    </row>
    <row r="2213" spans="1:25" hidden="1"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31.84</v>
      </c>
      <c r="V2213" s="30">
        <f>IF(ISNA(VLOOKUP(LOWER(F2213)&amp;H2213,Prices!A:C,2,0)),0,VLOOKUP(LOWER(F2213)&amp;H2213,Prices!A:C,2,0))</f>
        <v>32.01</v>
      </c>
      <c r="W2213" s="18">
        <f t="shared" si="1468"/>
        <v>-150.32300000000021</v>
      </c>
      <c r="X2213" s="30">
        <f t="shared" si="1469"/>
        <v>84.999999999999076</v>
      </c>
      <c r="Y2213" s="40">
        <f t="shared" si="1470"/>
        <v>-9.3079256965944417E-3</v>
      </c>
    </row>
    <row r="2214" spans="1:25" hidden="1"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17.079999999999998</v>
      </c>
      <c r="V2214" s="30">
        <f>IF(ISNA(VLOOKUP(LOWER(F2214)&amp;H2214,Prices!A:C,2,0)),0,VLOOKUP(LOWER(F2214)&amp;H2214,Prices!A:C,2,0))</f>
        <v>17.010000000000002</v>
      </c>
      <c r="W2214" s="18">
        <f t="shared" si="1468"/>
        <v>-1674.9999999999973</v>
      </c>
      <c r="X2214" s="30">
        <f t="shared" si="1469"/>
        <v>-69.999999999996732</v>
      </c>
      <c r="Y2214" s="40">
        <f t="shared" si="1470"/>
        <v>-8.9668094218415276E-2</v>
      </c>
    </row>
    <row r="2215" spans="1:25" hidden="1"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17.079999999999998</v>
      </c>
      <c r="V2215" s="30">
        <f>IF(ISNA(VLOOKUP(LOWER(F2215)&amp;H2215,Prices!A:C,2,0)),0,VLOOKUP(LOWER(F2215)&amp;H2215,Prices!A:C,2,0))</f>
        <v>17.010000000000002</v>
      </c>
      <c r="W2215" s="18">
        <f t="shared" ref="W2215" si="1478">IF(I2215="B",(V2215+T2215)*K2215,(V2215+T2215)*K2215)</f>
        <v>-826.99999999999818</v>
      </c>
      <c r="X2215" s="30">
        <f t="shared" ref="X2215" si="1479">K2215*(V2215-U2215)</f>
        <v>-41.999999999998039</v>
      </c>
      <c r="Y2215" s="40">
        <f t="shared" ref="Y2215" si="1480">W2215/O2215</f>
        <v>-7.4990932172651265E-2</v>
      </c>
    </row>
    <row r="2216" spans="1:25" hidden="1" x14ac:dyDescent="0.15">
      <c r="A2216" s="1">
        <v>43024</v>
      </c>
      <c r="B2216" s="65">
        <v>0.6209027777777778</v>
      </c>
      <c r="C2216" s="30" t="s">
        <v>1128</v>
      </c>
      <c r="D2216" s="30" t="s">
        <v>1129</v>
      </c>
      <c r="E2216" t="s">
        <v>1130</v>
      </c>
      <c r="F2216" t="s">
        <v>4408</v>
      </c>
      <c r="G2216" s="30" t="str">
        <f>VLOOKUP(LOWER(F2216)&amp;H2216,'Current pricing'!A:B,2,0)</f>
        <v>今世缘</v>
      </c>
      <c r="H2216" s="3" t="s">
        <v>4415</v>
      </c>
      <c r="I2216" t="s">
        <v>1207</v>
      </c>
      <c r="J2216" s="29" t="s">
        <v>1798</v>
      </c>
      <c r="K2216">
        <v>700</v>
      </c>
      <c r="L2216">
        <v>1</v>
      </c>
      <c r="M2216">
        <v>16.84</v>
      </c>
      <c r="N2216" s="30">
        <f t="shared" ref="N2216:N2219" si="1481">K2216*M2216</f>
        <v>11788</v>
      </c>
      <c r="O2216" s="30">
        <f t="shared" ref="O2216:O2219" si="1482">ABS(N2216)</f>
        <v>11788</v>
      </c>
      <c r="P2216" s="18">
        <f t="shared" ref="P2216:P2219" si="1483">IF(H2216="510050",0,IF(F2216="SZ",0,ABS(N2216*0.2%%)))</f>
        <v>0.23576000000000003</v>
      </c>
      <c r="Q2216" s="18">
        <f t="shared" ref="Q2216:Q2219" si="1484">IF(I2216&lt;&gt;"D",IF(C2216="Stock",MAX(ABS(N2216*0.0002),5),MAX(ABS(N2216*0.0003),5)),0)</f>
        <v>5</v>
      </c>
      <c r="R2216" s="30">
        <f t="shared" ref="R2216:R2219" si="1485">IF(H2216="510050",0,ROUND(IF(OR(I2216="B",I2216="D"),0,ABS(N2216*0.001)),2))</f>
        <v>0</v>
      </c>
      <c r="S2216" s="18">
        <f t="shared" ref="S2216:S2219" si="1486">-(N2216+P2216+Q2216+R2216)</f>
        <v>-11793.23576</v>
      </c>
      <c r="T2216" s="30">
        <f t="shared" ref="T2216:T2219" si="1487">S2216/K2216</f>
        <v>-16.847479657142856</v>
      </c>
      <c r="U2216" s="30">
        <f>IF(ISNA(VLOOKUP(LOWER(F2216)&amp;H2216,Prices!A:C,3,0)),0,VLOOKUP(LOWER(F2216)&amp;H2216,Prices!A:C,3,0))</f>
        <v>15.78</v>
      </c>
      <c r="V2216" s="30">
        <f>IF(ISNA(VLOOKUP(LOWER(F2216)&amp;H2216,Prices!A:C,2,0)),0,VLOOKUP(LOWER(F2216)&amp;H2216,Prices!A:C,2,0))</f>
        <v>16.28</v>
      </c>
      <c r="W2216" s="18">
        <f t="shared" ref="W2216:W2219" si="1488">IF(I2216="B",(V2216+T2216)*K2216,(V2216+T2216)*K2216)</f>
        <v>-397.23575999999809</v>
      </c>
      <c r="X2216" s="30">
        <f t="shared" ref="X2216:X2219" si="1489">K2216*(V2216-U2216)</f>
        <v>350.00000000000125</v>
      </c>
      <c r="Y2216" s="40">
        <f>W2216/O2216</f>
        <v>-3.3698316932473542E-2</v>
      </c>
    </row>
    <row r="2217" spans="1:25" hidden="1"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28.37</v>
      </c>
      <c r="V2217" s="30">
        <f>IF(ISNA(VLOOKUP(LOWER(F2217)&amp;H2217,Prices!A:C,2,0)),0,VLOOKUP(LOWER(F2217)&amp;H2217,Prices!A:C,2,0))</f>
        <v>28.49</v>
      </c>
      <c r="W2217" s="18">
        <f t="shared" si="1488"/>
        <v>1476.9999999999995</v>
      </c>
      <c r="X2217" s="30">
        <f t="shared" si="1489"/>
        <v>71.999999999998465</v>
      </c>
      <c r="Y2217" s="40">
        <f>W2217/O2217</f>
        <v>9.4606712785037128E-2</v>
      </c>
    </row>
    <row r="2218" spans="1:25" hidden="1"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17.079999999999998</v>
      </c>
      <c r="V2218" s="30">
        <f>IF(ISNA(VLOOKUP(LOWER(F2218)&amp;H2218,Prices!A:C,2,0)),0,VLOOKUP(LOWER(F2218)&amp;H2218,Prices!A:C,2,0))</f>
        <v>17.010000000000002</v>
      </c>
      <c r="W2218" s="18">
        <f t="shared" si="1488"/>
        <v>-1036.9999999999991</v>
      </c>
      <c r="X2218" s="30">
        <f t="shared" si="1489"/>
        <v>-41.999999999998039</v>
      </c>
      <c r="Y2218" s="40">
        <f t="shared" ref="Y2218:Y2219" si="1490">W2218/O2218</f>
        <v>-9.2276205730556962E-2</v>
      </c>
    </row>
    <row r="2219" spans="1:25" hidden="1"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35.64</v>
      </c>
      <c r="V2219" s="30">
        <f>IF(ISNA(VLOOKUP(LOWER(F2219)&amp;H2219,Prices!A:C,2,0)),0,VLOOKUP(LOWER(F2219)&amp;H2219,Prices!A:C,2,0))</f>
        <v>39.200000000000003</v>
      </c>
      <c r="W2219" s="18">
        <f t="shared" si="1488"/>
        <v>6834.6664000000001</v>
      </c>
      <c r="X2219" s="30">
        <f t="shared" si="1489"/>
        <v>2136.0000000000014</v>
      </c>
      <c r="Y2219" s="40">
        <f t="shared" si="1490"/>
        <v>0.40975218225419663</v>
      </c>
    </row>
    <row r="2220" spans="1:25" hidden="1"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31.84</v>
      </c>
      <c r="V2220" s="30">
        <f>IF(ISNA(VLOOKUP(LOWER(F2220)&amp;H2220,Prices!A:C,2,0)),0,VLOOKUP(LOWER(F2220)&amp;H2220,Prices!A:C,2,0))</f>
        <v>32.01</v>
      </c>
      <c r="W2220" s="18">
        <f t="shared" ref="W2220:W2222" si="1498">IF(I2220="B",(V2220+T2220)*K2220,(V2220+T2220)*K2220)</f>
        <v>192.81189999999987</v>
      </c>
      <c r="X2220" s="30">
        <f t="shared" ref="X2220:X2222" si="1499">K2220*(V2220-U2220)</f>
        <v>50.999999999999446</v>
      </c>
      <c r="Y2220" s="40">
        <f t="shared" ref="Y2220:Y2222" si="1500">W2220/O2220</f>
        <v>2.0500999468367875E-2</v>
      </c>
    </row>
    <row r="2221" spans="1:25" hidden="1"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29.79</v>
      </c>
      <c r="V2221" s="30">
        <f>IF(ISNA(VLOOKUP(LOWER(F2221)&amp;H2221,Prices!A:C,2,0)),0,VLOOKUP(LOWER(F2221)&amp;H2221,Prices!A:C,2,0))</f>
        <v>30.85</v>
      </c>
      <c r="W2221" s="18">
        <f t="shared" si="1498"/>
        <v>459.82419999999991</v>
      </c>
      <c r="X2221" s="30">
        <f t="shared" si="1499"/>
        <v>318.00000000000068</v>
      </c>
      <c r="Y2221" s="40">
        <f t="shared" si="1500"/>
        <v>5.2312195676905565E-2</v>
      </c>
    </row>
    <row r="2222" spans="1:25" hidden="1"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17.079999999999998</v>
      </c>
      <c r="V2222" s="30">
        <f>IF(ISNA(VLOOKUP(LOWER(F2222)&amp;H2222,Prices!A:C,2,0)),0,VLOOKUP(LOWER(F2222)&amp;H2222,Prices!A:C,2,0))</f>
        <v>17.010000000000002</v>
      </c>
      <c r="W2222" s="18">
        <f t="shared" si="1498"/>
        <v>-554.99999999999977</v>
      </c>
      <c r="X2222" s="30">
        <f t="shared" si="1499"/>
        <v>-69.999999999996732</v>
      </c>
      <c r="Y2222" s="40">
        <f t="shared" si="1500"/>
        <v>-3.1605922551252837E-2</v>
      </c>
    </row>
    <row r="2223" spans="1:25" hidden="1" x14ac:dyDescent="0.15">
      <c r="A2223" s="1">
        <v>43028</v>
      </c>
      <c r="B2223" s="65">
        <v>0.54822916666666666</v>
      </c>
      <c r="C2223" s="30" t="s">
        <v>1128</v>
      </c>
      <c r="D2223" s="30" t="s">
        <v>1129</v>
      </c>
      <c r="E2223" t="s">
        <v>1130</v>
      </c>
      <c r="F2223" t="s">
        <v>4408</v>
      </c>
      <c r="G2223" s="30" t="str">
        <f>VLOOKUP(LOWER(F2223)&amp;H2223,'Current pricing'!A:B,2,0)</f>
        <v>今世缘</v>
      </c>
      <c r="H2223" s="3" t="s">
        <v>4415</v>
      </c>
      <c r="I2223" t="s">
        <v>1207</v>
      </c>
      <c r="J2223" s="29" t="s">
        <v>1798</v>
      </c>
      <c r="K2223">
        <v>600</v>
      </c>
      <c r="L2223">
        <v>1</v>
      </c>
      <c r="M2223">
        <v>16.5</v>
      </c>
      <c r="N2223" s="30">
        <f t="shared" ref="N2223:N2224" si="1501">K2223*M2223</f>
        <v>9900</v>
      </c>
      <c r="O2223" s="30">
        <f t="shared" ref="O2223:O2224" si="1502">ABS(N2223)</f>
        <v>9900</v>
      </c>
      <c r="P2223" s="18">
        <f t="shared" ref="P2223:P2224" si="1503">IF(H2223="510050",0,IF(F2223="SZ",0,ABS(N2223*0.2%%)))</f>
        <v>0.19800000000000001</v>
      </c>
      <c r="Q2223" s="18">
        <f t="shared" ref="Q2223:Q2224" si="1504">IF(I2223&lt;&gt;"D",IF(C2223="Stock",MAX(ABS(N2223*0.0002),5),MAX(ABS(N2223*0.0003),5)),0)</f>
        <v>5</v>
      </c>
      <c r="R2223" s="30">
        <f t="shared" ref="R2223:R2224" si="1505">IF(H2223="510050",0,ROUND(IF(OR(I2223="B",I2223="D"),0,ABS(N2223*0.001)),2))</f>
        <v>0</v>
      </c>
      <c r="S2223" s="18">
        <f t="shared" ref="S2223:S2224" si="1506">-(N2223+P2223+Q2223+R2223)</f>
        <v>-9905.1980000000003</v>
      </c>
      <c r="T2223" s="30">
        <f t="shared" ref="T2223:T2224" si="1507">S2223/K2223</f>
        <v>-16.508663333333335</v>
      </c>
      <c r="U2223" s="30">
        <f>IF(ISNA(VLOOKUP(LOWER(F2223)&amp;H2223,Prices!A:C,3,0)),0,VLOOKUP(LOWER(F2223)&amp;H2223,Prices!A:C,3,0))</f>
        <v>15.78</v>
      </c>
      <c r="V2223" s="30">
        <f>IF(ISNA(VLOOKUP(LOWER(F2223)&amp;H2223,Prices!A:C,2,0)),0,VLOOKUP(LOWER(F2223)&amp;H2223,Prices!A:C,2,0))</f>
        <v>16.28</v>
      </c>
      <c r="W2223" s="18">
        <f t="shared" ref="W2223:W2224" si="1508">IF(I2223="B",(V2223+T2223)*K2223,(V2223+T2223)*K2223)</f>
        <v>-137.19800000000006</v>
      </c>
      <c r="X2223" s="30">
        <f t="shared" ref="X2223:X2224" si="1509">K2223*(V2223-U2223)</f>
        <v>300.00000000000108</v>
      </c>
      <c r="Y2223" s="40">
        <f t="shared" ref="Y2223:Y2224" si="1510">W2223/O2223</f>
        <v>-1.3858383838383845E-2</v>
      </c>
    </row>
    <row r="2224" spans="1:25" hidden="1"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54.38</v>
      </c>
      <c r="V2224" s="30">
        <f>IF(ISNA(VLOOKUP(LOWER(F2224)&amp;H2224,Prices!A:C,2,0)),0,VLOOKUP(LOWER(F2224)&amp;H2224,Prices!A:C,2,0))</f>
        <v>54.55</v>
      </c>
      <c r="W2224" s="18">
        <f t="shared" si="1508"/>
        <v>1004.8019999999995</v>
      </c>
      <c r="X2224" s="30">
        <f t="shared" si="1509"/>
        <v>33.99999999999892</v>
      </c>
      <c r="Y2224" s="40">
        <f t="shared" si="1510"/>
        <v>0.10149515151515145</v>
      </c>
    </row>
    <row r="2225" spans="1:25" hidden="1"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70.98</v>
      </c>
      <c r="V2225" s="30">
        <f>IF(ISNA(VLOOKUP(LOWER(F2225)&amp;H2225,Prices!A:C,2,0)),0,VLOOKUP(LOWER(F2225)&amp;H2225,Prices!A:C,2,0))</f>
        <v>71.52</v>
      </c>
      <c r="W2225" s="18">
        <f t="shared" ref="W2225" si="1518">IF(I2225="B",(V2225+T2225)*K2225,(V2225+T2225)*K2225)</f>
        <v>1374.7415199999978</v>
      </c>
      <c r="X2225" s="30">
        <f t="shared" ref="X2225" si="1519">K2225*(V2225-U2225)</f>
        <v>107.99999999999841</v>
      </c>
      <c r="Y2225" s="40">
        <f t="shared" ref="Y2225" si="1520">W2225/O2225</f>
        <v>0.10637121015165567</v>
      </c>
    </row>
    <row r="2226" spans="1:25" hidden="1"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54.38</v>
      </c>
      <c r="V2226" s="30">
        <f>IF(ISNA(VLOOKUP(LOWER(F2226)&amp;H2226,Prices!A:C,2,0)),0,VLOOKUP(LOWER(F2226)&amp;H2226,Prices!A:C,2,0))</f>
        <v>54.55</v>
      </c>
      <c r="W2226" s="18">
        <f t="shared" ref="W2226:W2229" si="1528">IF(I2226="B",(V2226+T2226)*K2226,(V2226+T2226)*K2226)</f>
        <v>1174.8053999999981</v>
      </c>
      <c r="X2226" s="30">
        <f t="shared" ref="X2226:X2229" si="1529">K2226*(V2226-U2226)</f>
        <v>33.99999999999892</v>
      </c>
      <c r="Y2226" s="40">
        <f t="shared" ref="Y2226:Y2229" si="1530">W2226/O2226</f>
        <v>0.12074053442959899</v>
      </c>
    </row>
    <row r="2227" spans="1:25" hidden="1"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55.39</v>
      </c>
      <c r="V2227" s="30">
        <f>IF(ISNA(VLOOKUP(LOWER(F2227)&amp;H2227,Prices!A:C,2,0)),0,VLOOKUP(LOWER(F2227)&amp;H2227,Prices!A:C,2,0))</f>
        <v>57.19</v>
      </c>
      <c r="W2227" s="18">
        <f t="shared" si="1528"/>
        <v>832.99999999999977</v>
      </c>
      <c r="X2227" s="30">
        <f t="shared" si="1529"/>
        <v>179.99999999999972</v>
      </c>
      <c r="Y2227" s="40">
        <f t="shared" si="1530"/>
        <v>0.17066174964146685</v>
      </c>
    </row>
    <row r="2228" spans="1:25" hidden="1"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66.33</v>
      </c>
      <c r="V2228" s="30">
        <f>IF(ISNA(VLOOKUP(LOWER(F2228)&amp;H2228,Prices!A:C,2,0)),0,VLOOKUP(LOWER(F2228)&amp;H2228,Prices!A:C,2,0))</f>
        <v>69.89</v>
      </c>
      <c r="W2228" s="18">
        <f t="shared" si="1528"/>
        <v>1974.7600399999997</v>
      </c>
      <c r="X2228" s="30">
        <f t="shared" si="1529"/>
        <v>712.00000000000045</v>
      </c>
      <c r="Y2228" s="40">
        <f t="shared" si="1530"/>
        <v>0.16459076846141021</v>
      </c>
    </row>
    <row r="2229" spans="1:25" hidden="1"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215.5</v>
      </c>
      <c r="V2229" s="30">
        <f>IF(ISNA(VLOOKUP(LOWER(F2229)&amp;H2229,Prices!A:C,2,0)),0,VLOOKUP(LOWER(F2229)&amp;H2229,Prices!A:C,2,0))</f>
        <v>220.55</v>
      </c>
      <c r="W2229" s="18">
        <f t="shared" si="1528"/>
        <v>6069</v>
      </c>
      <c r="X2229" s="30">
        <f t="shared" si="1529"/>
        <v>505.00000000000114</v>
      </c>
      <c r="Y2229" s="40">
        <f t="shared" si="1530"/>
        <v>0.37976346911957948</v>
      </c>
    </row>
    <row r="2230" spans="1:25" hidden="1"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52.6</v>
      </c>
      <c r="V2230" s="30">
        <f>IF(ISNA(VLOOKUP(LOWER(F2230)&amp;H2230,Prices!A:C,2,0)),0,VLOOKUP(LOWER(F2230)&amp;H2230,Prices!A:C,2,0))</f>
        <v>53.4</v>
      </c>
      <c r="W2230" s="18">
        <f t="shared" ref="W2230:W2235" si="1538">IF(I2230="B",(V2230+T2230)*K2230,(V2230+T2230)*K2230)</f>
        <v>676.99999999999955</v>
      </c>
      <c r="X2230" s="30">
        <f t="shared" ref="X2230:X2235" si="1539">K2230*(V2230-U2230)</f>
        <v>159.99999999999943</v>
      </c>
      <c r="Y2230" s="40">
        <f t="shared" ref="Y2230:Y2235" si="1540">W2230/O2230</f>
        <v>6.7713542708541657E-2</v>
      </c>
    </row>
    <row r="2231" spans="1:25" hidden="1"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29.79</v>
      </c>
      <c r="V2231" s="30">
        <f>IF(ISNA(VLOOKUP(LOWER(F2231)&amp;H2231,Prices!A:C,2,0)),0,VLOOKUP(LOWER(F2231)&amp;H2231,Prices!A:C,2,0))</f>
        <v>30.85</v>
      </c>
      <c r="W2231" s="18">
        <f t="shared" si="1538"/>
        <v>542.76416000000154</v>
      </c>
      <c r="X2231" s="30">
        <f t="shared" si="1539"/>
        <v>424.00000000000091</v>
      </c>
      <c r="Y2231" s="40">
        <f t="shared" si="1540"/>
        <v>4.6028168249660918E-2</v>
      </c>
    </row>
    <row r="2232" spans="1:25" hidden="1"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55.39</v>
      </c>
      <c r="V2232" s="30">
        <f>IF(ISNA(VLOOKUP(LOWER(F2232)&amp;H2232,Prices!A:C,2,0)),0,VLOOKUP(LOWER(F2232)&amp;H2232,Prices!A:C,2,0))</f>
        <v>57.19</v>
      </c>
      <c r="W2232" s="18">
        <f t="shared" si="1538"/>
        <v>2824</v>
      </c>
      <c r="X2232" s="30">
        <f t="shared" si="1539"/>
        <v>539.99999999999909</v>
      </c>
      <c r="Y2232" s="40">
        <f t="shared" si="1540"/>
        <v>0.19709659408151869</v>
      </c>
    </row>
    <row r="2233" spans="1:25" hidden="1"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70.98</v>
      </c>
      <c r="V2233" s="30">
        <f>IF(ISNA(VLOOKUP(LOWER(F2233)&amp;H2233,Prices!A:C,2,0)),0,VLOOKUP(LOWER(F2233)&amp;H2233,Prices!A:C,2,0))</f>
        <v>71.52</v>
      </c>
      <c r="W2233" s="18">
        <f t="shared" si="1538"/>
        <v>1156.7371600000029</v>
      </c>
      <c r="X2233" s="30">
        <f t="shared" si="1539"/>
        <v>107.99999999999841</v>
      </c>
      <c r="Y2233" s="40">
        <f t="shared" si="1540"/>
        <v>8.8018350327195488E-2</v>
      </c>
    </row>
    <row r="2234" spans="1:25" hidden="1"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5.94</v>
      </c>
      <c r="V2234" s="30">
        <f>IF(ISNA(VLOOKUP(LOWER(F2234)&amp;H2234,Prices!A:C,2,0)),0,VLOOKUP(LOWER(F2234)&amp;H2234,Prices!A:C,2,0))</f>
        <v>5.82</v>
      </c>
      <c r="W2234" s="18">
        <f t="shared" si="1538"/>
        <v>-695.36299999999949</v>
      </c>
      <c r="X2234" s="30">
        <f t="shared" si="1539"/>
        <v>-360.00000000000034</v>
      </c>
      <c r="Y2234" s="40">
        <f t="shared" si="1540"/>
        <v>-3.831201101928372E-2</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16.52</v>
      </c>
      <c r="V2235" s="30">
        <f>IF(ISNA(VLOOKUP(LOWER(F2235)&amp;H2235,Prices!A:C,2,0)),0,VLOOKUP(LOWER(F2235)&amp;H2235,Prices!A:C,2,0))</f>
        <v>16.59</v>
      </c>
      <c r="W2235" s="18">
        <f t="shared" si="1538"/>
        <v>564.67959999999812</v>
      </c>
      <c r="X2235" s="30">
        <f t="shared" si="1539"/>
        <v>70.000000000000284</v>
      </c>
      <c r="Y2235" s="40">
        <f t="shared" si="1540"/>
        <v>3.5248414481897514E-2</v>
      </c>
    </row>
    <row r="2236" spans="1:25" hidden="1"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8" si="1541">K2236*M2236</f>
        <v>6544</v>
      </c>
      <c r="O2236" s="30">
        <f t="shared" ref="O2236:O2238" si="1542">ABS(N2236)</f>
        <v>6544</v>
      </c>
      <c r="P2236" s="18">
        <f t="shared" ref="P2236:P2238" si="1543">IF(H2236="510050",0,IF(F2236="SZ",0,ABS(N2236*0.2%%)))</f>
        <v>0.13088000000000002</v>
      </c>
      <c r="Q2236" s="18">
        <f t="shared" ref="Q2236:Q2238" si="1544">IF(I2236&lt;&gt;"D",IF(C2236="Stock",MAX(ABS(N2236*0.0002),5),MAX(ABS(N2236*0.0003),5)),0)</f>
        <v>5</v>
      </c>
      <c r="R2236" s="30">
        <f t="shared" ref="R2236:R2238" si="1545">IF(H2236="510050",0,ROUND(IF(OR(I2236="B",I2236="D"),0,ABS(N2236*0.001)),2))</f>
        <v>0</v>
      </c>
      <c r="S2236" s="18">
        <f t="shared" ref="S2236:S2238" si="1546">-(N2236+P2236+Q2236+R2236)</f>
        <v>-6549.1308799999997</v>
      </c>
      <c r="T2236" s="30">
        <f t="shared" ref="T2236:T2238" si="1547">S2236/K2236</f>
        <v>-65.491308799999999</v>
      </c>
      <c r="U2236" s="30">
        <f>IF(ISNA(VLOOKUP(LOWER(F2236)&amp;H2236,Prices!A:C,3,0)),0,VLOOKUP(LOWER(F2236)&amp;H2236,Prices!A:C,3,0))</f>
        <v>70.98</v>
      </c>
      <c r="V2236" s="30">
        <f>IF(ISNA(VLOOKUP(LOWER(F2236)&amp;H2236,Prices!A:C,2,0)),0,VLOOKUP(LOWER(F2236)&amp;H2236,Prices!A:C,2,0))</f>
        <v>71.52</v>
      </c>
      <c r="W2236" s="18">
        <f t="shared" ref="W2236:W2238" si="1548">IF(I2236="B",(V2236+T2236)*K2236,(V2236+T2236)*K2236)</f>
        <v>602.86911999999973</v>
      </c>
      <c r="X2236" s="30">
        <f t="shared" ref="X2236:X2238" si="1549">K2236*(V2236-U2236)</f>
        <v>53.999999999999204</v>
      </c>
      <c r="Y2236" s="40">
        <f t="shared" ref="Y2236:Y2238" si="1550">W2236/O2236</f>
        <v>9.2125476772616094E-2</v>
      </c>
    </row>
    <row r="2237" spans="1:25" hidden="1"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29.79</v>
      </c>
      <c r="V2237" s="30">
        <f>IF(ISNA(VLOOKUP(LOWER(F2237)&amp;H2237,Prices!A:C,2,0)),0,VLOOKUP(LOWER(F2237)&amp;H2237,Prices!A:C,2,0))</f>
        <v>30.85</v>
      </c>
      <c r="W2237" s="18">
        <f t="shared" si="1548"/>
        <v>459.82419999999991</v>
      </c>
      <c r="X2237" s="30">
        <f t="shared" si="1549"/>
        <v>318.00000000000068</v>
      </c>
      <c r="Y2237" s="40">
        <f t="shared" si="1550"/>
        <v>5.2312195676905565E-2</v>
      </c>
    </row>
    <row r="2238" spans="1:25" hidden="1"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41.3</v>
      </c>
      <c r="V2238" s="30">
        <f>IF(ISNA(VLOOKUP(LOWER(F2238)&amp;H2238,Prices!A:C,2,0)),0,VLOOKUP(LOWER(F2238)&amp;H2238,Prices!A:C,2,0))</f>
        <v>42.53</v>
      </c>
      <c r="W2238" s="18">
        <f t="shared" si="1548"/>
        <v>1960.0000000000016</v>
      </c>
      <c r="X2238" s="30">
        <f t="shared" si="1549"/>
        <v>369.00000000000119</v>
      </c>
      <c r="Y2238" s="40">
        <f t="shared" si="1550"/>
        <v>0.18158236057068761</v>
      </c>
    </row>
    <row r="2239" spans="1:25" hidden="1"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ref="N2239" si="1551">K2239*M2239</f>
        <v>4680</v>
      </c>
      <c r="O2239" s="30">
        <f t="shared" ref="O2239" si="1552">ABS(N2239)</f>
        <v>4680</v>
      </c>
      <c r="P2239" s="18">
        <f t="shared" ref="P2239" si="1553">IF(H2239="510050",0,IF(F2239="SZ",0,ABS(N2239*0.2%%)))</f>
        <v>9.3600000000000003E-2</v>
      </c>
      <c r="Q2239" s="18">
        <f t="shared" ref="Q2239" si="1554">IF(I2239&lt;&gt;"D",IF(C2239="Stock",MAX(ABS(N2239*0.0002),5),MAX(ABS(N2239*0.0003),5)),0)</f>
        <v>5</v>
      </c>
      <c r="R2239" s="30">
        <f t="shared" ref="R2239" si="1555">IF(H2239="510050",0,ROUND(IF(OR(I2239="B",I2239="D"),0,ABS(N2239*0.001)),2))</f>
        <v>0</v>
      </c>
      <c r="S2239" s="18">
        <f t="shared" ref="S2239" si="1556">-(N2239+P2239+Q2239+R2239)</f>
        <v>-4685.0936000000002</v>
      </c>
      <c r="T2239" s="30">
        <f t="shared" ref="T2239" si="1557">S2239/K2239</f>
        <v>-9.3701872000000002</v>
      </c>
      <c r="U2239" s="30">
        <f>IF(ISNA(VLOOKUP(LOWER(F2239)&amp;H2239,Prices!A:C,3,0)),0,VLOOKUP(LOWER(F2239)&amp;H2239,Prices!A:C,3,0))</f>
        <v>10.32</v>
      </c>
      <c r="V2239" s="30">
        <f>IF(ISNA(VLOOKUP(LOWER(F2239)&amp;H2239,Prices!A:C,2,0)),0,VLOOKUP(LOWER(F2239)&amp;H2239,Prices!A:C,2,0))</f>
        <v>10.32</v>
      </c>
      <c r="W2239" s="18">
        <f t="shared" ref="W2239" si="1558">IF(I2239="B",(V2239+T2239)*K2239,(V2239+T2239)*K2239)</f>
        <v>474.90640000000008</v>
      </c>
      <c r="X2239" s="30">
        <f t="shared" ref="X2239" si="1559">K2239*(V2239-U2239)</f>
        <v>0</v>
      </c>
      <c r="Y2239" s="40">
        <f t="shared" ref="Y2239" si="1560">W2239/O2239</f>
        <v>0.10147572649572652</v>
      </c>
    </row>
    <row r="2240" spans="1:25" hidden="1" x14ac:dyDescent="0.15">
      <c r="A2240" s="1">
        <v>43039</v>
      </c>
      <c r="B2240" s="65">
        <v>0.5630208333333333</v>
      </c>
      <c r="C2240" s="30" t="s">
        <v>1128</v>
      </c>
      <c r="D2240" s="30" t="s">
        <v>1129</v>
      </c>
      <c r="E2240" t="s">
        <v>1130</v>
      </c>
      <c r="F2240" t="s">
        <v>4408</v>
      </c>
      <c r="G2240" s="30" t="str">
        <f>VLOOKUP(LOWER(F2240)&amp;H2240,'Current pricing'!A:B,2,0)</f>
        <v>工商银行</v>
      </c>
      <c r="H2240" s="3" t="s">
        <v>4349</v>
      </c>
      <c r="I2240" t="s">
        <v>1207</v>
      </c>
      <c r="J2240" s="29" t="s">
        <v>1798</v>
      </c>
      <c r="K2240">
        <v>1600</v>
      </c>
      <c r="L2240">
        <v>1</v>
      </c>
      <c r="M2240">
        <v>6.13</v>
      </c>
      <c r="N2240" s="30">
        <f t="shared" ref="N2240:N2241" si="1561">K2240*M2240</f>
        <v>9808</v>
      </c>
      <c r="O2240" s="30">
        <f t="shared" ref="O2240:O2241" si="1562">ABS(N2240)</f>
        <v>9808</v>
      </c>
      <c r="P2240" s="18">
        <f t="shared" ref="P2240:P2241" si="1563">IF(H2240="510050",0,IF(F2240="SZ",0,ABS(N2240*0.2%%)))</f>
        <v>0.19616000000000003</v>
      </c>
      <c r="Q2240" s="18">
        <f t="shared" ref="Q2240:Q2241" si="1564">IF(I2240&lt;&gt;"D",IF(C2240="Stock",MAX(ABS(N2240*0.0002),5),MAX(ABS(N2240*0.0003),5)),0)</f>
        <v>5</v>
      </c>
      <c r="R2240" s="30">
        <f t="shared" ref="R2240:R2241" si="1565">IF(H2240="510050",0,ROUND(IF(OR(I2240="B",I2240="D"),0,ABS(N2240*0.001)),2))</f>
        <v>0</v>
      </c>
      <c r="S2240" s="18">
        <f t="shared" ref="S2240:S2241" si="1566">-(N2240+P2240+Q2240+R2240)</f>
        <v>-9813.1961599999995</v>
      </c>
      <c r="T2240" s="30">
        <f t="shared" ref="T2240:T2241" si="1567">S2240/K2240</f>
        <v>-6.1332475999999998</v>
      </c>
      <c r="U2240" s="30">
        <f>IF(ISNA(VLOOKUP(LOWER(F2240)&amp;H2240,Prices!A:C,3,0)),0,VLOOKUP(LOWER(F2240)&amp;H2240,Prices!A:C,3,0))</f>
        <v>5.94</v>
      </c>
      <c r="V2240" s="30">
        <f>IF(ISNA(VLOOKUP(LOWER(F2240)&amp;H2240,Prices!A:C,2,0)),0,VLOOKUP(LOWER(F2240)&amp;H2240,Prices!A:C,2,0))</f>
        <v>5.82</v>
      </c>
      <c r="W2240" s="18">
        <f t="shared" ref="W2240:W2241" si="1568">IF(I2240="B",(V2240+T2240)*K2240,(V2240+T2240)*K2240)</f>
        <v>-501.19615999999922</v>
      </c>
      <c r="X2240" s="30">
        <f t="shared" ref="X2240:X2241" si="1569">K2240*(V2240-U2240)</f>
        <v>-192.00000000000017</v>
      </c>
      <c r="Y2240" s="40">
        <f t="shared" ref="Y2240:Y2241" si="1570">W2240/O2240</f>
        <v>-5.1100750407830263E-2</v>
      </c>
    </row>
    <row r="2241" spans="1:25" hidden="1" x14ac:dyDescent="0.15">
      <c r="A2241" s="1">
        <v>43039</v>
      </c>
      <c r="B2241" s="65">
        <v>0.42506944444444444</v>
      </c>
      <c r="C2241" s="30" t="s">
        <v>1128</v>
      </c>
      <c r="D2241" s="30" t="s">
        <v>1129</v>
      </c>
      <c r="E2241" t="s">
        <v>1130</v>
      </c>
      <c r="F2241" t="s">
        <v>4409</v>
      </c>
      <c r="G2241" s="30" t="str">
        <f>VLOOKUP(LOWER(F2241)&amp;H2241,'Current pricing'!A:B,2,0)</f>
        <v>大族激光</v>
      </c>
      <c r="H2241" s="3" t="s">
        <v>1502</v>
      </c>
      <c r="I2241" t="s">
        <v>1207</v>
      </c>
      <c r="J2241" s="29" t="s">
        <v>1798</v>
      </c>
      <c r="K2241">
        <v>300</v>
      </c>
      <c r="L2241">
        <v>1</v>
      </c>
      <c r="M2241">
        <v>46.64</v>
      </c>
      <c r="N2241" s="30">
        <f t="shared" si="1561"/>
        <v>13992</v>
      </c>
      <c r="O2241" s="30">
        <f t="shared" si="1562"/>
        <v>13992</v>
      </c>
      <c r="P2241" s="18">
        <f t="shared" si="1563"/>
        <v>0</v>
      </c>
      <c r="Q2241" s="18">
        <f t="shared" si="1564"/>
        <v>5</v>
      </c>
      <c r="R2241" s="30">
        <f t="shared" si="1565"/>
        <v>0</v>
      </c>
      <c r="S2241" s="18">
        <f t="shared" si="1566"/>
        <v>-13997</v>
      </c>
      <c r="T2241" s="30">
        <f t="shared" si="1567"/>
        <v>-46.656666666666666</v>
      </c>
      <c r="U2241" s="30">
        <f>IF(ISNA(VLOOKUP(LOWER(F2241)&amp;H2241,Prices!A:C,3,0)),0,VLOOKUP(LOWER(F2241)&amp;H2241,Prices!A:C,3,0))</f>
        <v>55.39</v>
      </c>
      <c r="V2241" s="30">
        <f>IF(ISNA(VLOOKUP(LOWER(F2241)&amp;H2241,Prices!A:C,2,0)),0,VLOOKUP(LOWER(F2241)&amp;H2241,Prices!A:C,2,0))</f>
        <v>57.19</v>
      </c>
      <c r="W2241" s="18">
        <f t="shared" si="1568"/>
        <v>3159.9999999999995</v>
      </c>
      <c r="X2241" s="30">
        <f t="shared" si="1569"/>
        <v>539.99999999999909</v>
      </c>
      <c r="Y2241" s="40">
        <f t="shared" si="1570"/>
        <v>0.22584333905088619</v>
      </c>
    </row>
    <row r="2242" spans="1:25" hidden="1" x14ac:dyDescent="0.15">
      <c r="A2242" s="1">
        <v>43040</v>
      </c>
      <c r="B2242" s="65">
        <v>0.61208333333333331</v>
      </c>
      <c r="C2242" s="30" t="s">
        <v>1128</v>
      </c>
      <c r="D2242" s="30" t="s">
        <v>1129</v>
      </c>
      <c r="E2242" t="s">
        <v>1130</v>
      </c>
      <c r="F2242" t="s">
        <v>4408</v>
      </c>
      <c r="G2242" s="30" t="str">
        <f>VLOOKUP(LOWER(F2242)&amp;H2242,'Current pricing'!A:B,2,0)</f>
        <v>永辉超市</v>
      </c>
      <c r="H2242" s="3" t="s">
        <v>1424</v>
      </c>
      <c r="I2242" t="s">
        <v>1207</v>
      </c>
      <c r="J2242" s="29" t="s">
        <v>1798</v>
      </c>
      <c r="K2242">
        <v>1000</v>
      </c>
      <c r="L2242">
        <v>1</v>
      </c>
      <c r="M2242">
        <v>9.1999999999999993</v>
      </c>
      <c r="N2242" s="30">
        <f t="shared" ref="N2242:N2248" si="1571">K2242*M2242</f>
        <v>9200</v>
      </c>
      <c r="O2242" s="30">
        <f t="shared" ref="O2242:O2248" si="1572">ABS(N2242)</f>
        <v>9200</v>
      </c>
      <c r="P2242" s="18">
        <f t="shared" ref="P2242:P2248" si="1573">IF(H2242="510050",0,IF(F2242="SZ",0,ABS(N2242*0.2%%)))</f>
        <v>0.18400000000000002</v>
      </c>
      <c r="Q2242" s="18">
        <f t="shared" ref="Q2242:Q2248" si="1574">IF(I2242&lt;&gt;"D",IF(C2242="Stock",MAX(ABS(N2242*0.0002),5),MAX(ABS(N2242*0.0003),5)),0)</f>
        <v>5</v>
      </c>
      <c r="R2242" s="30">
        <f t="shared" ref="R2242:R2248" si="1575">IF(H2242="510050",0,ROUND(IF(OR(I2242="B",I2242="D"),0,ABS(N2242*0.001)),2))</f>
        <v>0</v>
      </c>
      <c r="S2242" s="18">
        <f t="shared" ref="S2242:S2248" si="1576">-(N2242+P2242+Q2242+R2242)</f>
        <v>-9205.1839999999993</v>
      </c>
      <c r="T2242" s="30">
        <f t="shared" ref="T2242:T2248" si="1577">S2242/K2242</f>
        <v>-9.2051839999999991</v>
      </c>
      <c r="U2242" s="30">
        <f>IF(ISNA(VLOOKUP(LOWER(F2242)&amp;H2242,Prices!A:C,3,0)),0,VLOOKUP(LOWER(F2242)&amp;H2242,Prices!A:C,3,0))</f>
        <v>10.32</v>
      </c>
      <c r="V2242" s="30">
        <f>IF(ISNA(VLOOKUP(LOWER(F2242)&amp;H2242,Prices!A:C,2,0)),0,VLOOKUP(LOWER(F2242)&amp;H2242,Prices!A:C,2,0))</f>
        <v>10.32</v>
      </c>
      <c r="W2242" s="18">
        <f t="shared" ref="W2242:W2248" si="1578">IF(I2242="B",(V2242+T2242)*K2242,(V2242+T2242)*K2242)</f>
        <v>1114.8160000000012</v>
      </c>
      <c r="X2242" s="30">
        <f t="shared" ref="X2242:X2248" si="1579">K2242*(V2242-U2242)</f>
        <v>0</v>
      </c>
      <c r="Y2242" s="40">
        <f t="shared" ref="Y2242:Y2248" si="1580">W2242/O2242</f>
        <v>0.12117565217391317</v>
      </c>
    </row>
    <row r="2243" spans="1:25" hidden="1" x14ac:dyDescent="0.15">
      <c r="A2243" s="1">
        <v>43040</v>
      </c>
      <c r="B2243" s="65">
        <v>0.61060185185185178</v>
      </c>
      <c r="C2243" s="30" t="s">
        <v>1128</v>
      </c>
      <c r="D2243" s="30" t="s">
        <v>1129</v>
      </c>
      <c r="E2243" t="s">
        <v>1130</v>
      </c>
      <c r="F2243" t="s">
        <v>4408</v>
      </c>
      <c r="G2243" s="30" t="str">
        <f>VLOOKUP(LOWER(F2243)&amp;H2243,'Current pricing'!A:B,2,0)</f>
        <v>中国平安</v>
      </c>
      <c r="H2243" s="3" t="s">
        <v>1358</v>
      </c>
      <c r="I2243" t="s">
        <v>1207</v>
      </c>
      <c r="J2243" s="29" t="s">
        <v>1798</v>
      </c>
      <c r="K2243">
        <v>100</v>
      </c>
      <c r="L2243">
        <v>1</v>
      </c>
      <c r="M2243">
        <v>63.95</v>
      </c>
      <c r="N2243" s="30">
        <f t="shared" si="1571"/>
        <v>6395</v>
      </c>
      <c r="O2243" s="30">
        <f t="shared" si="1572"/>
        <v>6395</v>
      </c>
      <c r="P2243" s="18">
        <f t="shared" si="1573"/>
        <v>0.12790000000000001</v>
      </c>
      <c r="Q2243" s="18">
        <f t="shared" si="1574"/>
        <v>5</v>
      </c>
      <c r="R2243" s="30">
        <f t="shared" si="1575"/>
        <v>0</v>
      </c>
      <c r="S2243" s="18">
        <f t="shared" si="1576"/>
        <v>-6400.1279000000004</v>
      </c>
      <c r="T2243" s="30">
        <f t="shared" si="1577"/>
        <v>-64.001279000000011</v>
      </c>
      <c r="U2243" s="30">
        <f>IF(ISNA(VLOOKUP(LOWER(F2243)&amp;H2243,Prices!A:C,3,0)),0,VLOOKUP(LOWER(F2243)&amp;H2243,Prices!A:C,3,0))</f>
        <v>66.33</v>
      </c>
      <c r="V2243" s="30">
        <f>IF(ISNA(VLOOKUP(LOWER(F2243)&amp;H2243,Prices!A:C,2,0)),0,VLOOKUP(LOWER(F2243)&amp;H2243,Prices!A:C,2,0))</f>
        <v>69.89</v>
      </c>
      <c r="W2243" s="18">
        <f t="shared" si="1578"/>
        <v>588.87209999999891</v>
      </c>
      <c r="X2243" s="30">
        <f t="shared" si="1579"/>
        <v>356.00000000000023</v>
      </c>
      <c r="Y2243" s="40">
        <f t="shared" si="1580"/>
        <v>9.2083205629397799E-2</v>
      </c>
    </row>
    <row r="2244" spans="1:25" hidden="1" x14ac:dyDescent="0.15">
      <c r="A2244" s="1">
        <v>43040</v>
      </c>
      <c r="B2244" s="65">
        <v>0.58069444444444451</v>
      </c>
      <c r="C2244" s="30" t="s">
        <v>1128</v>
      </c>
      <c r="D2244" s="30" t="s">
        <v>1129</v>
      </c>
      <c r="E2244" t="s">
        <v>1130</v>
      </c>
      <c r="F2244" t="s">
        <v>4408</v>
      </c>
      <c r="G2244" s="30" t="str">
        <f>VLOOKUP(LOWER(F2244)&amp;H2244,'Current pricing'!A:B,2,0)</f>
        <v>工商银行</v>
      </c>
      <c r="H2244" s="3" t="s">
        <v>4349</v>
      </c>
      <c r="I2244" t="s">
        <v>1207</v>
      </c>
      <c r="J2244" s="29" t="s">
        <v>1798</v>
      </c>
      <c r="K2244">
        <v>2000</v>
      </c>
      <c r="L2244">
        <v>1</v>
      </c>
      <c r="M2244">
        <v>6.07</v>
      </c>
      <c r="N2244" s="30">
        <f t="shared" si="1571"/>
        <v>12140</v>
      </c>
      <c r="O2244" s="30">
        <f t="shared" si="1572"/>
        <v>12140</v>
      </c>
      <c r="P2244" s="18">
        <f t="shared" si="1573"/>
        <v>0.24280000000000002</v>
      </c>
      <c r="Q2244" s="18">
        <f t="shared" si="1574"/>
        <v>5</v>
      </c>
      <c r="R2244" s="30">
        <f t="shared" si="1575"/>
        <v>0</v>
      </c>
      <c r="S2244" s="18">
        <f t="shared" si="1576"/>
        <v>-12145.2428</v>
      </c>
      <c r="T2244" s="30">
        <f t="shared" si="1577"/>
        <v>-6.0726214000000001</v>
      </c>
      <c r="U2244" s="30">
        <f>IF(ISNA(VLOOKUP(LOWER(F2244)&amp;H2244,Prices!A:C,3,0)),0,VLOOKUP(LOWER(F2244)&amp;H2244,Prices!A:C,3,0))</f>
        <v>5.94</v>
      </c>
      <c r="V2244" s="30">
        <f>IF(ISNA(VLOOKUP(LOWER(F2244)&amp;H2244,Prices!A:C,2,0)),0,VLOOKUP(LOWER(F2244)&amp;H2244,Prices!A:C,2,0))</f>
        <v>5.82</v>
      </c>
      <c r="W2244" s="18">
        <f t="shared" si="1578"/>
        <v>-505.24279999999953</v>
      </c>
      <c r="X2244" s="30">
        <f t="shared" si="1579"/>
        <v>-240.00000000000023</v>
      </c>
      <c r="Y2244" s="40">
        <f t="shared" si="1580"/>
        <v>-4.1618023064250373E-2</v>
      </c>
    </row>
    <row r="2245" spans="1:25" hidden="1" x14ac:dyDescent="0.15">
      <c r="A2245" s="1">
        <v>43040</v>
      </c>
      <c r="B2245" s="65">
        <v>0.56714120370370369</v>
      </c>
      <c r="C2245" s="30" t="s">
        <v>1128</v>
      </c>
      <c r="D2245" s="30" t="s">
        <v>1129</v>
      </c>
      <c r="E2245" t="s">
        <v>1130</v>
      </c>
      <c r="F2245" t="s">
        <v>4408</v>
      </c>
      <c r="G2245" s="30" t="str">
        <f>VLOOKUP(LOWER(F2245)&amp;H2245,'Current pricing'!A:B,2,0)</f>
        <v>永辉超市</v>
      </c>
      <c r="H2245" s="3" t="s">
        <v>1424</v>
      </c>
      <c r="I2245" t="s">
        <v>1207</v>
      </c>
      <c r="J2245" s="29" t="s">
        <v>1798</v>
      </c>
      <c r="K2245">
        <v>1000</v>
      </c>
      <c r="L2245">
        <v>1</v>
      </c>
      <c r="M2245">
        <v>9.3800000000000008</v>
      </c>
      <c r="N2245" s="30">
        <f t="shared" si="1571"/>
        <v>9380</v>
      </c>
      <c r="O2245" s="30">
        <f t="shared" si="1572"/>
        <v>9380</v>
      </c>
      <c r="P2245" s="18">
        <f t="shared" si="1573"/>
        <v>0.18760000000000002</v>
      </c>
      <c r="Q2245" s="18">
        <f t="shared" si="1574"/>
        <v>5</v>
      </c>
      <c r="R2245" s="30">
        <f t="shared" si="1575"/>
        <v>0</v>
      </c>
      <c r="S2245" s="18">
        <f t="shared" si="1576"/>
        <v>-9385.1875999999993</v>
      </c>
      <c r="T2245" s="30">
        <f t="shared" si="1577"/>
        <v>-9.3851876000000001</v>
      </c>
      <c r="U2245" s="30">
        <f>IF(ISNA(VLOOKUP(LOWER(F2245)&amp;H2245,Prices!A:C,3,0)),0,VLOOKUP(LOWER(F2245)&amp;H2245,Prices!A:C,3,0))</f>
        <v>10.32</v>
      </c>
      <c r="V2245" s="30">
        <f>IF(ISNA(VLOOKUP(LOWER(F2245)&amp;H2245,Prices!A:C,2,0)),0,VLOOKUP(LOWER(F2245)&amp;H2245,Prices!A:C,2,0))</f>
        <v>10.32</v>
      </c>
      <c r="W2245" s="18">
        <f t="shared" si="1578"/>
        <v>934.81240000000025</v>
      </c>
      <c r="X2245" s="30">
        <f t="shared" si="1579"/>
        <v>0</v>
      </c>
      <c r="Y2245" s="40">
        <f t="shared" si="1580"/>
        <v>9.9660170575692986E-2</v>
      </c>
    </row>
    <row r="2246" spans="1:25" hidden="1" x14ac:dyDescent="0.15">
      <c r="A2246" s="1">
        <v>43040</v>
      </c>
      <c r="B2246" s="65">
        <v>0.56578703703703703</v>
      </c>
      <c r="C2246" s="30" t="s">
        <v>1128</v>
      </c>
      <c r="D2246" s="30" t="s">
        <v>1129</v>
      </c>
      <c r="E2246" t="s">
        <v>1130</v>
      </c>
      <c r="F2246" t="s">
        <v>4408</v>
      </c>
      <c r="G2246" s="30" t="str">
        <f>VLOOKUP(LOWER(F2246)&amp;H2246,'Current pricing'!A:B,2,0)</f>
        <v>中国平安</v>
      </c>
      <c r="H2246" s="3" t="s">
        <v>1358</v>
      </c>
      <c r="I2246" t="s">
        <v>1207</v>
      </c>
      <c r="J2246" s="29" t="s">
        <v>1798</v>
      </c>
      <c r="K2246">
        <v>100</v>
      </c>
      <c r="L2246">
        <v>1</v>
      </c>
      <c r="M2246">
        <v>63.96</v>
      </c>
      <c r="N2246" s="30">
        <f t="shared" si="1571"/>
        <v>6396</v>
      </c>
      <c r="O2246" s="30">
        <f t="shared" si="1572"/>
        <v>6396</v>
      </c>
      <c r="P2246" s="18">
        <f t="shared" si="1573"/>
        <v>0.12792000000000001</v>
      </c>
      <c r="Q2246" s="18">
        <f t="shared" si="1574"/>
        <v>5</v>
      </c>
      <c r="R2246" s="30">
        <f t="shared" si="1575"/>
        <v>0</v>
      </c>
      <c r="S2246" s="18">
        <f t="shared" si="1576"/>
        <v>-6401.1279199999999</v>
      </c>
      <c r="T2246" s="30">
        <f t="shared" si="1577"/>
        <v>-64.011279200000004</v>
      </c>
      <c r="U2246" s="30">
        <f>IF(ISNA(VLOOKUP(LOWER(F2246)&amp;H2246,Prices!A:C,3,0)),0,VLOOKUP(LOWER(F2246)&amp;H2246,Prices!A:C,3,0))</f>
        <v>66.33</v>
      </c>
      <c r="V2246" s="30">
        <f>IF(ISNA(VLOOKUP(LOWER(F2246)&amp;H2246,Prices!A:C,2,0)),0,VLOOKUP(LOWER(F2246)&amp;H2246,Prices!A:C,2,0))</f>
        <v>69.89</v>
      </c>
      <c r="W2246" s="18">
        <f t="shared" si="1578"/>
        <v>587.87207999999964</v>
      </c>
      <c r="X2246" s="30">
        <f t="shared" si="1579"/>
        <v>356.00000000000023</v>
      </c>
      <c r="Y2246" s="40">
        <f t="shared" si="1580"/>
        <v>9.1912457786116272E-2</v>
      </c>
    </row>
    <row r="2247" spans="1:25" hidden="1" x14ac:dyDescent="0.15">
      <c r="A2247" s="1">
        <v>43040</v>
      </c>
      <c r="B2247" s="65">
        <v>0.54401620370370374</v>
      </c>
      <c r="C2247" s="30" t="s">
        <v>1128</v>
      </c>
      <c r="D2247" s="30" t="s">
        <v>1129</v>
      </c>
      <c r="E2247" t="s">
        <v>1130</v>
      </c>
      <c r="F2247" t="s">
        <v>4408</v>
      </c>
      <c r="G2247" s="30" t="str">
        <f>VLOOKUP(LOWER(F2247)&amp;H2247,'Current pricing'!A:B,2,0)</f>
        <v>伊利股份</v>
      </c>
      <c r="H2247" s="3" t="s">
        <v>1302</v>
      </c>
      <c r="I2247" t="s">
        <v>1207</v>
      </c>
      <c r="J2247" s="29" t="s">
        <v>1798</v>
      </c>
      <c r="K2247">
        <v>300</v>
      </c>
      <c r="L2247">
        <v>1</v>
      </c>
      <c r="M2247">
        <v>28.53</v>
      </c>
      <c r="N2247" s="30">
        <f t="shared" si="1571"/>
        <v>8559</v>
      </c>
      <c r="O2247" s="30">
        <f t="shared" si="1572"/>
        <v>8559</v>
      </c>
      <c r="P2247" s="18">
        <f t="shared" si="1573"/>
        <v>0.17118000000000003</v>
      </c>
      <c r="Q2247" s="18">
        <f t="shared" si="1574"/>
        <v>5</v>
      </c>
      <c r="R2247" s="30">
        <f t="shared" si="1575"/>
        <v>0</v>
      </c>
      <c r="S2247" s="18">
        <f t="shared" si="1576"/>
        <v>-8564.1711799999994</v>
      </c>
      <c r="T2247" s="30">
        <f t="shared" si="1577"/>
        <v>-28.547237266666663</v>
      </c>
      <c r="U2247" s="30">
        <f>IF(ISNA(VLOOKUP(LOWER(F2247)&amp;H2247,Prices!A:C,3,0)),0,VLOOKUP(LOWER(F2247)&amp;H2247,Prices!A:C,3,0))</f>
        <v>29.79</v>
      </c>
      <c r="V2247" s="30">
        <f>IF(ISNA(VLOOKUP(LOWER(F2247)&amp;H2247,Prices!A:C,2,0)),0,VLOOKUP(LOWER(F2247)&amp;H2247,Prices!A:C,2,0))</f>
        <v>30.85</v>
      </c>
      <c r="W2247" s="18">
        <f t="shared" si="1578"/>
        <v>690.82882000000154</v>
      </c>
      <c r="X2247" s="30">
        <f t="shared" si="1579"/>
        <v>318.00000000000068</v>
      </c>
      <c r="Y2247" s="40">
        <f t="shared" si="1580"/>
        <v>8.0713730576002049E-2</v>
      </c>
    </row>
    <row r="2248" spans="1:25" hidden="1" x14ac:dyDescent="0.15">
      <c r="A2248" s="1">
        <v>43040</v>
      </c>
      <c r="B2248" s="65">
        <v>0.45747685185185188</v>
      </c>
      <c r="C2248" s="30" t="s">
        <v>1128</v>
      </c>
      <c r="D2248" s="30" t="s">
        <v>1129</v>
      </c>
      <c r="E2248" t="s">
        <v>1130</v>
      </c>
      <c r="F2248" t="s">
        <v>4409</v>
      </c>
      <c r="G2248" s="30" t="str">
        <f>VLOOKUP(LOWER(F2248)&amp;H2248,'Current pricing'!A:B,2,0)</f>
        <v>美的集团</v>
      </c>
      <c r="H2248" s="3" t="s">
        <v>1203</v>
      </c>
      <c r="I2248" t="s">
        <v>1207</v>
      </c>
      <c r="J2248" s="29" t="s">
        <v>1798</v>
      </c>
      <c r="K2248">
        <v>200</v>
      </c>
      <c r="L2248">
        <v>1</v>
      </c>
      <c r="M2248">
        <v>50.67</v>
      </c>
      <c r="N2248" s="30">
        <f t="shared" si="1571"/>
        <v>10134</v>
      </c>
      <c r="O2248" s="30">
        <f t="shared" si="1572"/>
        <v>10134</v>
      </c>
      <c r="P2248" s="18">
        <f t="shared" si="1573"/>
        <v>0</v>
      </c>
      <c r="Q2248" s="18">
        <f t="shared" si="1574"/>
        <v>5</v>
      </c>
      <c r="R2248" s="30">
        <f t="shared" si="1575"/>
        <v>0</v>
      </c>
      <c r="S2248" s="18">
        <f t="shared" si="1576"/>
        <v>-10139</v>
      </c>
      <c r="T2248" s="30">
        <f t="shared" si="1577"/>
        <v>-50.695</v>
      </c>
      <c r="U2248" s="30">
        <f>IF(ISNA(VLOOKUP(LOWER(F2248)&amp;H2248,Prices!A:C,3,0)),0,VLOOKUP(LOWER(F2248)&amp;H2248,Prices!A:C,3,0))</f>
        <v>52.6</v>
      </c>
      <c r="V2248" s="30">
        <f>IF(ISNA(VLOOKUP(LOWER(F2248)&amp;H2248,Prices!A:C,2,0)),0,VLOOKUP(LOWER(F2248)&amp;H2248,Prices!A:C,2,0))</f>
        <v>53.4</v>
      </c>
      <c r="W2248" s="18">
        <f t="shared" si="1578"/>
        <v>540.99999999999966</v>
      </c>
      <c r="X2248" s="30">
        <f t="shared" si="1579"/>
        <v>159.99999999999943</v>
      </c>
      <c r="Y2248" s="40">
        <f t="shared" si="1580"/>
        <v>5.3384645746990297E-2</v>
      </c>
    </row>
    <row r="2249" spans="1:25" hidden="1" x14ac:dyDescent="0.15">
      <c r="A2249" s="1">
        <v>43040</v>
      </c>
      <c r="B2249" s="65">
        <v>0.45604166666666668</v>
      </c>
      <c r="C2249" s="30" t="s">
        <v>1128</v>
      </c>
      <c r="D2249" s="30" t="s">
        <v>1129</v>
      </c>
      <c r="E2249" t="s">
        <v>1130</v>
      </c>
      <c r="F2249" t="s">
        <v>4408</v>
      </c>
      <c r="G2249" s="30" t="str">
        <f>VLOOKUP(LOWER(F2249)&amp;H2249,'Current pricing'!A:B,2,0)</f>
        <v>伊利股份</v>
      </c>
      <c r="H2249" s="3" t="s">
        <v>1302</v>
      </c>
      <c r="I2249" t="s">
        <v>1207</v>
      </c>
      <c r="J2249" s="29" t="s">
        <v>1798</v>
      </c>
      <c r="K2249">
        <v>300</v>
      </c>
      <c r="L2249">
        <v>1</v>
      </c>
      <c r="M2249">
        <v>28.71</v>
      </c>
      <c r="N2249" s="30">
        <f t="shared" ref="N2249" si="1581">K2249*M2249</f>
        <v>8613</v>
      </c>
      <c r="O2249" s="30">
        <f t="shared" ref="O2249" si="1582">ABS(N2249)</f>
        <v>8613</v>
      </c>
      <c r="P2249" s="18">
        <f t="shared" ref="P2249" si="1583">IF(H2249="510050",0,IF(F2249="SZ",0,ABS(N2249*0.2%%)))</f>
        <v>0.17226000000000002</v>
      </c>
      <c r="Q2249" s="18">
        <f t="shared" ref="Q2249" si="1584">IF(I2249&lt;&gt;"D",IF(C2249="Stock",MAX(ABS(N2249*0.0002),5),MAX(ABS(N2249*0.0003),5)),0)</f>
        <v>5</v>
      </c>
      <c r="R2249" s="30">
        <f t="shared" ref="R2249" si="1585">IF(H2249="510050",0,ROUND(IF(OR(I2249="B",I2249="D"),0,ABS(N2249*0.001)),2))</f>
        <v>0</v>
      </c>
      <c r="S2249" s="18">
        <f t="shared" ref="S2249" si="1586">-(N2249+P2249+Q2249+R2249)</f>
        <v>-8618.1722599999994</v>
      </c>
      <c r="T2249" s="30">
        <f t="shared" ref="T2249" si="1587">S2249/K2249</f>
        <v>-28.727240866666666</v>
      </c>
      <c r="U2249" s="30">
        <f>IF(ISNA(VLOOKUP(LOWER(F2249)&amp;H2249,Prices!A:C,3,0)),0,VLOOKUP(LOWER(F2249)&amp;H2249,Prices!A:C,3,0))</f>
        <v>29.79</v>
      </c>
      <c r="V2249" s="30">
        <f>IF(ISNA(VLOOKUP(LOWER(F2249)&amp;H2249,Prices!A:C,2,0)),0,VLOOKUP(LOWER(F2249)&amp;H2249,Prices!A:C,2,0))</f>
        <v>30.85</v>
      </c>
      <c r="W2249" s="18">
        <f t="shared" ref="W2249" si="1588">IF(I2249="B",(V2249+T2249)*K2249,(V2249+T2249)*K2249)</f>
        <v>636.82774000000074</v>
      </c>
      <c r="X2249" s="30">
        <f t="shared" ref="X2249" si="1589">K2249*(V2249-U2249)</f>
        <v>318.00000000000068</v>
      </c>
      <c r="Y2249" s="40">
        <f t="shared" ref="Y2249" si="1590">W2249/O2249</f>
        <v>7.3937970509694736E-2</v>
      </c>
    </row>
    <row r="2250" spans="1:25" hidden="1" x14ac:dyDescent="0.15">
      <c r="A2250" s="1">
        <v>43045</v>
      </c>
      <c r="B2250" s="65">
        <v>0.62430555555555556</v>
      </c>
      <c r="C2250" s="30" t="s">
        <v>1128</v>
      </c>
      <c r="D2250" s="30" t="s">
        <v>1129</v>
      </c>
      <c r="E2250" t="s">
        <v>1130</v>
      </c>
      <c r="F2250" t="s">
        <v>4408</v>
      </c>
      <c r="G2250" s="30" t="str">
        <f>VLOOKUP(LOWER(F2250)&amp;H2250,'Current pricing'!A:B,2,0)</f>
        <v>今世缘</v>
      </c>
      <c r="H2250" s="3" t="s">
        <v>4415</v>
      </c>
      <c r="I2250" t="s">
        <v>1206</v>
      </c>
      <c r="J2250" s="29" t="s">
        <v>1798</v>
      </c>
      <c r="K2250">
        <v>-1400</v>
      </c>
      <c r="L2250">
        <v>1</v>
      </c>
      <c r="M2250">
        <v>16.18</v>
      </c>
      <c r="N2250" s="30">
        <f t="shared" ref="N2250" si="1591">K2250*M2250</f>
        <v>-22652</v>
      </c>
      <c r="O2250" s="30">
        <f t="shared" ref="O2250" si="1592">ABS(N2250)</f>
        <v>22652</v>
      </c>
      <c r="P2250" s="18">
        <f t="shared" ref="P2250" si="1593">IF(H2250="510050",0,IF(F2250="SZ",0,ABS(N2250*0.2%%)))</f>
        <v>0.45304000000000005</v>
      </c>
      <c r="Q2250" s="18">
        <f t="shared" ref="Q2250" si="1594">IF(I2250&lt;&gt;"D",IF(C2250="Stock",MAX(ABS(N2250*0.0002),5),MAX(ABS(N2250*0.0003),5)),0)</f>
        <v>5</v>
      </c>
      <c r="R2250" s="30">
        <f t="shared" ref="R2250" si="1595">IF(H2250="510050",0,ROUND(IF(OR(I2250="B",I2250="D"),0,ABS(N2250*0.001)),2))</f>
        <v>22.65</v>
      </c>
      <c r="S2250" s="18">
        <f t="shared" ref="S2250" si="1596">-(N2250+P2250+Q2250+R2250)</f>
        <v>22623.896959999998</v>
      </c>
      <c r="T2250" s="30">
        <f t="shared" ref="T2250" si="1597">S2250/K2250</f>
        <v>-16.1599264</v>
      </c>
      <c r="U2250" s="30">
        <f>IF(ISNA(VLOOKUP(LOWER(F2250)&amp;H2250,Prices!A:C,3,0)),0,VLOOKUP(LOWER(F2250)&amp;H2250,Prices!A:C,3,0))</f>
        <v>15.78</v>
      </c>
      <c r="V2250" s="30">
        <f>IF(ISNA(VLOOKUP(LOWER(F2250)&amp;H2250,Prices!A:C,2,0)),0,VLOOKUP(LOWER(F2250)&amp;H2250,Prices!A:C,2,0))</f>
        <v>16.28</v>
      </c>
      <c r="W2250" s="18">
        <f t="shared" ref="W2250" si="1598">IF(I2250="B",(V2250+T2250)*K2250,(V2250+T2250)*K2250)</f>
        <v>-168.10304000000187</v>
      </c>
      <c r="X2250" s="30">
        <f t="shared" ref="X2250" si="1599">K2250*(V2250-U2250)</f>
        <v>-700.0000000000025</v>
      </c>
      <c r="Y2250" s="40">
        <f t="shared" ref="Y2250" si="1600">W2250/O2250</f>
        <v>-7.4211124845489085E-3</v>
      </c>
    </row>
    <row r="2251" spans="1:25" hidden="1" x14ac:dyDescent="0.15">
      <c r="A2251" s="1">
        <v>43046</v>
      </c>
      <c r="B2251" s="65">
        <v>0.54626157407407405</v>
      </c>
      <c r="C2251" s="30" t="s">
        <v>1128</v>
      </c>
      <c r="D2251" s="30" t="s">
        <v>1129</v>
      </c>
      <c r="E2251" t="s">
        <v>1130</v>
      </c>
      <c r="F2251" t="s">
        <v>4409</v>
      </c>
      <c r="G2251" s="30" t="str">
        <f>VLOOKUP(LOWER(F2251)&amp;H2251,'Current pricing'!A:B,2,0)</f>
        <v>美的集团</v>
      </c>
      <c r="H2251" s="3" t="s">
        <v>1203</v>
      </c>
      <c r="I2251" t="s">
        <v>1207</v>
      </c>
      <c r="J2251" s="29" t="s">
        <v>1798</v>
      </c>
      <c r="K2251">
        <v>200</v>
      </c>
      <c r="L2251">
        <v>1</v>
      </c>
      <c r="M2251">
        <v>51.99</v>
      </c>
      <c r="N2251" s="30">
        <f t="shared" ref="N2251" si="1601">K2251*M2251</f>
        <v>10398</v>
      </c>
      <c r="O2251" s="30">
        <f t="shared" ref="O2251" si="1602">ABS(N2251)</f>
        <v>10398</v>
      </c>
      <c r="P2251" s="18">
        <f t="shared" ref="P2251" si="1603">IF(H2251="510050",0,IF(F2251="SZ",0,ABS(N2251*0.2%%)))</f>
        <v>0</v>
      </c>
      <c r="Q2251" s="18">
        <f t="shared" ref="Q2251" si="1604">IF(I2251&lt;&gt;"D",IF(C2251="Stock",MAX(ABS(N2251*0.0002),5),MAX(ABS(N2251*0.0003),5)),0)</f>
        <v>5</v>
      </c>
      <c r="R2251" s="30">
        <f t="shared" ref="R2251" si="1605">IF(H2251="510050",0,ROUND(IF(OR(I2251="B",I2251="D"),0,ABS(N2251*0.001)),2))</f>
        <v>0</v>
      </c>
      <c r="S2251" s="18">
        <f t="shared" ref="S2251" si="1606">-(N2251+P2251+Q2251+R2251)</f>
        <v>-10403</v>
      </c>
      <c r="T2251" s="30">
        <f t="shared" ref="T2251" si="1607">S2251/K2251</f>
        <v>-52.015000000000001</v>
      </c>
      <c r="U2251" s="30">
        <f>IF(ISNA(VLOOKUP(LOWER(F2251)&amp;H2251,Prices!A:C,3,0)),0,VLOOKUP(LOWER(F2251)&amp;H2251,Prices!A:C,3,0))</f>
        <v>52.6</v>
      </c>
      <c r="V2251" s="30">
        <f>IF(ISNA(VLOOKUP(LOWER(F2251)&amp;H2251,Prices!A:C,2,0)),0,VLOOKUP(LOWER(F2251)&amp;H2251,Prices!A:C,2,0))</f>
        <v>53.4</v>
      </c>
      <c r="W2251" s="18">
        <f t="shared" ref="W2251" si="1608">IF(I2251="B",(V2251+T2251)*K2251,(V2251+T2251)*K2251)</f>
        <v>276.9999999999996</v>
      </c>
      <c r="X2251" s="30">
        <f t="shared" ref="X2251" si="1609">K2251*(V2251-U2251)</f>
        <v>159.99999999999943</v>
      </c>
      <c r="Y2251" s="40">
        <f t="shared" ref="Y2251" si="1610">W2251/O2251</f>
        <v>2.6639738411232891E-2</v>
      </c>
    </row>
    <row r="2252" spans="1:25" hidden="1" x14ac:dyDescent="0.15">
      <c r="A2252" s="1">
        <v>43047</v>
      </c>
      <c r="B2252" s="65">
        <v>0.39982638888888888</v>
      </c>
      <c r="C2252" s="30" t="s">
        <v>1128</v>
      </c>
      <c r="D2252" s="30" t="s">
        <v>1129</v>
      </c>
      <c r="E2252" t="s">
        <v>1130</v>
      </c>
      <c r="F2252" t="s">
        <v>4408</v>
      </c>
      <c r="G2252" s="30" t="str">
        <f>VLOOKUP(LOWER(F2252)&amp;H2252,'Current pricing'!A:B,2,0)</f>
        <v>恒瑞医药</v>
      </c>
      <c r="H2252" s="3" t="s">
        <v>1521</v>
      </c>
      <c r="I2252" t="s">
        <v>1207</v>
      </c>
      <c r="J2252" s="29" t="s">
        <v>1798</v>
      </c>
      <c r="K2252">
        <v>100</v>
      </c>
      <c r="L2252">
        <v>1</v>
      </c>
      <c r="M2252">
        <v>70.66</v>
      </c>
      <c r="N2252" s="30">
        <f t="shared" ref="N2252" si="1611">K2252*M2252</f>
        <v>7066</v>
      </c>
      <c r="O2252" s="30">
        <f t="shared" ref="O2252" si="1612">ABS(N2252)</f>
        <v>7066</v>
      </c>
      <c r="P2252" s="18">
        <f t="shared" ref="P2252" si="1613">IF(H2252="510050",0,IF(F2252="SZ",0,ABS(N2252*0.2%%)))</f>
        <v>0.14132</v>
      </c>
      <c r="Q2252" s="18">
        <f t="shared" ref="Q2252" si="1614">IF(I2252&lt;&gt;"D",IF(C2252="Stock",MAX(ABS(N2252*0.0002),5),MAX(ABS(N2252*0.0003),5)),0)</f>
        <v>5</v>
      </c>
      <c r="R2252" s="30">
        <f t="shared" ref="R2252" si="1615">IF(H2252="510050",0,ROUND(IF(OR(I2252="B",I2252="D"),0,ABS(N2252*0.001)),2))</f>
        <v>0</v>
      </c>
      <c r="S2252" s="18">
        <f t="shared" ref="S2252" si="1616">-(N2252+P2252+Q2252+R2252)</f>
        <v>-7071.1413199999997</v>
      </c>
      <c r="T2252" s="30">
        <f t="shared" ref="T2252" si="1617">S2252/K2252</f>
        <v>-70.711413199999996</v>
      </c>
      <c r="U2252" s="30">
        <f>IF(ISNA(VLOOKUP(LOWER(F2252)&amp;H2252,Prices!A:C,3,0)),0,VLOOKUP(LOWER(F2252)&amp;H2252,Prices!A:C,3,0))</f>
        <v>70.98</v>
      </c>
      <c r="V2252" s="30">
        <f>IF(ISNA(VLOOKUP(LOWER(F2252)&amp;H2252,Prices!A:C,2,0)),0,VLOOKUP(LOWER(F2252)&amp;H2252,Prices!A:C,2,0))</f>
        <v>71.52</v>
      </c>
      <c r="W2252" s="18">
        <f t="shared" ref="W2252" si="1618">IF(I2252="B",(V2252+T2252)*K2252,(V2252+T2252)*K2252)</f>
        <v>80.858680000000049</v>
      </c>
      <c r="X2252" s="30">
        <f t="shared" ref="X2252" si="1619">K2252*(V2252-U2252)</f>
        <v>53.999999999999204</v>
      </c>
      <c r="Y2252" s="40">
        <f t="shared" ref="Y2252" si="1620">W2252/O2252</f>
        <v>1.1443345598641389E-2</v>
      </c>
    </row>
    <row r="2253" spans="1:25" hidden="1" x14ac:dyDescent="0.15">
      <c r="A2253" s="1">
        <v>43048</v>
      </c>
      <c r="B2253" s="65">
        <v>0.5507291666666666</v>
      </c>
      <c r="C2253" s="30" t="s">
        <v>1128</v>
      </c>
      <c r="D2253" s="30" t="s">
        <v>1129</v>
      </c>
      <c r="E2253" t="s">
        <v>1130</v>
      </c>
      <c r="F2253" t="s">
        <v>4408</v>
      </c>
      <c r="G2253" s="30" t="str">
        <f>VLOOKUP(LOWER(F2253)&amp;H2253,'Current pricing'!A:B,2,0)</f>
        <v>工商银行</v>
      </c>
      <c r="H2253" s="3" t="s">
        <v>4349</v>
      </c>
      <c r="I2253" t="s">
        <v>1207</v>
      </c>
      <c r="J2253" s="29" t="s">
        <v>1798</v>
      </c>
      <c r="K2253">
        <v>2000</v>
      </c>
      <c r="L2253">
        <v>1</v>
      </c>
      <c r="M2253">
        <v>5.96</v>
      </c>
      <c r="N2253" s="30">
        <f t="shared" ref="N2253:N2260" si="1621">K2253*M2253</f>
        <v>11920</v>
      </c>
      <c r="O2253" s="30">
        <f t="shared" ref="O2253:O2260" si="1622">ABS(N2253)</f>
        <v>11920</v>
      </c>
      <c r="P2253" s="18">
        <f t="shared" ref="P2253:P2260" si="1623">IF(H2253="510050",0,IF(F2253="SZ",0,ABS(N2253*0.2%%)))</f>
        <v>0.23840000000000003</v>
      </c>
      <c r="Q2253" s="18">
        <f t="shared" ref="Q2253:Q2260" si="1624">IF(I2253&lt;&gt;"D",IF(C2253="Stock",MAX(ABS(N2253*0.0002),5),MAX(ABS(N2253*0.0003),5)),0)</f>
        <v>5</v>
      </c>
      <c r="R2253" s="30">
        <f t="shared" ref="R2253:R2260" si="1625">IF(H2253="510050",0,ROUND(IF(OR(I2253="B",I2253="D"),0,ABS(N2253*0.001)),2))</f>
        <v>0</v>
      </c>
      <c r="S2253" s="18">
        <f t="shared" ref="S2253:S2260" si="1626">-(N2253+P2253+Q2253+R2253)</f>
        <v>-11925.2384</v>
      </c>
      <c r="T2253" s="30">
        <f t="shared" ref="T2253:T2260" si="1627">S2253/K2253</f>
        <v>-5.9626191999999998</v>
      </c>
      <c r="U2253" s="30">
        <f>IF(ISNA(VLOOKUP(LOWER(F2253)&amp;H2253,Prices!A:C,3,0)),0,VLOOKUP(LOWER(F2253)&amp;H2253,Prices!A:C,3,0))</f>
        <v>5.94</v>
      </c>
      <c r="V2253" s="30">
        <f>IF(ISNA(VLOOKUP(LOWER(F2253)&amp;H2253,Prices!A:C,2,0)),0,VLOOKUP(LOWER(F2253)&amp;H2253,Prices!A:C,2,0))</f>
        <v>5.82</v>
      </c>
      <c r="W2253" s="18">
        <f t="shared" ref="W2253:W2260" si="1628">IF(I2253="B",(V2253+T2253)*K2253,(V2253+T2253)*K2253)</f>
        <v>-285.23839999999899</v>
      </c>
      <c r="X2253" s="30">
        <f t="shared" ref="X2253:X2260" si="1629">K2253*(V2253-U2253)</f>
        <v>-240.00000000000023</v>
      </c>
      <c r="Y2253" s="40">
        <f t="shared" ref="Y2253:Y2260" si="1630">W2253/O2253</f>
        <v>-2.3929395973154279E-2</v>
      </c>
    </row>
    <row r="2254" spans="1:25" hidden="1" x14ac:dyDescent="0.15">
      <c r="A2254" s="1">
        <v>43048</v>
      </c>
      <c r="B2254" s="65">
        <v>0.43587962962962962</v>
      </c>
      <c r="C2254" s="30" t="s">
        <v>1128</v>
      </c>
      <c r="D2254" s="30" t="s">
        <v>1129</v>
      </c>
      <c r="E2254" t="s">
        <v>1130</v>
      </c>
      <c r="F2254" t="s">
        <v>4408</v>
      </c>
      <c r="G2254" s="30" t="str">
        <f>VLOOKUP(LOWER(F2254)&amp;H2254,'Current pricing'!A:B,2,0)</f>
        <v>工商银行</v>
      </c>
      <c r="H2254" s="3" t="s">
        <v>4349</v>
      </c>
      <c r="I2254" t="s">
        <v>1207</v>
      </c>
      <c r="J2254" s="29" t="s">
        <v>1798</v>
      </c>
      <c r="K2254">
        <v>1700</v>
      </c>
      <c r="L2254">
        <v>1</v>
      </c>
      <c r="M2254">
        <v>5.98</v>
      </c>
      <c r="N2254" s="30">
        <f t="shared" si="1621"/>
        <v>10166</v>
      </c>
      <c r="O2254" s="30">
        <f t="shared" si="1622"/>
        <v>10166</v>
      </c>
      <c r="P2254" s="18">
        <f t="shared" si="1623"/>
        <v>0.20332000000000003</v>
      </c>
      <c r="Q2254" s="18">
        <f t="shared" si="1624"/>
        <v>5</v>
      </c>
      <c r="R2254" s="30">
        <f t="shared" si="1625"/>
        <v>0</v>
      </c>
      <c r="S2254" s="18">
        <f t="shared" si="1626"/>
        <v>-10171.203320000001</v>
      </c>
      <c r="T2254" s="30">
        <f t="shared" si="1627"/>
        <v>-5.9830607764705883</v>
      </c>
      <c r="U2254" s="30">
        <f>IF(ISNA(VLOOKUP(LOWER(F2254)&amp;H2254,Prices!A:C,3,0)),0,VLOOKUP(LOWER(F2254)&amp;H2254,Prices!A:C,3,0))</f>
        <v>5.94</v>
      </c>
      <c r="V2254" s="30">
        <f>IF(ISNA(VLOOKUP(LOWER(F2254)&amp;H2254,Prices!A:C,2,0)),0,VLOOKUP(LOWER(F2254)&amp;H2254,Prices!A:C,2,0))</f>
        <v>5.82</v>
      </c>
      <c r="W2254" s="18">
        <f t="shared" si="1628"/>
        <v>-277.20331999999968</v>
      </c>
      <c r="X2254" s="30">
        <f t="shared" si="1629"/>
        <v>-204.00000000000017</v>
      </c>
      <c r="Y2254" s="40">
        <f t="shared" si="1630"/>
        <v>-2.7267688373008036E-2</v>
      </c>
    </row>
    <row r="2255" spans="1:25" hidden="1" x14ac:dyDescent="0.15">
      <c r="A2255" s="1">
        <v>43048</v>
      </c>
      <c r="B2255" s="65">
        <v>0.42167824074074073</v>
      </c>
      <c r="C2255" s="30" t="s">
        <v>1128</v>
      </c>
      <c r="D2255" s="30" t="s">
        <v>1129</v>
      </c>
      <c r="E2255" t="s">
        <v>1130</v>
      </c>
      <c r="F2255" t="s">
        <v>4408</v>
      </c>
      <c r="G2255" s="30" t="str">
        <f>VLOOKUP(LOWER(F2255)&amp;H2255,'Current pricing'!A:B,2,0)</f>
        <v>伊利股份</v>
      </c>
      <c r="H2255" s="3" t="s">
        <v>1302</v>
      </c>
      <c r="I2255" t="s">
        <v>1207</v>
      </c>
      <c r="J2255" s="29" t="s">
        <v>1798</v>
      </c>
      <c r="K2255">
        <v>300</v>
      </c>
      <c r="L2255">
        <v>1</v>
      </c>
      <c r="M2255">
        <v>28.98</v>
      </c>
      <c r="N2255" s="30">
        <f t="shared" si="1621"/>
        <v>8694</v>
      </c>
      <c r="O2255" s="30">
        <f t="shared" si="1622"/>
        <v>8694</v>
      </c>
      <c r="P2255" s="18">
        <f t="shared" si="1623"/>
        <v>0.17388000000000001</v>
      </c>
      <c r="Q2255" s="18">
        <f t="shared" si="1624"/>
        <v>5</v>
      </c>
      <c r="R2255" s="30">
        <f t="shared" si="1625"/>
        <v>0</v>
      </c>
      <c r="S2255" s="18">
        <f t="shared" si="1626"/>
        <v>-8699.1738800000003</v>
      </c>
      <c r="T2255" s="30">
        <f t="shared" si="1627"/>
        <v>-28.997246266666668</v>
      </c>
      <c r="U2255" s="30">
        <f>IF(ISNA(VLOOKUP(LOWER(F2255)&amp;H2255,Prices!A:C,3,0)),0,VLOOKUP(LOWER(F2255)&amp;H2255,Prices!A:C,3,0))</f>
        <v>29.79</v>
      </c>
      <c r="V2255" s="30">
        <f>IF(ISNA(VLOOKUP(LOWER(F2255)&amp;H2255,Prices!A:C,2,0)),0,VLOOKUP(LOWER(F2255)&amp;H2255,Prices!A:C,2,0))</f>
        <v>30.85</v>
      </c>
      <c r="W2255" s="18">
        <f t="shared" si="1628"/>
        <v>555.82612000000006</v>
      </c>
      <c r="X2255" s="30">
        <f t="shared" si="1629"/>
        <v>318.00000000000068</v>
      </c>
      <c r="Y2255" s="40">
        <f t="shared" si="1630"/>
        <v>6.3932150908672658E-2</v>
      </c>
    </row>
    <row r="2256" spans="1:25" hidden="1" x14ac:dyDescent="0.15">
      <c r="A2256" s="1">
        <v>43048</v>
      </c>
      <c r="B2256" s="65">
        <v>0.41947916666666668</v>
      </c>
      <c r="C2256" s="30" t="s">
        <v>1128</v>
      </c>
      <c r="D2256" s="30" t="s">
        <v>1129</v>
      </c>
      <c r="E2256" t="s">
        <v>1130</v>
      </c>
      <c r="F2256" t="s">
        <v>4408</v>
      </c>
      <c r="G2256" s="30" t="str">
        <f>VLOOKUP(LOWER(F2256)&amp;H2256,'Current pricing'!A:B,2,0)</f>
        <v>恒瑞医药</v>
      </c>
      <c r="H2256" s="3" t="s">
        <v>1521</v>
      </c>
      <c r="I2256" t="s">
        <v>1207</v>
      </c>
      <c r="J2256" s="29" t="s">
        <v>1798</v>
      </c>
      <c r="K2256">
        <v>100</v>
      </c>
      <c r="L2256">
        <v>1</v>
      </c>
      <c r="M2256">
        <v>69.31</v>
      </c>
      <c r="N2256" s="30">
        <f t="shared" si="1621"/>
        <v>6931</v>
      </c>
      <c r="O2256" s="30">
        <f t="shared" si="1622"/>
        <v>6931</v>
      </c>
      <c r="P2256" s="18">
        <f t="shared" si="1623"/>
        <v>0.13862000000000002</v>
      </c>
      <c r="Q2256" s="18">
        <f t="shared" si="1624"/>
        <v>5</v>
      </c>
      <c r="R2256" s="30">
        <f t="shared" si="1625"/>
        <v>0</v>
      </c>
      <c r="S2256" s="18">
        <f t="shared" si="1626"/>
        <v>-6936.1386199999997</v>
      </c>
      <c r="T2256" s="30">
        <f t="shared" si="1627"/>
        <v>-69.361386199999998</v>
      </c>
      <c r="U2256" s="30">
        <f>IF(ISNA(VLOOKUP(LOWER(F2256)&amp;H2256,Prices!A:C,3,0)),0,VLOOKUP(LOWER(F2256)&amp;H2256,Prices!A:C,3,0))</f>
        <v>70.98</v>
      </c>
      <c r="V2256" s="30">
        <f>IF(ISNA(VLOOKUP(LOWER(F2256)&amp;H2256,Prices!A:C,2,0)),0,VLOOKUP(LOWER(F2256)&amp;H2256,Prices!A:C,2,0))</f>
        <v>71.52</v>
      </c>
      <c r="W2256" s="18">
        <f t="shared" si="1628"/>
        <v>215.86137999999977</v>
      </c>
      <c r="X2256" s="30">
        <f t="shared" si="1629"/>
        <v>53.999999999999204</v>
      </c>
      <c r="Y2256" s="40">
        <f t="shared" si="1630"/>
        <v>3.114433415091614E-2</v>
      </c>
    </row>
    <row r="2257" spans="1:25" hidden="1" x14ac:dyDescent="0.15">
      <c r="A2257" s="1">
        <v>43048</v>
      </c>
      <c r="B2257" s="65">
        <v>0.41427083333333337</v>
      </c>
      <c r="C2257" s="30" t="s">
        <v>1128</v>
      </c>
      <c r="D2257" s="30" t="s">
        <v>1129</v>
      </c>
      <c r="E2257" t="s">
        <v>1130</v>
      </c>
      <c r="F2257" t="s">
        <v>4409</v>
      </c>
      <c r="G2257" s="30" t="str">
        <f>VLOOKUP(LOWER(F2257)&amp;H2257,'Current pricing'!A:B,2,0)</f>
        <v>大族激光</v>
      </c>
      <c r="H2257" s="3" t="s">
        <v>1502</v>
      </c>
      <c r="I2257" t="s">
        <v>1207</v>
      </c>
      <c r="J2257" s="29" t="s">
        <v>1798</v>
      </c>
      <c r="K2257">
        <v>200</v>
      </c>
      <c r="L2257">
        <v>1</v>
      </c>
      <c r="M2257">
        <v>50.3</v>
      </c>
      <c r="N2257" s="30">
        <f t="shared" si="1621"/>
        <v>10060</v>
      </c>
      <c r="O2257" s="30">
        <f t="shared" si="1622"/>
        <v>10060</v>
      </c>
      <c r="P2257" s="18">
        <f t="shared" si="1623"/>
        <v>0</v>
      </c>
      <c r="Q2257" s="18">
        <f t="shared" si="1624"/>
        <v>5</v>
      </c>
      <c r="R2257" s="30">
        <f t="shared" si="1625"/>
        <v>0</v>
      </c>
      <c r="S2257" s="18">
        <f t="shared" si="1626"/>
        <v>-10065</v>
      </c>
      <c r="T2257" s="30">
        <f t="shared" si="1627"/>
        <v>-50.325000000000003</v>
      </c>
      <c r="U2257" s="30">
        <f>IF(ISNA(VLOOKUP(LOWER(F2257)&amp;H2257,Prices!A:C,3,0)),0,VLOOKUP(LOWER(F2257)&amp;H2257,Prices!A:C,3,0))</f>
        <v>55.39</v>
      </c>
      <c r="V2257" s="30">
        <f>IF(ISNA(VLOOKUP(LOWER(F2257)&amp;H2257,Prices!A:C,2,0)),0,VLOOKUP(LOWER(F2257)&amp;H2257,Prices!A:C,2,0))</f>
        <v>57.19</v>
      </c>
      <c r="W2257" s="18">
        <f t="shared" si="1628"/>
        <v>1372.9999999999991</v>
      </c>
      <c r="X2257" s="30">
        <f t="shared" si="1629"/>
        <v>359.99999999999943</v>
      </c>
      <c r="Y2257" s="40">
        <f t="shared" si="1630"/>
        <v>0.13648111332007942</v>
      </c>
    </row>
    <row r="2258" spans="1:25" hidden="1" x14ac:dyDescent="0.15">
      <c r="A2258" s="1">
        <v>43048</v>
      </c>
      <c r="B2258" s="65">
        <v>0.40611111111111109</v>
      </c>
      <c r="C2258" s="30" t="s">
        <v>1128</v>
      </c>
      <c r="D2258" s="30" t="s">
        <v>1129</v>
      </c>
      <c r="E2258" t="s">
        <v>1130</v>
      </c>
      <c r="F2258" t="s">
        <v>4408</v>
      </c>
      <c r="G2258" s="30" t="str">
        <f>VLOOKUP(LOWER(F2258)&amp;H2258,'Current pricing'!A:B,2,0)</f>
        <v>恒瑞医药</v>
      </c>
      <c r="H2258" s="3" t="s">
        <v>1521</v>
      </c>
      <c r="I2258" t="s">
        <v>1207</v>
      </c>
      <c r="J2258" s="29" t="s">
        <v>1798</v>
      </c>
      <c r="K2258">
        <v>200</v>
      </c>
      <c r="L2258">
        <v>1</v>
      </c>
      <c r="M2258">
        <v>70.010000000000005</v>
      </c>
      <c r="N2258" s="30">
        <f t="shared" si="1621"/>
        <v>14002.000000000002</v>
      </c>
      <c r="O2258" s="30">
        <f t="shared" si="1622"/>
        <v>14002.000000000002</v>
      </c>
      <c r="P2258" s="18">
        <f t="shared" si="1623"/>
        <v>0.28004000000000007</v>
      </c>
      <c r="Q2258" s="18">
        <f t="shared" si="1624"/>
        <v>5</v>
      </c>
      <c r="R2258" s="30">
        <f t="shared" si="1625"/>
        <v>0</v>
      </c>
      <c r="S2258" s="18">
        <f t="shared" si="1626"/>
        <v>-14007.280040000001</v>
      </c>
      <c r="T2258" s="30">
        <f t="shared" si="1627"/>
        <v>-70.036400200000003</v>
      </c>
      <c r="U2258" s="30">
        <f>IF(ISNA(VLOOKUP(LOWER(F2258)&amp;H2258,Prices!A:C,3,0)),0,VLOOKUP(LOWER(F2258)&amp;H2258,Prices!A:C,3,0))</f>
        <v>70.98</v>
      </c>
      <c r="V2258" s="30">
        <f>IF(ISNA(VLOOKUP(LOWER(F2258)&amp;H2258,Prices!A:C,2,0)),0,VLOOKUP(LOWER(F2258)&amp;H2258,Prices!A:C,2,0))</f>
        <v>71.52</v>
      </c>
      <c r="W2258" s="18">
        <f t="shared" si="1628"/>
        <v>296.71995999999865</v>
      </c>
      <c r="X2258" s="30">
        <f t="shared" si="1629"/>
        <v>107.99999999999841</v>
      </c>
      <c r="Y2258" s="40">
        <f t="shared" si="1630"/>
        <v>2.1191255534923483E-2</v>
      </c>
    </row>
    <row r="2259" spans="1:25" hidden="1" x14ac:dyDescent="0.15">
      <c r="A2259" s="1">
        <v>43048</v>
      </c>
      <c r="B2259" s="65">
        <v>0.40487268518518515</v>
      </c>
      <c r="C2259" s="30" t="s">
        <v>1128</v>
      </c>
      <c r="D2259" s="30" t="s">
        <v>1129</v>
      </c>
      <c r="E2259" t="s">
        <v>1130</v>
      </c>
      <c r="F2259" t="s">
        <v>4408</v>
      </c>
      <c r="G2259" s="30" t="str">
        <f>VLOOKUP(LOWER(F2259)&amp;H2259,'Current pricing'!A:B,2,0)</f>
        <v>伊利股份</v>
      </c>
      <c r="H2259" s="3" t="s">
        <v>1302</v>
      </c>
      <c r="I2259" t="s">
        <v>1207</v>
      </c>
      <c r="J2259" s="29" t="s">
        <v>1798</v>
      </c>
      <c r="K2259">
        <v>400</v>
      </c>
      <c r="L2259">
        <v>1</v>
      </c>
      <c r="M2259">
        <v>29.44</v>
      </c>
      <c r="N2259" s="30">
        <f t="shared" si="1621"/>
        <v>11776</v>
      </c>
      <c r="O2259" s="30">
        <f t="shared" si="1622"/>
        <v>11776</v>
      </c>
      <c r="P2259" s="18">
        <f t="shared" si="1623"/>
        <v>0.23552000000000001</v>
      </c>
      <c r="Q2259" s="18">
        <f t="shared" si="1624"/>
        <v>5</v>
      </c>
      <c r="R2259" s="30">
        <f t="shared" si="1625"/>
        <v>0</v>
      </c>
      <c r="S2259" s="18">
        <f t="shared" si="1626"/>
        <v>-11781.23552</v>
      </c>
      <c r="T2259" s="30">
        <f t="shared" si="1627"/>
        <v>-29.4530888</v>
      </c>
      <c r="U2259" s="30">
        <f>IF(ISNA(VLOOKUP(LOWER(F2259)&amp;H2259,Prices!A:C,3,0)),0,VLOOKUP(LOWER(F2259)&amp;H2259,Prices!A:C,3,0))</f>
        <v>29.79</v>
      </c>
      <c r="V2259" s="30">
        <f>IF(ISNA(VLOOKUP(LOWER(F2259)&amp;H2259,Prices!A:C,2,0)),0,VLOOKUP(LOWER(F2259)&amp;H2259,Prices!A:C,2,0))</f>
        <v>30.85</v>
      </c>
      <c r="W2259" s="18">
        <f t="shared" si="1628"/>
        <v>558.76448000000073</v>
      </c>
      <c r="X2259" s="30">
        <f t="shared" si="1629"/>
        <v>424.00000000000091</v>
      </c>
      <c r="Y2259" s="40">
        <f t="shared" si="1630"/>
        <v>4.7449429347826151E-2</v>
      </c>
    </row>
    <row r="2260" spans="1:25" hidden="1" x14ac:dyDescent="0.15">
      <c r="A2260" s="1">
        <v>43048</v>
      </c>
      <c r="B2260" s="65">
        <v>0.40460648148148143</v>
      </c>
      <c r="C2260" s="30" t="s">
        <v>1128</v>
      </c>
      <c r="D2260" s="30" t="s">
        <v>1129</v>
      </c>
      <c r="E2260" t="s">
        <v>1130</v>
      </c>
      <c r="F2260" t="s">
        <v>4409</v>
      </c>
      <c r="G2260" s="30" t="str">
        <f>VLOOKUP(LOWER(F2260)&amp;H2260,'Current pricing'!A:B,2,0)</f>
        <v>美的集团</v>
      </c>
      <c r="H2260" s="3" t="s">
        <v>1203</v>
      </c>
      <c r="I2260" t="s">
        <v>1207</v>
      </c>
      <c r="J2260" s="29" t="s">
        <v>1798</v>
      </c>
      <c r="K2260">
        <v>200</v>
      </c>
      <c r="L2260">
        <v>1</v>
      </c>
      <c r="M2260">
        <v>50.94</v>
      </c>
      <c r="N2260" s="30">
        <f t="shared" si="1621"/>
        <v>10188</v>
      </c>
      <c r="O2260" s="30">
        <f t="shared" si="1622"/>
        <v>10188</v>
      </c>
      <c r="P2260" s="18">
        <f t="shared" si="1623"/>
        <v>0</v>
      </c>
      <c r="Q2260" s="18">
        <f t="shared" si="1624"/>
        <v>5</v>
      </c>
      <c r="R2260" s="30">
        <f t="shared" si="1625"/>
        <v>0</v>
      </c>
      <c r="S2260" s="18">
        <f t="shared" si="1626"/>
        <v>-10193</v>
      </c>
      <c r="T2260" s="30">
        <f t="shared" si="1627"/>
        <v>-50.965000000000003</v>
      </c>
      <c r="U2260" s="30">
        <f>IF(ISNA(VLOOKUP(LOWER(F2260)&amp;H2260,Prices!A:C,3,0)),0,VLOOKUP(LOWER(F2260)&amp;H2260,Prices!A:C,3,0))</f>
        <v>52.6</v>
      </c>
      <c r="V2260" s="30">
        <f>IF(ISNA(VLOOKUP(LOWER(F2260)&amp;H2260,Prices!A:C,2,0)),0,VLOOKUP(LOWER(F2260)&amp;H2260,Prices!A:C,2,0))</f>
        <v>53.4</v>
      </c>
      <c r="W2260" s="18">
        <f t="shared" si="1628"/>
        <v>486.99999999999903</v>
      </c>
      <c r="X2260" s="30">
        <f t="shared" si="1629"/>
        <v>159.99999999999943</v>
      </c>
      <c r="Y2260" s="40">
        <f t="shared" si="1630"/>
        <v>4.7801334903808307E-2</v>
      </c>
    </row>
    <row r="2261" spans="1:25" hidden="1" x14ac:dyDescent="0.15">
      <c r="A2261" s="1">
        <v>43049</v>
      </c>
      <c r="B2261" s="65">
        <v>0.43155092592592598</v>
      </c>
      <c r="C2261" s="30" t="s">
        <v>1128</v>
      </c>
      <c r="D2261" s="30" t="s">
        <v>1129</v>
      </c>
      <c r="E2261" t="s">
        <v>1130</v>
      </c>
      <c r="F2261" t="s">
        <v>4408</v>
      </c>
      <c r="G2261" s="30" t="str">
        <f>VLOOKUP(LOWER(F2261)&amp;H2261,'Current pricing'!A:B,2,0)</f>
        <v>工商银行</v>
      </c>
      <c r="H2261" s="3" t="s">
        <v>4349</v>
      </c>
      <c r="I2261" t="s">
        <v>1207</v>
      </c>
      <c r="J2261" s="29" t="s">
        <v>1798</v>
      </c>
      <c r="K2261">
        <v>2000</v>
      </c>
      <c r="L2261">
        <v>1</v>
      </c>
      <c r="M2261">
        <v>5.82</v>
      </c>
      <c r="N2261" s="30">
        <f t="shared" ref="N2261:N2262" si="1631">K2261*M2261</f>
        <v>11640</v>
      </c>
      <c r="O2261" s="30">
        <f t="shared" ref="O2261:O2262" si="1632">ABS(N2261)</f>
        <v>11640</v>
      </c>
      <c r="P2261" s="18">
        <f t="shared" ref="P2261:P2262" si="1633">IF(H2261="510050",0,IF(F2261="SZ",0,ABS(N2261*0.2%%)))</f>
        <v>0.23280000000000001</v>
      </c>
      <c r="Q2261" s="18">
        <f t="shared" ref="Q2261:Q2262" si="1634">IF(I2261&lt;&gt;"D",IF(C2261="Stock",MAX(ABS(N2261*0.0002),5),MAX(ABS(N2261*0.0003),5)),0)</f>
        <v>5</v>
      </c>
      <c r="R2261" s="30">
        <f t="shared" ref="R2261:R2262" si="1635">IF(H2261="510050",0,ROUND(IF(OR(I2261="B",I2261="D"),0,ABS(N2261*0.001)),2))</f>
        <v>0</v>
      </c>
      <c r="S2261" s="18">
        <f t="shared" ref="S2261:S2262" si="1636">-(N2261+P2261+Q2261+R2261)</f>
        <v>-11645.2328</v>
      </c>
      <c r="T2261" s="30">
        <f t="shared" ref="T2261:T2262" si="1637">S2261/K2261</f>
        <v>-5.8226164000000002</v>
      </c>
      <c r="U2261" s="30">
        <f>IF(ISNA(VLOOKUP(LOWER(F2261)&amp;H2261,Prices!A:C,3,0)),0,VLOOKUP(LOWER(F2261)&amp;H2261,Prices!A:C,3,0))</f>
        <v>5.94</v>
      </c>
      <c r="V2261" s="30">
        <f>IF(ISNA(VLOOKUP(LOWER(F2261)&amp;H2261,Prices!A:C,2,0)),0,VLOOKUP(LOWER(F2261)&amp;H2261,Prices!A:C,2,0))</f>
        <v>5.82</v>
      </c>
      <c r="W2261" s="18">
        <f t="shared" ref="W2261:W2262" si="1638">IF(I2261="B",(V2261+T2261)*K2261,(V2261+T2261)*K2261)</f>
        <v>-5.2327999999999264</v>
      </c>
      <c r="X2261" s="30">
        <f t="shared" ref="X2261:X2262" si="1639">K2261*(V2261-U2261)</f>
        <v>-240.00000000000023</v>
      </c>
      <c r="Y2261" s="40">
        <f t="shared" ref="Y2261:Y2262" si="1640">W2261/O2261</f>
        <v>-4.495532646048047E-4</v>
      </c>
    </row>
    <row r="2262" spans="1:25" hidden="1" x14ac:dyDescent="0.15">
      <c r="A2262" s="1">
        <v>43049</v>
      </c>
      <c r="B2262" s="65">
        <v>0.40609953703703705</v>
      </c>
      <c r="C2262" s="30" t="s">
        <v>1128</v>
      </c>
      <c r="D2262" s="30" t="s">
        <v>1129</v>
      </c>
      <c r="E2262" t="s">
        <v>1130</v>
      </c>
      <c r="F2262" t="s">
        <v>4408</v>
      </c>
      <c r="G2262" s="30" t="str">
        <f>VLOOKUP(LOWER(F2262)&amp;H2262,'Current pricing'!A:B,2,0)</f>
        <v>工商银行</v>
      </c>
      <c r="H2262" s="3" t="s">
        <v>4349</v>
      </c>
      <c r="I2262" t="s">
        <v>1207</v>
      </c>
      <c r="J2262" s="29" t="s">
        <v>1798</v>
      </c>
      <c r="K2262">
        <v>2000</v>
      </c>
      <c r="L2262">
        <v>1</v>
      </c>
      <c r="M2262">
        <v>5.88</v>
      </c>
      <c r="N2262" s="30">
        <f t="shared" si="1631"/>
        <v>11760</v>
      </c>
      <c r="O2262" s="30">
        <f t="shared" si="1632"/>
        <v>11760</v>
      </c>
      <c r="P2262" s="18">
        <f t="shared" si="1633"/>
        <v>0.23520000000000002</v>
      </c>
      <c r="Q2262" s="18">
        <f t="shared" si="1634"/>
        <v>5</v>
      </c>
      <c r="R2262" s="30">
        <f t="shared" si="1635"/>
        <v>0</v>
      </c>
      <c r="S2262" s="18">
        <f t="shared" si="1636"/>
        <v>-11765.235199999999</v>
      </c>
      <c r="T2262" s="30">
        <f t="shared" si="1637"/>
        <v>-5.8826175999999997</v>
      </c>
      <c r="U2262" s="30">
        <f>IF(ISNA(VLOOKUP(LOWER(F2262)&amp;H2262,Prices!A:C,3,0)),0,VLOOKUP(LOWER(F2262)&amp;H2262,Prices!A:C,3,0))</f>
        <v>5.94</v>
      </c>
      <c r="V2262" s="30">
        <f>IF(ISNA(VLOOKUP(LOWER(F2262)&amp;H2262,Prices!A:C,2,0)),0,VLOOKUP(LOWER(F2262)&amp;H2262,Prices!A:C,2,0))</f>
        <v>5.82</v>
      </c>
      <c r="W2262" s="18">
        <f t="shared" si="1638"/>
        <v>-125.23519999999877</v>
      </c>
      <c r="X2262" s="30">
        <f t="shared" si="1639"/>
        <v>-240.00000000000023</v>
      </c>
      <c r="Y2262" s="40">
        <f t="shared" si="1640"/>
        <v>-1.0649251700680167E-2</v>
      </c>
    </row>
  </sheetData>
  <autoFilter ref="A2:XFB2262">
    <filterColumn colId="6">
      <filters>
        <filter val="长江电力"/>
      </filters>
    </filterColumn>
  </autoFilter>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C9" sqref="C9"/>
    </sheetView>
  </sheetViews>
  <sheetFormatPr defaultRowHeight="13.5" x14ac:dyDescent="0.15"/>
  <sheetData>
    <row r="1" spans="1:3" x14ac:dyDescent="0.15">
      <c r="A1" t="s">
        <v>4403</v>
      </c>
      <c r="B1" t="s">
        <v>4404</v>
      </c>
      <c r="C1" t="s">
        <v>4405</v>
      </c>
    </row>
    <row r="2" spans="1:3" x14ac:dyDescent="0.15">
      <c r="A2" s="30" t="s">
        <v>868</v>
      </c>
      <c r="B2" s="30">
        <v>25.19</v>
      </c>
      <c r="C2" s="30">
        <v>25.19</v>
      </c>
    </row>
    <row r="3" spans="1:3" x14ac:dyDescent="0.15">
      <c r="A3" s="30" t="s">
        <v>4447</v>
      </c>
      <c r="B3" s="30">
        <v>33.96</v>
      </c>
      <c r="C3" s="30">
        <v>34.340000000000003</v>
      </c>
    </row>
    <row r="4" spans="1:3" x14ac:dyDescent="0.15">
      <c r="A4" s="30" t="s">
        <v>311</v>
      </c>
      <c r="B4" s="30">
        <v>21.88</v>
      </c>
      <c r="C4" s="30">
        <v>21.81</v>
      </c>
    </row>
    <row r="5" spans="1:3" x14ac:dyDescent="0.15">
      <c r="A5" s="30" t="s">
        <v>2762</v>
      </c>
      <c r="B5" s="30">
        <v>19.97</v>
      </c>
      <c r="C5" s="30">
        <v>20.079999999999998</v>
      </c>
    </row>
    <row r="6" spans="1:3" x14ac:dyDescent="0.15">
      <c r="A6" s="30" t="s">
        <v>3238</v>
      </c>
      <c r="B6" s="30">
        <v>10.67</v>
      </c>
      <c r="C6" s="30">
        <v>10.86</v>
      </c>
    </row>
    <row r="7" spans="1:3" x14ac:dyDescent="0.15">
      <c r="A7" s="30" t="s">
        <v>2738</v>
      </c>
      <c r="B7" s="30">
        <v>13.49</v>
      </c>
      <c r="C7" s="30">
        <v>13.46</v>
      </c>
    </row>
    <row r="8" spans="1:3" x14ac:dyDescent="0.15">
      <c r="A8" s="30" t="s">
        <v>764</v>
      </c>
      <c r="B8" s="30">
        <v>7.11</v>
      </c>
      <c r="C8" s="30">
        <v>7.19</v>
      </c>
    </row>
    <row r="9" spans="1:3" x14ac:dyDescent="0.15">
      <c r="A9" s="30" t="s">
        <v>970</v>
      </c>
      <c r="B9" s="30">
        <v>13.6</v>
      </c>
      <c r="C9" s="30">
        <v>13.35</v>
      </c>
    </row>
    <row r="10" spans="1:3" x14ac:dyDescent="0.15">
      <c r="A10" s="30" t="s">
        <v>513</v>
      </c>
      <c r="B10" s="30">
        <v>36.520000000000003</v>
      </c>
      <c r="C10" s="30">
        <v>37.200000000000003</v>
      </c>
    </row>
    <row r="11" spans="1:3" x14ac:dyDescent="0.15">
      <c r="A11" s="30" t="s">
        <v>554</v>
      </c>
      <c r="B11" s="30">
        <v>6.83</v>
      </c>
      <c r="C11" s="30">
        <v>6.91</v>
      </c>
    </row>
    <row r="12" spans="1:3" x14ac:dyDescent="0.15">
      <c r="A12" s="30" t="s">
        <v>4448</v>
      </c>
      <c r="B12" s="30">
        <v>6.52</v>
      </c>
      <c r="C12" s="30">
        <v>6.68</v>
      </c>
    </row>
    <row r="13" spans="1:3" x14ac:dyDescent="0.15">
      <c r="A13" s="30" t="s">
        <v>750</v>
      </c>
      <c r="B13" s="30">
        <v>14.93</v>
      </c>
      <c r="C13" s="30">
        <v>14.54</v>
      </c>
    </row>
    <row r="14" spans="1:3" x14ac:dyDescent="0.15">
      <c r="A14" s="30" t="s">
        <v>644</v>
      </c>
      <c r="B14" s="30">
        <v>4.99</v>
      </c>
      <c r="C14" s="30">
        <v>5.04</v>
      </c>
    </row>
    <row r="15" spans="1:3" x14ac:dyDescent="0.15">
      <c r="A15" s="30" t="s">
        <v>960</v>
      </c>
      <c r="B15" s="30">
        <v>9.4600000000000009</v>
      </c>
      <c r="C15" s="30">
        <v>9.56</v>
      </c>
    </row>
    <row r="16" spans="1:3" x14ac:dyDescent="0.15">
      <c r="A16" s="30" t="s">
        <v>226</v>
      </c>
      <c r="B16" s="30">
        <v>31.48</v>
      </c>
      <c r="C16" s="30">
        <v>30.92</v>
      </c>
    </row>
    <row r="17" spans="1:3" x14ac:dyDescent="0.15">
      <c r="A17" s="30" t="s">
        <v>4449</v>
      </c>
      <c r="B17" s="30">
        <v>9.0500000000000007</v>
      </c>
      <c r="C17" s="30">
        <v>8.93</v>
      </c>
    </row>
    <row r="18" spans="1:3" x14ac:dyDescent="0.15">
      <c r="A18" s="30" t="s">
        <v>766</v>
      </c>
      <c r="B18" s="30">
        <v>8.31</v>
      </c>
      <c r="C18" s="30">
        <v>8.43</v>
      </c>
    </row>
    <row r="19" spans="1:3" x14ac:dyDescent="0.15">
      <c r="A19" s="30" t="s">
        <v>4450</v>
      </c>
      <c r="B19" s="30">
        <v>23.03</v>
      </c>
      <c r="C19" s="30">
        <v>23.03</v>
      </c>
    </row>
    <row r="20" spans="1:3" x14ac:dyDescent="0.15">
      <c r="A20" s="30" t="s">
        <v>2750</v>
      </c>
      <c r="B20" s="30">
        <v>8.32</v>
      </c>
      <c r="C20" s="30">
        <v>8.4499999999999993</v>
      </c>
    </row>
    <row r="21" spans="1:3" x14ac:dyDescent="0.15">
      <c r="A21" s="30" t="s">
        <v>952</v>
      </c>
      <c r="B21" s="30">
        <v>8.99</v>
      </c>
      <c r="C21" s="30">
        <v>9.02</v>
      </c>
    </row>
    <row r="22" spans="1:3" x14ac:dyDescent="0.15">
      <c r="A22" s="30" t="s">
        <v>3454</v>
      </c>
      <c r="B22" s="30">
        <v>3.95</v>
      </c>
      <c r="C22" s="30">
        <v>3.87</v>
      </c>
    </row>
    <row r="23" spans="1:3" x14ac:dyDescent="0.15">
      <c r="A23" s="30" t="s">
        <v>1032</v>
      </c>
      <c r="B23" s="30">
        <v>14.54</v>
      </c>
      <c r="C23" s="30">
        <v>14.6</v>
      </c>
    </row>
    <row r="24" spans="1:3" x14ac:dyDescent="0.15">
      <c r="A24" s="30" t="s">
        <v>650</v>
      </c>
      <c r="B24" s="30">
        <v>24.11</v>
      </c>
      <c r="C24" s="30">
        <v>24.09</v>
      </c>
    </row>
    <row r="25" spans="1:3" x14ac:dyDescent="0.15">
      <c r="A25" s="30" t="s">
        <v>3180</v>
      </c>
      <c r="B25" s="30">
        <v>10.47</v>
      </c>
      <c r="C25" s="30">
        <v>10.43</v>
      </c>
    </row>
    <row r="26" spans="1:3" x14ac:dyDescent="0.15">
      <c r="A26" s="30" t="s">
        <v>3490</v>
      </c>
      <c r="B26" s="30">
        <v>13.52</v>
      </c>
      <c r="C26" s="30">
        <v>13.62</v>
      </c>
    </row>
    <row r="27" spans="1:3" x14ac:dyDescent="0.15">
      <c r="A27" s="30" t="s">
        <v>550</v>
      </c>
      <c r="B27" s="30">
        <v>6.99</v>
      </c>
      <c r="C27" s="30">
        <v>7</v>
      </c>
    </row>
    <row r="28" spans="1:3" x14ac:dyDescent="0.15">
      <c r="A28" s="30" t="s">
        <v>277</v>
      </c>
      <c r="B28" s="30">
        <v>10.32</v>
      </c>
      <c r="C28" s="30">
        <v>10.32</v>
      </c>
    </row>
    <row r="29" spans="1:3" x14ac:dyDescent="0.15">
      <c r="A29" s="30" t="s">
        <v>552</v>
      </c>
      <c r="B29" s="30">
        <v>6.8</v>
      </c>
      <c r="C29" s="30">
        <v>6.94</v>
      </c>
    </row>
    <row r="30" spans="1:3" x14ac:dyDescent="0.15">
      <c r="A30" s="30" t="s">
        <v>407</v>
      </c>
      <c r="B30" s="30">
        <v>7.5</v>
      </c>
      <c r="C30" s="30">
        <v>7.62</v>
      </c>
    </row>
    <row r="31" spans="1:3" x14ac:dyDescent="0.15">
      <c r="A31" s="30" t="s">
        <v>287</v>
      </c>
      <c r="B31" s="30">
        <v>28.09</v>
      </c>
      <c r="C31" s="30">
        <v>28.37</v>
      </c>
    </row>
    <row r="32" spans="1:3" x14ac:dyDescent="0.15">
      <c r="A32" s="30" t="s">
        <v>4451</v>
      </c>
      <c r="B32" s="30">
        <v>8.49</v>
      </c>
      <c r="C32" s="30">
        <v>8.67</v>
      </c>
    </row>
    <row r="33" spans="1:3" x14ac:dyDescent="0.15">
      <c r="A33" s="30" t="s">
        <v>4452</v>
      </c>
      <c r="B33" s="30">
        <v>17.73</v>
      </c>
      <c r="C33" s="30">
        <v>17.350000000000001</v>
      </c>
    </row>
    <row r="34" spans="1:3" x14ac:dyDescent="0.15">
      <c r="A34" s="30" t="s">
        <v>405</v>
      </c>
      <c r="B34" s="30">
        <v>35.56</v>
      </c>
      <c r="C34" s="30">
        <v>34.79</v>
      </c>
    </row>
    <row r="35" spans="1:3" x14ac:dyDescent="0.15">
      <c r="A35" s="30" t="s">
        <v>4453</v>
      </c>
      <c r="B35" s="30">
        <v>14.61</v>
      </c>
      <c r="C35" s="30">
        <v>14.27</v>
      </c>
    </row>
    <row r="36" spans="1:3" x14ac:dyDescent="0.15">
      <c r="A36" s="30" t="s">
        <v>4454</v>
      </c>
      <c r="B36" s="30">
        <v>8.9600000000000009</v>
      </c>
      <c r="C36" s="30">
        <v>8.9700000000000006</v>
      </c>
    </row>
    <row r="37" spans="1:3" x14ac:dyDescent="0.15">
      <c r="A37" s="30" t="s">
        <v>4455</v>
      </c>
      <c r="B37" s="30">
        <v>13.62</v>
      </c>
      <c r="C37" s="30">
        <v>13.36</v>
      </c>
    </row>
    <row r="38" spans="1:3" x14ac:dyDescent="0.15">
      <c r="A38" s="30" t="s">
        <v>4456</v>
      </c>
      <c r="B38" s="30">
        <v>17.71</v>
      </c>
      <c r="C38" s="30">
        <v>17.52</v>
      </c>
    </row>
    <row r="39" spans="1:3" x14ac:dyDescent="0.15">
      <c r="A39" s="30" t="s">
        <v>4457</v>
      </c>
      <c r="B39" s="30">
        <v>8.89</v>
      </c>
      <c r="C39" s="30">
        <v>8.7799999999999994</v>
      </c>
    </row>
    <row r="40" spans="1:3" x14ac:dyDescent="0.15">
      <c r="A40" s="30" t="s">
        <v>4458</v>
      </c>
      <c r="B40" s="30">
        <v>14.97</v>
      </c>
      <c r="C40" s="30">
        <v>13.9</v>
      </c>
    </row>
    <row r="41" spans="1:3" x14ac:dyDescent="0.15">
      <c r="A41" s="30" t="s">
        <v>3146</v>
      </c>
      <c r="B41" s="30">
        <v>13.08</v>
      </c>
      <c r="C41" s="30">
        <v>12.84</v>
      </c>
    </row>
    <row r="42" spans="1:3" x14ac:dyDescent="0.15">
      <c r="A42" s="30" t="s">
        <v>3492</v>
      </c>
      <c r="B42" s="30">
        <v>21.31</v>
      </c>
      <c r="C42" s="30">
        <v>21.14</v>
      </c>
    </row>
    <row r="43" spans="1:3" x14ac:dyDescent="0.15">
      <c r="A43" s="30" t="s">
        <v>3494</v>
      </c>
      <c r="B43" s="30">
        <v>12.49</v>
      </c>
      <c r="C43" s="30">
        <v>12.33</v>
      </c>
    </row>
    <row r="44" spans="1:3" x14ac:dyDescent="0.15">
      <c r="A44" s="30" t="s">
        <v>4459</v>
      </c>
      <c r="B44" s="30">
        <v>10.75</v>
      </c>
      <c r="C44" s="30">
        <v>10.92</v>
      </c>
    </row>
    <row r="45" spans="1:3" x14ac:dyDescent="0.15">
      <c r="A45" s="30" t="s">
        <v>162</v>
      </c>
      <c r="B45" s="30">
        <v>44.5</v>
      </c>
      <c r="C45" s="30">
        <v>44.2</v>
      </c>
    </row>
    <row r="46" spans="1:3" x14ac:dyDescent="0.15">
      <c r="A46" s="30" t="s">
        <v>3318</v>
      </c>
      <c r="B46" s="30">
        <v>5.35</v>
      </c>
      <c r="C46" s="30">
        <v>5.38</v>
      </c>
    </row>
    <row r="47" spans="1:3" x14ac:dyDescent="0.15">
      <c r="A47" s="30" t="s">
        <v>522</v>
      </c>
      <c r="B47" s="30">
        <v>18.18</v>
      </c>
      <c r="C47" s="30">
        <v>18.11</v>
      </c>
    </row>
    <row r="48" spans="1:3" x14ac:dyDescent="0.15">
      <c r="A48" s="30" t="s">
        <v>896</v>
      </c>
      <c r="B48" s="30">
        <v>36.229999999999997</v>
      </c>
      <c r="C48" s="30">
        <v>35.99</v>
      </c>
    </row>
    <row r="49" spans="1:3" x14ac:dyDescent="0.15">
      <c r="A49" s="30" t="s">
        <v>4460</v>
      </c>
      <c r="B49" s="30">
        <v>17.73</v>
      </c>
      <c r="C49" s="30">
        <v>17.760000000000002</v>
      </c>
    </row>
    <row r="50" spans="1:3" x14ac:dyDescent="0.15">
      <c r="A50" s="30" t="s">
        <v>3244</v>
      </c>
      <c r="B50" s="30">
        <v>42.05</v>
      </c>
      <c r="C50" s="30">
        <v>39.549999999999997</v>
      </c>
    </row>
    <row r="51" spans="1:3" x14ac:dyDescent="0.15">
      <c r="A51" s="30" t="s">
        <v>852</v>
      </c>
      <c r="B51" s="30">
        <v>10.73</v>
      </c>
      <c r="C51" s="30">
        <v>10.58</v>
      </c>
    </row>
    <row r="52" spans="1:3" x14ac:dyDescent="0.15">
      <c r="A52" s="30" t="s">
        <v>232</v>
      </c>
      <c r="B52" s="30">
        <v>39.700000000000003</v>
      </c>
      <c r="C52" s="30">
        <v>40.299999999999997</v>
      </c>
    </row>
    <row r="53" spans="1:3" x14ac:dyDescent="0.15">
      <c r="A53" s="30" t="s">
        <v>3380</v>
      </c>
      <c r="B53" s="30">
        <v>7.42</v>
      </c>
      <c r="C53" s="30">
        <v>7.44</v>
      </c>
    </row>
    <row r="54" spans="1:3" x14ac:dyDescent="0.15">
      <c r="A54" s="30" t="s">
        <v>3150</v>
      </c>
      <c r="B54" s="30">
        <v>8.64</v>
      </c>
      <c r="C54" s="30">
        <v>8.66</v>
      </c>
    </row>
    <row r="55" spans="1:3" x14ac:dyDescent="0.15">
      <c r="A55" s="30" t="s">
        <v>271</v>
      </c>
      <c r="B55" s="30">
        <v>25.77</v>
      </c>
      <c r="C55" s="30">
        <v>25.3</v>
      </c>
    </row>
    <row r="56" spans="1:3" x14ac:dyDescent="0.15">
      <c r="A56" s="30" t="s">
        <v>4461</v>
      </c>
      <c r="B56" s="30">
        <v>21.91</v>
      </c>
      <c r="C56" s="30">
        <v>21.78</v>
      </c>
    </row>
    <row r="57" spans="1:3" x14ac:dyDescent="0.15">
      <c r="A57" s="30" t="s">
        <v>441</v>
      </c>
      <c r="B57" s="30">
        <v>3.08</v>
      </c>
      <c r="C57" s="30">
        <v>3.11</v>
      </c>
    </row>
    <row r="58" spans="1:3" x14ac:dyDescent="0.15">
      <c r="A58" s="30" t="s">
        <v>3496</v>
      </c>
      <c r="B58" s="30">
        <v>13.91</v>
      </c>
      <c r="C58" s="30">
        <v>13.91</v>
      </c>
    </row>
    <row r="59" spans="1:3" x14ac:dyDescent="0.15">
      <c r="A59" s="30" t="s">
        <v>4462</v>
      </c>
      <c r="B59" s="30">
        <v>20.239999999999998</v>
      </c>
      <c r="C59" s="30">
        <v>20.03</v>
      </c>
    </row>
    <row r="60" spans="1:3" x14ac:dyDescent="0.15">
      <c r="A60" s="30" t="s">
        <v>198</v>
      </c>
      <c r="B60" s="30">
        <v>28.49</v>
      </c>
      <c r="C60" s="30">
        <v>28.37</v>
      </c>
    </row>
    <row r="61" spans="1:3" x14ac:dyDescent="0.15">
      <c r="A61" s="30" t="s">
        <v>3004</v>
      </c>
      <c r="B61" s="30">
        <v>17.84</v>
      </c>
      <c r="C61" s="30">
        <v>17.8</v>
      </c>
    </row>
    <row r="62" spans="1:3" x14ac:dyDescent="0.15">
      <c r="A62" s="30" t="s">
        <v>285</v>
      </c>
      <c r="B62" s="30">
        <v>8.7799999999999994</v>
      </c>
      <c r="C62" s="30">
        <v>8.9</v>
      </c>
    </row>
    <row r="63" spans="1:3" x14ac:dyDescent="0.15">
      <c r="A63" s="30" t="s">
        <v>4463</v>
      </c>
      <c r="B63" s="30">
        <v>20.67</v>
      </c>
      <c r="C63" s="30">
        <v>20.75</v>
      </c>
    </row>
    <row r="64" spans="1:3" x14ac:dyDescent="0.15">
      <c r="A64" s="30" t="s">
        <v>4464</v>
      </c>
      <c r="B64" s="30">
        <v>20.37</v>
      </c>
      <c r="C64" s="30">
        <v>20.29</v>
      </c>
    </row>
    <row r="65" spans="1:3" x14ac:dyDescent="0.15">
      <c r="A65" s="30" t="s">
        <v>4465</v>
      </c>
      <c r="B65" s="30">
        <v>79.67</v>
      </c>
      <c r="C65" s="30">
        <v>79.81</v>
      </c>
    </row>
    <row r="66" spans="1:3" x14ac:dyDescent="0.15">
      <c r="A66" s="30" t="s">
        <v>3170</v>
      </c>
      <c r="B66" s="30">
        <v>15.91</v>
      </c>
      <c r="C66" s="30">
        <v>15.83</v>
      </c>
    </row>
    <row r="67" spans="1:3" x14ac:dyDescent="0.15">
      <c r="A67" s="30" t="s">
        <v>471</v>
      </c>
      <c r="B67" s="30">
        <v>24.12</v>
      </c>
      <c r="C67" s="30">
        <v>23.51</v>
      </c>
    </row>
    <row r="68" spans="1:3" x14ac:dyDescent="0.15">
      <c r="A68" s="30" t="s">
        <v>548</v>
      </c>
      <c r="B68" s="30">
        <v>13.83</v>
      </c>
      <c r="C68" s="30">
        <v>13.79</v>
      </c>
    </row>
    <row r="69" spans="1:3" x14ac:dyDescent="0.15">
      <c r="A69" s="30" t="s">
        <v>1042</v>
      </c>
      <c r="B69" s="30">
        <v>6.23</v>
      </c>
      <c r="C69" s="30">
        <v>6.16</v>
      </c>
    </row>
    <row r="70" spans="1:3" x14ac:dyDescent="0.15">
      <c r="A70" s="30" t="s">
        <v>646</v>
      </c>
      <c r="B70" s="30">
        <v>16.899999999999999</v>
      </c>
      <c r="C70" s="30">
        <v>17.02</v>
      </c>
    </row>
    <row r="71" spans="1:3" x14ac:dyDescent="0.15">
      <c r="A71" s="30" t="s">
        <v>2942</v>
      </c>
      <c r="B71" s="30">
        <v>34.049999999999997</v>
      </c>
      <c r="C71" s="30">
        <v>33.33</v>
      </c>
    </row>
    <row r="72" spans="1:3" x14ac:dyDescent="0.15">
      <c r="A72" s="30" t="s">
        <v>2970</v>
      </c>
      <c r="B72" s="30">
        <v>28.08</v>
      </c>
      <c r="C72" s="30">
        <v>27.55</v>
      </c>
    </row>
    <row r="73" spans="1:3" x14ac:dyDescent="0.15">
      <c r="A73" s="30" t="s">
        <v>467</v>
      </c>
      <c r="B73" s="30">
        <v>7.06</v>
      </c>
      <c r="C73" s="30">
        <v>7.15</v>
      </c>
    </row>
    <row r="74" spans="1:3" x14ac:dyDescent="0.15">
      <c r="A74" s="30" t="s">
        <v>716</v>
      </c>
      <c r="B74" s="30">
        <v>12.8</v>
      </c>
      <c r="C74" s="30">
        <v>12.9</v>
      </c>
    </row>
    <row r="75" spans="1:3" x14ac:dyDescent="0.15">
      <c r="A75" s="30" t="s">
        <v>4466</v>
      </c>
      <c r="B75" s="30">
        <v>24.82</v>
      </c>
      <c r="C75" s="30">
        <v>24</v>
      </c>
    </row>
    <row r="76" spans="1:3" x14ac:dyDescent="0.15">
      <c r="A76" s="30" t="s">
        <v>1012</v>
      </c>
      <c r="B76" s="30">
        <v>8.94</v>
      </c>
      <c r="C76" s="30">
        <v>9.14</v>
      </c>
    </row>
    <row r="77" spans="1:3" x14ac:dyDescent="0.15">
      <c r="A77" s="30" t="s">
        <v>4467</v>
      </c>
      <c r="B77" s="30">
        <v>22.72</v>
      </c>
      <c r="C77" s="30">
        <v>21.04</v>
      </c>
    </row>
    <row r="78" spans="1:3" x14ac:dyDescent="0.15">
      <c r="A78" s="30" t="s">
        <v>3498</v>
      </c>
      <c r="B78" s="30">
        <v>8.8699999999999992</v>
      </c>
      <c r="C78" s="30">
        <v>8.93</v>
      </c>
    </row>
    <row r="79" spans="1:3" x14ac:dyDescent="0.15">
      <c r="A79" s="30" t="s">
        <v>584</v>
      </c>
      <c r="B79" s="30">
        <v>7.02</v>
      </c>
      <c r="C79" s="30">
        <v>7.07</v>
      </c>
    </row>
    <row r="80" spans="1:3" x14ac:dyDescent="0.15">
      <c r="A80" s="30" t="s">
        <v>4468</v>
      </c>
      <c r="B80" s="30">
        <v>31.98</v>
      </c>
      <c r="C80" s="30">
        <v>31.25</v>
      </c>
    </row>
    <row r="81" spans="1:3" x14ac:dyDescent="0.15">
      <c r="A81" s="30" t="s">
        <v>4469</v>
      </c>
      <c r="B81" s="30">
        <v>15.24</v>
      </c>
      <c r="C81" s="30">
        <v>15.4</v>
      </c>
    </row>
    <row r="82" spans="1:3" x14ac:dyDescent="0.15">
      <c r="A82" s="30" t="s">
        <v>3054</v>
      </c>
      <c r="B82" s="30">
        <v>20.82</v>
      </c>
      <c r="C82" s="30">
        <v>19.850000000000001</v>
      </c>
    </row>
    <row r="83" spans="1:3" x14ac:dyDescent="0.15">
      <c r="A83" s="30" t="s">
        <v>1443</v>
      </c>
      <c r="B83" s="30">
        <v>3432.6731</v>
      </c>
      <c r="C83" s="30">
        <v>3427.7946000000002</v>
      </c>
    </row>
    <row r="84" spans="1:3" x14ac:dyDescent="0.15">
      <c r="A84" s="30" t="s">
        <v>1004</v>
      </c>
      <c r="B84" s="30">
        <v>56.96</v>
      </c>
      <c r="C84" s="30">
        <v>56.3</v>
      </c>
    </row>
    <row r="85" spans="1:3" x14ac:dyDescent="0.15">
      <c r="A85" s="30" t="s">
        <v>2922</v>
      </c>
      <c r="B85" s="30">
        <v>25.45</v>
      </c>
      <c r="C85" s="30">
        <v>24.1</v>
      </c>
    </row>
    <row r="86" spans="1:3" x14ac:dyDescent="0.15">
      <c r="A86" s="30" t="s">
        <v>800</v>
      </c>
      <c r="B86" s="30">
        <v>25.79</v>
      </c>
      <c r="C86" s="30">
        <v>25.55</v>
      </c>
    </row>
    <row r="87" spans="1:3" x14ac:dyDescent="0.15">
      <c r="A87" s="30" t="s">
        <v>4470</v>
      </c>
      <c r="B87" s="30">
        <v>40.17</v>
      </c>
      <c r="C87" s="30">
        <v>39.119999999999997</v>
      </c>
    </row>
    <row r="88" spans="1:3" x14ac:dyDescent="0.15">
      <c r="A88" s="30" t="s">
        <v>984</v>
      </c>
      <c r="B88" s="30">
        <v>16.45</v>
      </c>
      <c r="C88" s="30">
        <v>16.43</v>
      </c>
    </row>
    <row r="89" spans="1:3" x14ac:dyDescent="0.15">
      <c r="A89" s="30" t="s">
        <v>4471</v>
      </c>
      <c r="B89" s="30">
        <v>6.11</v>
      </c>
      <c r="C89" s="30">
        <v>5.94</v>
      </c>
    </row>
    <row r="90" spans="1:3" x14ac:dyDescent="0.15">
      <c r="A90" s="30" t="s">
        <v>988</v>
      </c>
      <c r="B90" s="30">
        <v>4.17</v>
      </c>
      <c r="C90" s="30">
        <v>4.24</v>
      </c>
    </row>
    <row r="91" spans="1:3" x14ac:dyDescent="0.15">
      <c r="A91" s="30" t="s">
        <v>293</v>
      </c>
      <c r="B91" s="30">
        <v>21.1</v>
      </c>
      <c r="C91" s="30">
        <v>20.91</v>
      </c>
    </row>
    <row r="92" spans="1:3" x14ac:dyDescent="0.15">
      <c r="A92" s="30" t="s">
        <v>4472</v>
      </c>
      <c r="B92" s="30">
        <v>15.14</v>
      </c>
      <c r="C92" s="30">
        <v>15.57</v>
      </c>
    </row>
    <row r="93" spans="1:3" x14ac:dyDescent="0.15">
      <c r="A93" s="30" t="s">
        <v>3288</v>
      </c>
      <c r="B93" s="30">
        <v>12.69</v>
      </c>
      <c r="C93" s="30">
        <v>12.99</v>
      </c>
    </row>
    <row r="94" spans="1:3" x14ac:dyDescent="0.15">
      <c r="A94" s="30" t="s">
        <v>194</v>
      </c>
      <c r="B94" s="30">
        <v>2.2400000000000002</v>
      </c>
      <c r="C94" s="30">
        <v>2.23</v>
      </c>
    </row>
    <row r="95" spans="1:3" x14ac:dyDescent="0.15">
      <c r="A95" s="30" t="s">
        <v>836</v>
      </c>
      <c r="B95" s="30">
        <v>11.46</v>
      </c>
      <c r="C95" s="30">
        <v>11.46</v>
      </c>
    </row>
    <row r="96" spans="1:3" x14ac:dyDescent="0.15">
      <c r="A96" s="30" t="s">
        <v>976</v>
      </c>
      <c r="B96" s="30">
        <v>20.89</v>
      </c>
      <c r="C96" s="30">
        <v>20.98</v>
      </c>
    </row>
    <row r="97" spans="1:3" x14ac:dyDescent="0.15">
      <c r="A97" s="30" t="s">
        <v>848</v>
      </c>
      <c r="B97" s="30">
        <v>26.5</v>
      </c>
      <c r="C97" s="30">
        <v>26.75</v>
      </c>
    </row>
    <row r="98" spans="1:3" x14ac:dyDescent="0.15">
      <c r="A98" s="30" t="s">
        <v>1040</v>
      </c>
      <c r="B98" s="30">
        <v>8.35</v>
      </c>
      <c r="C98" s="30">
        <v>8.32</v>
      </c>
    </row>
    <row r="99" spans="1:3" x14ac:dyDescent="0.15">
      <c r="A99" s="30" t="s">
        <v>234</v>
      </c>
      <c r="B99" s="30">
        <v>8.7100000000000009</v>
      </c>
      <c r="C99" s="30">
        <v>8.7100000000000009</v>
      </c>
    </row>
    <row r="100" spans="1:3" x14ac:dyDescent="0.15">
      <c r="A100" s="30" t="s">
        <v>1449</v>
      </c>
      <c r="B100" s="30">
        <v>2862.3431999999998</v>
      </c>
      <c r="C100" s="30">
        <v>2832.9612000000002</v>
      </c>
    </row>
    <row r="101" spans="1:3" x14ac:dyDescent="0.15">
      <c r="A101" s="30" t="s">
        <v>2814</v>
      </c>
      <c r="B101" s="30">
        <v>4.38</v>
      </c>
      <c r="C101" s="30">
        <v>4.3499999999999996</v>
      </c>
    </row>
    <row r="102" spans="1:3" x14ac:dyDescent="0.15">
      <c r="A102" s="30" t="s">
        <v>3500</v>
      </c>
      <c r="B102" s="30">
        <v>16.989999999999998</v>
      </c>
      <c r="C102" s="30">
        <v>16.989999999999998</v>
      </c>
    </row>
    <row r="103" spans="1:3" x14ac:dyDescent="0.15">
      <c r="A103" s="30" t="s">
        <v>1463</v>
      </c>
      <c r="B103" s="30">
        <v>3.8250000000000002</v>
      </c>
      <c r="C103" s="30">
        <v>3.085</v>
      </c>
    </row>
    <row r="104" spans="1:3" x14ac:dyDescent="0.15">
      <c r="A104" s="30" t="s">
        <v>2844</v>
      </c>
      <c r="B104" s="30">
        <v>60.3</v>
      </c>
      <c r="C104" s="30">
        <v>59.06</v>
      </c>
    </row>
    <row r="105" spans="1:3" x14ac:dyDescent="0.15">
      <c r="A105" s="30" t="s">
        <v>692</v>
      </c>
      <c r="B105" s="30">
        <v>14.19</v>
      </c>
      <c r="C105" s="30">
        <v>13.96</v>
      </c>
    </row>
    <row r="106" spans="1:3" x14ac:dyDescent="0.15">
      <c r="A106" s="30" t="s">
        <v>914</v>
      </c>
      <c r="B106" s="30">
        <v>4.93</v>
      </c>
      <c r="C106" s="30">
        <v>4.93</v>
      </c>
    </row>
    <row r="107" spans="1:3" x14ac:dyDescent="0.15">
      <c r="A107" s="30" t="s">
        <v>106</v>
      </c>
      <c r="B107" s="30">
        <v>5.74</v>
      </c>
      <c r="C107" s="30">
        <v>5.86</v>
      </c>
    </row>
    <row r="108" spans="1:3" x14ac:dyDescent="0.15">
      <c r="A108" s="30" t="s">
        <v>1006</v>
      </c>
      <c r="B108" s="30">
        <v>28.05</v>
      </c>
      <c r="C108" s="30">
        <v>27.59</v>
      </c>
    </row>
    <row r="109" spans="1:3" x14ac:dyDescent="0.15">
      <c r="A109" s="30" t="s">
        <v>4473</v>
      </c>
      <c r="B109" s="30">
        <v>81</v>
      </c>
      <c r="C109" s="30">
        <v>81</v>
      </c>
    </row>
    <row r="110" spans="1:3" x14ac:dyDescent="0.15">
      <c r="A110" s="30" t="s">
        <v>108</v>
      </c>
      <c r="B110" s="30">
        <v>14.56</v>
      </c>
      <c r="C110" s="30">
        <v>14.71</v>
      </c>
    </row>
    <row r="111" spans="1:3" x14ac:dyDescent="0.15">
      <c r="A111" s="30" t="s">
        <v>986</v>
      </c>
      <c r="B111" s="30">
        <v>6.12</v>
      </c>
      <c r="C111" s="30">
        <v>6.18</v>
      </c>
    </row>
    <row r="112" spans="1:3" x14ac:dyDescent="0.15">
      <c r="A112" s="30" t="s">
        <v>4474</v>
      </c>
      <c r="B112" s="30">
        <v>10.9</v>
      </c>
      <c r="C112" s="30">
        <v>10.89</v>
      </c>
    </row>
    <row r="113" spans="1:3" x14ac:dyDescent="0.15">
      <c r="A113" s="30" t="s">
        <v>4475</v>
      </c>
      <c r="B113" s="30">
        <v>42.63</v>
      </c>
      <c r="C113" s="30">
        <v>41.23</v>
      </c>
    </row>
    <row r="114" spans="1:3" x14ac:dyDescent="0.15">
      <c r="A114" s="30" t="s">
        <v>4476</v>
      </c>
      <c r="B114" s="30">
        <v>92.33</v>
      </c>
      <c r="C114" s="30">
        <v>87.75</v>
      </c>
    </row>
    <row r="115" spans="1:3" x14ac:dyDescent="0.15">
      <c r="A115" s="30" t="s">
        <v>236</v>
      </c>
      <c r="B115" s="30">
        <v>11.63</v>
      </c>
      <c r="C115" s="30">
        <v>11.63</v>
      </c>
    </row>
    <row r="116" spans="1:3" x14ac:dyDescent="0.15">
      <c r="A116" s="30" t="s">
        <v>4477</v>
      </c>
      <c r="B116" s="30">
        <v>12.36</v>
      </c>
      <c r="C116" s="30">
        <v>12.52</v>
      </c>
    </row>
    <row r="117" spans="1:3" x14ac:dyDescent="0.15">
      <c r="A117" s="30" t="s">
        <v>3156</v>
      </c>
      <c r="B117" s="30">
        <v>12.93</v>
      </c>
      <c r="C117" s="30">
        <v>12.66</v>
      </c>
    </row>
    <row r="118" spans="1:3" x14ac:dyDescent="0.15">
      <c r="A118" s="30" t="s">
        <v>401</v>
      </c>
      <c r="B118" s="30">
        <v>13.6</v>
      </c>
      <c r="C118" s="30">
        <v>13.31</v>
      </c>
    </row>
    <row r="119" spans="1:3" x14ac:dyDescent="0.15">
      <c r="A119" s="30" t="s">
        <v>3188</v>
      </c>
      <c r="B119" s="30">
        <v>6.17</v>
      </c>
      <c r="C119" s="30">
        <v>6.23</v>
      </c>
    </row>
    <row r="120" spans="1:3" x14ac:dyDescent="0.15">
      <c r="A120" s="30" t="s">
        <v>3284</v>
      </c>
      <c r="B120" s="30">
        <v>13.79</v>
      </c>
      <c r="C120" s="30">
        <v>13.44</v>
      </c>
    </row>
    <row r="121" spans="1:3" x14ac:dyDescent="0.15">
      <c r="A121" s="30" t="s">
        <v>4478</v>
      </c>
      <c r="B121" s="30">
        <v>8.0500000000000007</v>
      </c>
      <c r="C121" s="30">
        <v>8.16</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22.43</v>
      </c>
      <c r="C124" s="30">
        <v>22.56</v>
      </c>
    </row>
    <row r="125" spans="1:3" x14ac:dyDescent="0.15">
      <c r="A125" s="30" t="s">
        <v>4479</v>
      </c>
      <c r="B125" s="30">
        <v>13.7</v>
      </c>
      <c r="C125" s="30">
        <v>13.7</v>
      </c>
    </row>
    <row r="126" spans="1:3" x14ac:dyDescent="0.15">
      <c r="A126" s="30" t="s">
        <v>840</v>
      </c>
      <c r="B126" s="30">
        <v>4.57</v>
      </c>
      <c r="C126" s="30">
        <v>4.5599999999999996</v>
      </c>
    </row>
    <row r="127" spans="1:3" x14ac:dyDescent="0.15">
      <c r="A127" s="30" t="s">
        <v>860</v>
      </c>
      <c r="B127" s="30">
        <v>10.91</v>
      </c>
      <c r="C127" s="30">
        <v>11.25</v>
      </c>
    </row>
    <row r="128" spans="1:3" x14ac:dyDescent="0.15">
      <c r="A128" s="30" t="s">
        <v>4480</v>
      </c>
      <c r="B128" s="30">
        <v>33.61</v>
      </c>
      <c r="C128" s="30">
        <v>34</v>
      </c>
    </row>
    <row r="129" spans="1:3" x14ac:dyDescent="0.15">
      <c r="A129" s="30" t="s">
        <v>4481</v>
      </c>
      <c r="B129" s="30">
        <v>12.51</v>
      </c>
      <c r="C129" s="30">
        <v>12.38</v>
      </c>
    </row>
    <row r="130" spans="1:3" x14ac:dyDescent="0.15">
      <c r="A130" s="30" t="s">
        <v>2900</v>
      </c>
      <c r="B130" s="30">
        <v>9.33</v>
      </c>
      <c r="C130" s="30">
        <v>9.51</v>
      </c>
    </row>
    <row r="131" spans="1:3" x14ac:dyDescent="0.15">
      <c r="A131" s="30" t="s">
        <v>4482</v>
      </c>
      <c r="B131" s="30">
        <v>14.21</v>
      </c>
      <c r="C131" s="30">
        <v>14.59</v>
      </c>
    </row>
    <row r="132" spans="1:3" x14ac:dyDescent="0.15">
      <c r="A132" s="30" t="s">
        <v>972</v>
      </c>
      <c r="B132" s="30">
        <v>12.42</v>
      </c>
      <c r="C132" s="30">
        <v>11.29</v>
      </c>
    </row>
    <row r="133" spans="1:3" x14ac:dyDescent="0.15">
      <c r="A133" s="30" t="s">
        <v>88</v>
      </c>
      <c r="B133" s="30">
        <v>68.209999999999994</v>
      </c>
      <c r="C133" s="30">
        <v>67.540000000000006</v>
      </c>
    </row>
    <row r="134" spans="1:3" x14ac:dyDescent="0.15">
      <c r="A134" s="30" t="s">
        <v>90</v>
      </c>
      <c r="B134" s="30">
        <v>13.59</v>
      </c>
      <c r="C134" s="30">
        <v>13.72</v>
      </c>
    </row>
    <row r="135" spans="1:3" x14ac:dyDescent="0.15">
      <c r="A135" s="30" t="s">
        <v>4483</v>
      </c>
      <c r="B135" s="30">
        <v>6</v>
      </c>
      <c r="C135" s="30">
        <v>5.98</v>
      </c>
    </row>
    <row r="136" spans="1:3" x14ac:dyDescent="0.15">
      <c r="A136" s="30" t="s">
        <v>790</v>
      </c>
      <c r="B136" s="30">
        <v>10.37</v>
      </c>
      <c r="C136" s="30">
        <v>10.29</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15.03</v>
      </c>
      <c r="C139" s="30">
        <v>15.11</v>
      </c>
    </row>
    <row r="140" spans="1:3" x14ac:dyDescent="0.15">
      <c r="A140" s="30" t="s">
        <v>4485</v>
      </c>
      <c r="B140" s="30">
        <v>62</v>
      </c>
      <c r="C140" s="30">
        <v>63.15</v>
      </c>
    </row>
    <row r="141" spans="1:3" x14ac:dyDescent="0.15">
      <c r="A141" s="30" t="s">
        <v>4486</v>
      </c>
      <c r="B141" s="30">
        <v>14.95</v>
      </c>
      <c r="C141" s="30">
        <v>14.72</v>
      </c>
    </row>
    <row r="142" spans="1:3" x14ac:dyDescent="0.15">
      <c r="A142" s="30" t="s">
        <v>3154</v>
      </c>
      <c r="B142" s="30">
        <v>10.67</v>
      </c>
      <c r="C142" s="30">
        <v>10.91</v>
      </c>
    </row>
    <row r="143" spans="1:3" x14ac:dyDescent="0.15">
      <c r="A143" s="30" t="s">
        <v>4487</v>
      </c>
      <c r="B143" s="30">
        <v>15.45</v>
      </c>
      <c r="C143" s="30">
        <v>15.52</v>
      </c>
    </row>
    <row r="144" spans="1:3" x14ac:dyDescent="0.15">
      <c r="A144" s="30" t="s">
        <v>534</v>
      </c>
      <c r="B144" s="30">
        <v>74.599999999999994</v>
      </c>
      <c r="C144" s="30">
        <v>71.150000000000006</v>
      </c>
    </row>
    <row r="145" spans="1:3" x14ac:dyDescent="0.15">
      <c r="A145" s="30" t="s">
        <v>566</v>
      </c>
      <c r="B145" s="30">
        <v>4.3099999999999996</v>
      </c>
      <c r="C145" s="30">
        <v>4.38</v>
      </c>
    </row>
    <row r="146" spans="1:3" x14ac:dyDescent="0.15">
      <c r="A146" s="30" t="s">
        <v>616</v>
      </c>
      <c r="B146" s="30">
        <v>6.44</v>
      </c>
      <c r="C146" s="30">
        <v>6.51</v>
      </c>
    </row>
    <row r="147" spans="1:3" x14ac:dyDescent="0.15">
      <c r="A147" s="30" t="s">
        <v>180</v>
      </c>
      <c r="B147" s="30">
        <v>17.79</v>
      </c>
      <c r="C147" s="30">
        <v>17.64</v>
      </c>
    </row>
    <row r="148" spans="1:3" x14ac:dyDescent="0.15">
      <c r="A148" s="30" t="s">
        <v>140</v>
      </c>
      <c r="B148" s="30">
        <v>12.27</v>
      </c>
      <c r="C148" s="30">
        <v>12.1</v>
      </c>
    </row>
    <row r="149" spans="1:3" x14ac:dyDescent="0.15">
      <c r="A149" s="30" t="s">
        <v>872</v>
      </c>
      <c r="B149" s="30">
        <v>26.66</v>
      </c>
      <c r="C149" s="30">
        <v>26.66</v>
      </c>
    </row>
    <row r="150" spans="1:3" x14ac:dyDescent="0.15">
      <c r="A150" s="30" t="s">
        <v>3320</v>
      </c>
      <c r="B150" s="30">
        <v>28.77</v>
      </c>
      <c r="C150" s="30">
        <v>28.49</v>
      </c>
    </row>
    <row r="151" spans="1:3" x14ac:dyDescent="0.15">
      <c r="A151" s="30" t="s">
        <v>606</v>
      </c>
      <c r="B151" s="30">
        <v>19.2</v>
      </c>
      <c r="C151" s="30">
        <v>18.96</v>
      </c>
    </row>
    <row r="152" spans="1:3" x14ac:dyDescent="0.15">
      <c r="A152" s="30" t="s">
        <v>4488</v>
      </c>
      <c r="B152" s="30">
        <v>26.31</v>
      </c>
      <c r="C152" s="30">
        <v>26.38</v>
      </c>
    </row>
    <row r="153" spans="1:3" x14ac:dyDescent="0.15">
      <c r="A153" s="30" t="s">
        <v>1056</v>
      </c>
      <c r="B153" s="30">
        <v>15.12</v>
      </c>
      <c r="C153" s="30">
        <v>15.25</v>
      </c>
    </row>
    <row r="154" spans="1:3" x14ac:dyDescent="0.15">
      <c r="A154" s="30" t="s">
        <v>4489</v>
      </c>
      <c r="B154" s="30">
        <v>26.1</v>
      </c>
      <c r="C154" s="30">
        <v>26.68</v>
      </c>
    </row>
    <row r="155" spans="1:3" x14ac:dyDescent="0.15">
      <c r="A155" s="30" t="s">
        <v>2972</v>
      </c>
      <c r="B155" s="30">
        <v>6.46</v>
      </c>
      <c r="C155" s="30">
        <v>6.47</v>
      </c>
    </row>
    <row r="156" spans="1:3" x14ac:dyDescent="0.15">
      <c r="A156" s="30" t="s">
        <v>668</v>
      </c>
      <c r="B156" s="30">
        <v>24.39</v>
      </c>
      <c r="C156" s="30">
        <v>23.82</v>
      </c>
    </row>
    <row r="157" spans="1:3" x14ac:dyDescent="0.15">
      <c r="A157" s="30" t="s">
        <v>672</v>
      </c>
      <c r="B157" s="30">
        <v>10.14</v>
      </c>
      <c r="C157" s="30">
        <v>9.8000000000000007</v>
      </c>
    </row>
    <row r="158" spans="1:3" x14ac:dyDescent="0.15">
      <c r="A158" s="30" t="s">
        <v>445</v>
      </c>
      <c r="B158" s="30">
        <v>38.64</v>
      </c>
      <c r="C158" s="30">
        <v>37.94</v>
      </c>
    </row>
    <row r="159" spans="1:3" x14ac:dyDescent="0.15">
      <c r="A159" s="30" t="s">
        <v>682</v>
      </c>
      <c r="B159" s="30">
        <v>13.43</v>
      </c>
      <c r="C159" s="30">
        <v>13.59</v>
      </c>
    </row>
    <row r="160" spans="1:3" x14ac:dyDescent="0.15">
      <c r="A160" s="30" t="s">
        <v>349</v>
      </c>
      <c r="B160" s="30">
        <v>3.76</v>
      </c>
      <c r="C160" s="30">
        <v>3.79</v>
      </c>
    </row>
    <row r="161" spans="1:3" x14ac:dyDescent="0.15">
      <c r="A161" s="30" t="s">
        <v>1010</v>
      </c>
      <c r="B161" s="30">
        <v>8.7200000000000006</v>
      </c>
      <c r="C161" s="30">
        <v>8.86</v>
      </c>
    </row>
    <row r="162" spans="1:3" x14ac:dyDescent="0.15">
      <c r="A162" s="30" t="s">
        <v>1014</v>
      </c>
      <c r="B162" s="30">
        <v>41.79</v>
      </c>
      <c r="C162" s="30">
        <v>41.67</v>
      </c>
    </row>
    <row r="163" spans="1:3" x14ac:dyDescent="0.15">
      <c r="A163" s="30" t="s">
        <v>4490</v>
      </c>
      <c r="B163" s="30">
        <v>13.79</v>
      </c>
      <c r="C163" s="30">
        <v>13.79</v>
      </c>
    </row>
    <row r="164" spans="1:3" x14ac:dyDescent="0.15">
      <c r="A164" s="30" t="s">
        <v>110</v>
      </c>
      <c r="B164" s="30">
        <v>7.61</v>
      </c>
      <c r="C164" s="30">
        <v>7.61</v>
      </c>
    </row>
    <row r="165" spans="1:3" x14ac:dyDescent="0.15">
      <c r="A165" s="30" t="s">
        <v>3504</v>
      </c>
      <c r="B165" s="30">
        <v>7.3</v>
      </c>
      <c r="C165" s="30">
        <v>6.95</v>
      </c>
    </row>
    <row r="166" spans="1:3" x14ac:dyDescent="0.15">
      <c r="A166" s="30" t="s">
        <v>928</v>
      </c>
      <c r="B166" s="30">
        <v>7.54</v>
      </c>
      <c r="C166" s="30">
        <v>7.67</v>
      </c>
    </row>
    <row r="167" spans="1:3" x14ac:dyDescent="0.15">
      <c r="A167" s="30" t="s">
        <v>760</v>
      </c>
      <c r="B167" s="30">
        <v>23.86</v>
      </c>
      <c r="C167" s="30">
        <v>23.76</v>
      </c>
    </row>
    <row r="168" spans="1:3" x14ac:dyDescent="0.15">
      <c r="A168" s="30" t="s">
        <v>3392</v>
      </c>
      <c r="B168" s="30">
        <v>6.8</v>
      </c>
      <c r="C168" s="30">
        <v>6.74</v>
      </c>
    </row>
    <row r="169" spans="1:3" x14ac:dyDescent="0.15">
      <c r="A169" s="30" t="s">
        <v>718</v>
      </c>
      <c r="B169" s="30">
        <v>23.28</v>
      </c>
      <c r="C169" s="30">
        <v>23.34</v>
      </c>
    </row>
    <row r="170" spans="1:3" x14ac:dyDescent="0.15">
      <c r="A170" s="30" t="s">
        <v>291</v>
      </c>
      <c r="B170" s="30">
        <v>10.02</v>
      </c>
      <c r="C170" s="30">
        <v>10.119999999999999</v>
      </c>
    </row>
    <row r="171" spans="1:3" x14ac:dyDescent="0.15">
      <c r="A171" s="30" t="s">
        <v>1022</v>
      </c>
      <c r="B171" s="30">
        <v>8.19</v>
      </c>
      <c r="C171" s="30">
        <v>8.15</v>
      </c>
    </row>
    <row r="172" spans="1:3" x14ac:dyDescent="0.15">
      <c r="A172" s="30" t="s">
        <v>4491</v>
      </c>
      <c r="B172" s="30">
        <v>18.48</v>
      </c>
      <c r="C172" s="30">
        <v>19.28</v>
      </c>
    </row>
    <row r="173" spans="1:3" x14ac:dyDescent="0.15">
      <c r="A173" s="30" t="s">
        <v>3208</v>
      </c>
      <c r="B173" s="30">
        <v>3.06</v>
      </c>
      <c r="C173" s="30">
        <v>3.08</v>
      </c>
    </row>
    <row r="174" spans="1:3" x14ac:dyDescent="0.15">
      <c r="A174" s="30" t="s">
        <v>4492</v>
      </c>
      <c r="B174" s="30">
        <v>12.61</v>
      </c>
      <c r="C174" s="30">
        <v>11.46</v>
      </c>
    </row>
    <row r="175" spans="1:3" x14ac:dyDescent="0.15">
      <c r="A175" s="30" t="s">
        <v>3484</v>
      </c>
      <c r="B175" s="30">
        <v>10.4</v>
      </c>
      <c r="C175" s="30">
        <v>10.6</v>
      </c>
    </row>
    <row r="176" spans="1:3" x14ac:dyDescent="0.15">
      <c r="A176" s="30" t="s">
        <v>473</v>
      </c>
      <c r="B176" s="30">
        <v>18.510000000000002</v>
      </c>
      <c r="C176" s="30">
        <v>18.55</v>
      </c>
    </row>
    <row r="177" spans="1:3" x14ac:dyDescent="0.15">
      <c r="A177" s="30" t="s">
        <v>142</v>
      </c>
      <c r="B177" s="30">
        <v>8.35</v>
      </c>
      <c r="C177" s="30">
        <v>8.24</v>
      </c>
    </row>
    <row r="178" spans="1:3" x14ac:dyDescent="0.15">
      <c r="A178" s="30" t="s">
        <v>938</v>
      </c>
      <c r="B178" s="30">
        <v>10.76</v>
      </c>
      <c r="C178" s="30">
        <v>10.86</v>
      </c>
    </row>
    <row r="179" spans="1:3" x14ac:dyDescent="0.15">
      <c r="A179" s="30" t="s">
        <v>3132</v>
      </c>
      <c r="B179" s="30">
        <v>12.19</v>
      </c>
      <c r="C179" s="30">
        <v>12.37</v>
      </c>
    </row>
    <row r="180" spans="1:3" x14ac:dyDescent="0.15">
      <c r="A180" s="30" t="s">
        <v>544</v>
      </c>
      <c r="B180" s="30">
        <v>22.28</v>
      </c>
      <c r="C180" s="30">
        <v>22.49</v>
      </c>
    </row>
    <row r="181" spans="1:3" x14ac:dyDescent="0.15">
      <c r="A181" s="30" t="s">
        <v>100</v>
      </c>
      <c r="B181" s="30">
        <v>17.8</v>
      </c>
      <c r="C181" s="30">
        <v>18.079999999999998</v>
      </c>
    </row>
    <row r="182" spans="1:3" x14ac:dyDescent="0.15">
      <c r="A182" s="30" t="s">
        <v>4493</v>
      </c>
      <c r="B182" s="30">
        <v>10.68</v>
      </c>
      <c r="C182" s="30">
        <v>11.02</v>
      </c>
    </row>
    <row r="183" spans="1:3" x14ac:dyDescent="0.15">
      <c r="A183" s="30" t="s">
        <v>844</v>
      </c>
      <c r="B183" s="30">
        <v>19.12</v>
      </c>
      <c r="C183" s="30">
        <v>19.079999999999998</v>
      </c>
    </row>
    <row r="184" spans="1:3" x14ac:dyDescent="0.15">
      <c r="A184" s="30" t="s">
        <v>3236</v>
      </c>
      <c r="B184" s="30">
        <v>8.2200000000000006</v>
      </c>
      <c r="C184" s="30">
        <v>8.2899999999999991</v>
      </c>
    </row>
    <row r="185" spans="1:3" x14ac:dyDescent="0.15">
      <c r="A185" s="30" t="s">
        <v>2882</v>
      </c>
      <c r="B185" s="30">
        <v>5.01</v>
      </c>
      <c r="C185" s="30">
        <v>5.04</v>
      </c>
    </row>
    <row r="186" spans="1:3" x14ac:dyDescent="0.15">
      <c r="A186" s="30" t="s">
        <v>4494</v>
      </c>
      <c r="B186" s="30">
        <v>21.55</v>
      </c>
      <c r="C186" s="30">
        <v>21.4</v>
      </c>
    </row>
    <row r="187" spans="1:3" x14ac:dyDescent="0.15">
      <c r="A187" s="30" t="s">
        <v>345</v>
      </c>
      <c r="B187" s="30">
        <v>11.67</v>
      </c>
      <c r="C187" s="30">
        <v>11.08</v>
      </c>
    </row>
    <row r="188" spans="1:3" x14ac:dyDescent="0.15">
      <c r="A188" s="30" t="s">
        <v>3018</v>
      </c>
      <c r="B188" s="30">
        <v>16.190000000000001</v>
      </c>
      <c r="C188" s="30">
        <v>16.23</v>
      </c>
    </row>
    <row r="189" spans="1:3" x14ac:dyDescent="0.15">
      <c r="A189" s="30" t="s">
        <v>2768</v>
      </c>
      <c r="B189" s="30">
        <v>15.23</v>
      </c>
      <c r="C189" s="30">
        <v>15.55</v>
      </c>
    </row>
    <row r="190" spans="1:3" x14ac:dyDescent="0.15">
      <c r="A190" s="30" t="s">
        <v>3056</v>
      </c>
      <c r="B190" s="30">
        <v>5.82</v>
      </c>
      <c r="C190" s="30">
        <v>5.89</v>
      </c>
    </row>
    <row r="191" spans="1:3" x14ac:dyDescent="0.15">
      <c r="A191" s="30" t="s">
        <v>3184</v>
      </c>
      <c r="B191" s="30">
        <v>25.18</v>
      </c>
      <c r="C191" s="30">
        <v>24.05</v>
      </c>
    </row>
    <row r="192" spans="1:3" x14ac:dyDescent="0.15">
      <c r="A192" s="30" t="s">
        <v>788</v>
      </c>
      <c r="B192" s="30">
        <v>3.06</v>
      </c>
      <c r="C192" s="30">
        <v>3.07</v>
      </c>
    </row>
    <row r="193" spans="1:3" x14ac:dyDescent="0.15">
      <c r="A193" s="30" t="s">
        <v>1441</v>
      </c>
      <c r="B193" s="30">
        <v>11645.047</v>
      </c>
      <c r="C193" s="30">
        <v>11553.239</v>
      </c>
    </row>
    <row r="194" spans="1:3" x14ac:dyDescent="0.15">
      <c r="A194" s="30" t="s">
        <v>4495</v>
      </c>
      <c r="B194" s="30">
        <v>22.14</v>
      </c>
      <c r="C194" s="30">
        <v>22.35</v>
      </c>
    </row>
    <row r="195" spans="1:3" x14ac:dyDescent="0.15">
      <c r="A195" s="30" t="s">
        <v>4496</v>
      </c>
      <c r="B195" s="30">
        <v>220.55</v>
      </c>
      <c r="C195" s="30">
        <v>215.5</v>
      </c>
    </row>
    <row r="196" spans="1:3" x14ac:dyDescent="0.15">
      <c r="A196" s="30" t="s">
        <v>730</v>
      </c>
      <c r="B196" s="30">
        <v>38.11</v>
      </c>
      <c r="C196" s="30">
        <v>36.1</v>
      </c>
    </row>
    <row r="197" spans="1:3" x14ac:dyDescent="0.15">
      <c r="A197" s="30" t="s">
        <v>4497</v>
      </c>
      <c r="B197" s="30">
        <v>115.33</v>
      </c>
      <c r="C197" s="30">
        <v>116.37</v>
      </c>
    </row>
    <row r="198" spans="1:3" x14ac:dyDescent="0.15">
      <c r="A198" s="30" t="s">
        <v>1451</v>
      </c>
      <c r="B198" s="30">
        <v>1900.6310000000001</v>
      </c>
      <c r="C198" s="30">
        <v>1884.1120000000001</v>
      </c>
    </row>
    <row r="199" spans="1:3" x14ac:dyDescent="0.15">
      <c r="A199" s="30" t="s">
        <v>168</v>
      </c>
      <c r="B199" s="30">
        <v>8.93</v>
      </c>
      <c r="C199" s="30">
        <v>9.09</v>
      </c>
    </row>
    <row r="200" spans="1:3" x14ac:dyDescent="0.15">
      <c r="A200" s="30" t="s">
        <v>3144</v>
      </c>
      <c r="B200" s="30">
        <v>10.039999999999999</v>
      </c>
      <c r="C200" s="30">
        <v>10.39</v>
      </c>
    </row>
    <row r="201" spans="1:3" x14ac:dyDescent="0.15">
      <c r="A201" s="30" t="s">
        <v>720</v>
      </c>
      <c r="B201" s="30">
        <v>9.34</v>
      </c>
      <c r="C201" s="30">
        <v>9.43</v>
      </c>
    </row>
    <row r="202" spans="1:3" x14ac:dyDescent="0.15">
      <c r="A202" s="30" t="s">
        <v>200</v>
      </c>
      <c r="B202" s="30">
        <v>20.5</v>
      </c>
      <c r="C202" s="30">
        <v>18.809999999999999</v>
      </c>
    </row>
    <row r="203" spans="1:3" x14ac:dyDescent="0.15">
      <c r="A203" s="30" t="s">
        <v>740</v>
      </c>
      <c r="B203" s="30">
        <v>18.25</v>
      </c>
      <c r="C203" s="30">
        <v>18.440000000000001</v>
      </c>
    </row>
    <row r="204" spans="1:3" x14ac:dyDescent="0.15">
      <c r="A204" s="30" t="s">
        <v>706</v>
      </c>
      <c r="B204" s="30">
        <v>30.85</v>
      </c>
      <c r="C204" s="30">
        <v>29.79</v>
      </c>
    </row>
    <row r="205" spans="1:3" x14ac:dyDescent="0.15">
      <c r="A205" s="30" t="s">
        <v>4498</v>
      </c>
      <c r="B205" s="30">
        <v>4.95</v>
      </c>
      <c r="C205" s="30">
        <v>4.95</v>
      </c>
    </row>
    <row r="206" spans="1:3" x14ac:dyDescent="0.15">
      <c r="A206" s="30" t="s">
        <v>319</v>
      </c>
      <c r="B206" s="30">
        <v>7.74</v>
      </c>
      <c r="C206" s="30">
        <v>7.68</v>
      </c>
    </row>
    <row r="207" spans="1:3" x14ac:dyDescent="0.15">
      <c r="A207" s="30" t="s">
        <v>4499</v>
      </c>
      <c r="B207" s="30">
        <v>44.79</v>
      </c>
      <c r="C207" s="30">
        <v>43.21</v>
      </c>
    </row>
    <row r="208" spans="1:3" x14ac:dyDescent="0.15">
      <c r="A208" s="30" t="s">
        <v>3510</v>
      </c>
      <c r="B208" s="30">
        <v>12.44</v>
      </c>
      <c r="C208" s="30">
        <v>12.39</v>
      </c>
    </row>
    <row r="209" spans="1:3" x14ac:dyDescent="0.15">
      <c r="A209" s="30" t="s">
        <v>728</v>
      </c>
      <c r="B209" s="30">
        <v>5.84</v>
      </c>
      <c r="C209" s="30">
        <v>5.9</v>
      </c>
    </row>
    <row r="210" spans="1:3" x14ac:dyDescent="0.15">
      <c r="A210" s="30" t="s">
        <v>3020</v>
      </c>
      <c r="B210" s="30">
        <v>22.52</v>
      </c>
      <c r="C210" s="30">
        <v>21.96</v>
      </c>
    </row>
    <row r="211" spans="1:3" x14ac:dyDescent="0.15">
      <c r="A211" s="30" t="s">
        <v>4500</v>
      </c>
      <c r="B211" s="30">
        <v>7.15</v>
      </c>
      <c r="C211" s="30">
        <v>7.17</v>
      </c>
    </row>
    <row r="212" spans="1:3" x14ac:dyDescent="0.15">
      <c r="A212" s="30" t="s">
        <v>3148</v>
      </c>
      <c r="B212" s="30">
        <v>16.54</v>
      </c>
      <c r="C212" s="30">
        <v>16.61</v>
      </c>
    </row>
    <row r="213" spans="1:3" x14ac:dyDescent="0.15">
      <c r="A213" s="30" t="s">
        <v>2968</v>
      </c>
      <c r="B213" s="30">
        <v>5.23</v>
      </c>
      <c r="C213" s="30">
        <v>5.25</v>
      </c>
    </row>
    <row r="214" spans="1:3" x14ac:dyDescent="0.15">
      <c r="A214" s="30" t="s">
        <v>884</v>
      </c>
      <c r="B214" s="30">
        <v>7.72</v>
      </c>
      <c r="C214" s="30">
        <v>7.8</v>
      </c>
    </row>
    <row r="215" spans="1:3" x14ac:dyDescent="0.15">
      <c r="A215" s="30" t="s">
        <v>118</v>
      </c>
      <c r="B215" s="30">
        <v>3.87</v>
      </c>
      <c r="C215" s="30">
        <v>3.92</v>
      </c>
    </row>
    <row r="216" spans="1:3" x14ac:dyDescent="0.15">
      <c r="A216" s="30" t="s">
        <v>892</v>
      </c>
      <c r="B216" s="30">
        <v>6.51</v>
      </c>
      <c r="C216" s="30">
        <v>6.64</v>
      </c>
    </row>
    <row r="217" spans="1:3" x14ac:dyDescent="0.15">
      <c r="A217" s="30" t="s">
        <v>4501</v>
      </c>
      <c r="B217" s="30">
        <v>28.96</v>
      </c>
      <c r="C217" s="30">
        <v>28.96</v>
      </c>
    </row>
    <row r="218" spans="1:3" x14ac:dyDescent="0.15">
      <c r="A218" s="30" t="s">
        <v>596</v>
      </c>
      <c r="B218" s="30">
        <v>36.01</v>
      </c>
      <c r="C218" s="30">
        <v>36.14</v>
      </c>
    </row>
    <row r="219" spans="1:3" x14ac:dyDescent="0.15">
      <c r="A219" s="30" t="s">
        <v>399</v>
      </c>
      <c r="B219" s="30">
        <v>5.22</v>
      </c>
      <c r="C219" s="30">
        <v>5.26</v>
      </c>
    </row>
    <row r="220" spans="1:3" x14ac:dyDescent="0.15">
      <c r="A220" s="30" t="s">
        <v>301</v>
      </c>
      <c r="B220" s="30">
        <v>10.02</v>
      </c>
      <c r="C220" s="30">
        <v>10.24</v>
      </c>
    </row>
    <row r="221" spans="1:3" x14ac:dyDescent="0.15">
      <c r="A221" s="30" t="s">
        <v>4502</v>
      </c>
      <c r="B221" s="30">
        <v>12.35</v>
      </c>
      <c r="C221" s="30">
        <v>12.31</v>
      </c>
    </row>
    <row r="222" spans="1:3" x14ac:dyDescent="0.15">
      <c r="A222" s="30" t="s">
        <v>640</v>
      </c>
      <c r="B222" s="30">
        <v>6.85</v>
      </c>
      <c r="C222" s="30">
        <v>6.95</v>
      </c>
    </row>
    <row r="223" spans="1:3" x14ac:dyDescent="0.15">
      <c r="A223" s="30" t="s">
        <v>3514</v>
      </c>
      <c r="B223" s="30">
        <v>11.41</v>
      </c>
      <c r="C223" s="30">
        <v>11.8</v>
      </c>
    </row>
    <row r="224" spans="1:3" x14ac:dyDescent="0.15">
      <c r="A224" s="30" t="s">
        <v>114</v>
      </c>
      <c r="B224" s="30">
        <v>16.600000000000001</v>
      </c>
      <c r="C224" s="30">
        <v>16.86</v>
      </c>
    </row>
    <row r="225" spans="1:3" x14ac:dyDescent="0.15">
      <c r="A225" s="30" t="s">
        <v>144</v>
      </c>
      <c r="B225" s="30">
        <v>29.81</v>
      </c>
      <c r="C225" s="30">
        <v>30.26</v>
      </c>
    </row>
    <row r="226" spans="1:3" x14ac:dyDescent="0.15">
      <c r="A226" s="30" t="s">
        <v>3268</v>
      </c>
      <c r="B226" s="30">
        <v>16.399999999999999</v>
      </c>
      <c r="C226" s="30">
        <v>15.95</v>
      </c>
    </row>
    <row r="227" spans="1:3" x14ac:dyDescent="0.15">
      <c r="A227" s="30" t="s">
        <v>3516</v>
      </c>
      <c r="B227" s="30">
        <v>5.77</v>
      </c>
      <c r="C227" s="30">
        <v>5.95</v>
      </c>
    </row>
    <row r="228" spans="1:3" x14ac:dyDescent="0.15">
      <c r="A228" s="30" t="s">
        <v>748</v>
      </c>
      <c r="B228" s="30">
        <v>11.26</v>
      </c>
      <c r="C228" s="30">
        <v>11.5</v>
      </c>
    </row>
    <row r="229" spans="1:3" x14ac:dyDescent="0.15">
      <c r="A229" s="30" t="s">
        <v>443</v>
      </c>
      <c r="B229" s="30">
        <v>6.13</v>
      </c>
      <c r="C229" s="30">
        <v>6.36</v>
      </c>
    </row>
    <row r="230" spans="1:3" x14ac:dyDescent="0.15">
      <c r="A230" s="30" t="s">
        <v>102</v>
      </c>
      <c r="B230" s="30">
        <v>54.57</v>
      </c>
      <c r="C230" s="30">
        <v>54.77</v>
      </c>
    </row>
    <row r="231" spans="1:3" x14ac:dyDescent="0.15">
      <c r="A231" s="30" t="s">
        <v>333</v>
      </c>
      <c r="B231" s="30">
        <v>27.7</v>
      </c>
      <c r="C231" s="30">
        <v>27.6</v>
      </c>
    </row>
    <row r="232" spans="1:3" x14ac:dyDescent="0.15">
      <c r="A232" s="30" t="s">
        <v>4503</v>
      </c>
      <c r="B232" s="30">
        <v>24.07</v>
      </c>
      <c r="C232" s="30">
        <v>23.84</v>
      </c>
    </row>
    <row r="233" spans="1:3" x14ac:dyDescent="0.15">
      <c r="A233" s="30" t="s">
        <v>2786</v>
      </c>
      <c r="B233" s="30">
        <v>13.36</v>
      </c>
      <c r="C233" s="30">
        <v>13.47</v>
      </c>
    </row>
    <row r="234" spans="1:3" x14ac:dyDescent="0.15">
      <c r="A234" s="30" t="s">
        <v>4504</v>
      </c>
      <c r="B234" s="30">
        <v>13.38</v>
      </c>
      <c r="C234" s="30">
        <v>13.42</v>
      </c>
    </row>
    <row r="235" spans="1:3" x14ac:dyDescent="0.15">
      <c r="A235" s="30" t="s">
        <v>4505</v>
      </c>
      <c r="B235" s="30">
        <v>14.76</v>
      </c>
      <c r="C235" s="30">
        <v>14.8</v>
      </c>
    </row>
    <row r="236" spans="1:3" x14ac:dyDescent="0.15">
      <c r="A236" s="30" t="s">
        <v>2852</v>
      </c>
      <c r="B236" s="30">
        <v>17.04</v>
      </c>
      <c r="C236" s="30">
        <v>16.79</v>
      </c>
    </row>
    <row r="237" spans="1:3" x14ac:dyDescent="0.15">
      <c r="A237" s="30" t="s">
        <v>503</v>
      </c>
      <c r="B237" s="30">
        <v>17</v>
      </c>
      <c r="C237" s="30">
        <v>17</v>
      </c>
    </row>
    <row r="238" spans="1:3" x14ac:dyDescent="0.15">
      <c r="A238" s="30" t="s">
        <v>447</v>
      </c>
      <c r="B238" s="30">
        <v>11.69</v>
      </c>
      <c r="C238" s="30">
        <v>11.83</v>
      </c>
    </row>
    <row r="239" spans="1:3" x14ac:dyDescent="0.15">
      <c r="A239" s="30" t="s">
        <v>4506</v>
      </c>
      <c r="B239" s="30">
        <v>7.98</v>
      </c>
      <c r="C239" s="30">
        <v>7.98</v>
      </c>
    </row>
    <row r="240" spans="1:3" x14ac:dyDescent="0.15">
      <c r="A240" s="30" t="s">
        <v>3060</v>
      </c>
      <c r="B240" s="30">
        <v>7.17</v>
      </c>
      <c r="C240" s="30">
        <v>7.28</v>
      </c>
    </row>
    <row r="241" spans="1:3" x14ac:dyDescent="0.15">
      <c r="A241" s="30" t="s">
        <v>4507</v>
      </c>
      <c r="B241" s="30">
        <v>6.57</v>
      </c>
      <c r="C241" s="30">
        <v>6.58</v>
      </c>
    </row>
    <row r="242" spans="1:3" x14ac:dyDescent="0.15">
      <c r="A242" s="30" t="s">
        <v>962</v>
      </c>
      <c r="B242" s="30">
        <v>8.84</v>
      </c>
      <c r="C242" s="30">
        <v>8.92</v>
      </c>
    </row>
    <row r="243" spans="1:3" x14ac:dyDescent="0.15">
      <c r="A243" s="30" t="s">
        <v>830</v>
      </c>
      <c r="B243" s="30">
        <v>24.67</v>
      </c>
      <c r="C243" s="30">
        <v>24.67</v>
      </c>
    </row>
    <row r="244" spans="1:3" x14ac:dyDescent="0.15">
      <c r="A244" s="30" t="s">
        <v>3290</v>
      </c>
      <c r="B244" s="30">
        <v>18.09</v>
      </c>
      <c r="C244" s="30">
        <v>18.309999999999999</v>
      </c>
    </row>
    <row r="245" spans="1:3" x14ac:dyDescent="0.15">
      <c r="A245" s="30" t="s">
        <v>2954</v>
      </c>
      <c r="B245" s="30">
        <v>19.98</v>
      </c>
      <c r="C245" s="30">
        <v>19.5</v>
      </c>
    </row>
    <row r="246" spans="1:3" x14ac:dyDescent="0.15">
      <c r="A246" s="30" t="s">
        <v>4508</v>
      </c>
      <c r="B246" s="30">
        <v>13.28</v>
      </c>
      <c r="C246" s="30">
        <v>13.61</v>
      </c>
    </row>
    <row r="247" spans="1:3" x14ac:dyDescent="0.15">
      <c r="A247" s="30" t="s">
        <v>654</v>
      </c>
      <c r="B247" s="30">
        <v>7.77</v>
      </c>
      <c r="C247" s="30">
        <v>7.81</v>
      </c>
    </row>
    <row r="248" spans="1:3" x14ac:dyDescent="0.15">
      <c r="A248" s="30" t="s">
        <v>1048</v>
      </c>
      <c r="B248" s="30">
        <v>9.81</v>
      </c>
      <c r="C248" s="30">
        <v>9.77</v>
      </c>
    </row>
    <row r="249" spans="1:3" x14ac:dyDescent="0.15">
      <c r="A249" s="30" t="s">
        <v>4509</v>
      </c>
      <c r="B249" s="30">
        <v>14.5</v>
      </c>
      <c r="C249" s="30">
        <v>14.65</v>
      </c>
    </row>
    <row r="250" spans="1:3" x14ac:dyDescent="0.15">
      <c r="A250" s="30" t="s">
        <v>3410</v>
      </c>
      <c r="B250" s="30">
        <v>10.67</v>
      </c>
      <c r="C250" s="30">
        <v>10.67</v>
      </c>
    </row>
    <row r="251" spans="1:3" x14ac:dyDescent="0.15">
      <c r="A251" s="30" t="s">
        <v>4510</v>
      </c>
      <c r="B251" s="30">
        <v>2.99</v>
      </c>
      <c r="C251" s="30">
        <v>3</v>
      </c>
    </row>
    <row r="252" spans="1:3" x14ac:dyDescent="0.15">
      <c r="A252" s="30" t="s">
        <v>1970</v>
      </c>
      <c r="B252" s="30">
        <v>13155</v>
      </c>
      <c r="C252" s="30">
        <v>12990</v>
      </c>
    </row>
    <row r="253" spans="1:3" x14ac:dyDescent="0.15">
      <c r="A253" s="30" t="s">
        <v>4511</v>
      </c>
      <c r="B253" s="30">
        <v>36.36</v>
      </c>
      <c r="C253" s="30">
        <v>36.36</v>
      </c>
    </row>
    <row r="254" spans="1:3" x14ac:dyDescent="0.15">
      <c r="A254" s="30" t="s">
        <v>4512</v>
      </c>
      <c r="B254" s="30">
        <v>30.75</v>
      </c>
      <c r="C254" s="30">
        <v>29.84</v>
      </c>
    </row>
    <row r="255" spans="1:3" x14ac:dyDescent="0.15">
      <c r="A255" s="30" t="s">
        <v>182</v>
      </c>
      <c r="B255" s="30">
        <v>32.56</v>
      </c>
      <c r="C255" s="30">
        <v>33.049999999999997</v>
      </c>
    </row>
    <row r="256" spans="1:3" x14ac:dyDescent="0.15">
      <c r="A256" s="30" t="s">
        <v>4513</v>
      </c>
      <c r="B256" s="30">
        <v>10.95</v>
      </c>
      <c r="C256" s="30">
        <v>10.95</v>
      </c>
    </row>
    <row r="257" spans="1:3" x14ac:dyDescent="0.15">
      <c r="A257" s="30" t="s">
        <v>1447</v>
      </c>
      <c r="B257" s="30">
        <v>6641.2164000000002</v>
      </c>
      <c r="C257" s="30">
        <v>6611.3517000000002</v>
      </c>
    </row>
    <row r="258" spans="1:3" x14ac:dyDescent="0.15">
      <c r="A258" s="30" t="s">
        <v>2836</v>
      </c>
      <c r="B258" s="30">
        <v>13.15</v>
      </c>
      <c r="C258" s="30">
        <v>13.29</v>
      </c>
    </row>
    <row r="259" spans="1:3" x14ac:dyDescent="0.15">
      <c r="A259" s="30" t="s">
        <v>461</v>
      </c>
      <c r="B259" s="30">
        <v>3.48</v>
      </c>
      <c r="C259" s="30">
        <v>3.5</v>
      </c>
    </row>
    <row r="260" spans="1:3" x14ac:dyDescent="0.15">
      <c r="A260" s="30" t="s">
        <v>126</v>
      </c>
      <c r="B260" s="30">
        <v>9.82</v>
      </c>
      <c r="C260" s="30">
        <v>9.66</v>
      </c>
    </row>
    <row r="261" spans="1:3" x14ac:dyDescent="0.15">
      <c r="A261" s="30" t="s">
        <v>2754</v>
      </c>
      <c r="B261" s="30">
        <v>4.76</v>
      </c>
      <c r="C261" s="30">
        <v>4.8</v>
      </c>
    </row>
    <row r="262" spans="1:3" x14ac:dyDescent="0.15">
      <c r="A262" s="30" t="s">
        <v>774</v>
      </c>
      <c r="B262" s="30">
        <v>30.92</v>
      </c>
      <c r="C262" s="30">
        <v>29.97</v>
      </c>
    </row>
    <row r="263" spans="1:3" x14ac:dyDescent="0.15">
      <c r="A263" s="30" t="s">
        <v>4514</v>
      </c>
      <c r="B263" s="30">
        <v>12.4</v>
      </c>
      <c r="C263" s="30">
        <v>11.96</v>
      </c>
    </row>
    <row r="264" spans="1:3" x14ac:dyDescent="0.15">
      <c r="A264" s="30" t="s">
        <v>4515</v>
      </c>
      <c r="B264" s="30">
        <v>28.22</v>
      </c>
      <c r="C264" s="30">
        <v>28.3</v>
      </c>
    </row>
    <row r="265" spans="1:3" x14ac:dyDescent="0.15">
      <c r="A265" s="30" t="s">
        <v>2818</v>
      </c>
      <c r="B265" s="30">
        <v>2.74</v>
      </c>
      <c r="C265" s="30">
        <v>2.76</v>
      </c>
    </row>
    <row r="266" spans="1:3" x14ac:dyDescent="0.15">
      <c r="A266" s="30" t="s">
        <v>598</v>
      </c>
      <c r="B266" s="30">
        <v>3.81</v>
      </c>
      <c r="C266" s="30">
        <v>3.75</v>
      </c>
    </row>
    <row r="267" spans="1:3" x14ac:dyDescent="0.15">
      <c r="A267" s="30" t="s">
        <v>437</v>
      </c>
      <c r="B267" s="30">
        <v>34.36</v>
      </c>
      <c r="C267" s="30">
        <v>34.36</v>
      </c>
    </row>
    <row r="268" spans="1:3" x14ac:dyDescent="0.15">
      <c r="A268" s="30" t="s">
        <v>507</v>
      </c>
      <c r="B268" s="30">
        <v>6</v>
      </c>
      <c r="C268" s="30">
        <v>6.03</v>
      </c>
    </row>
    <row r="269" spans="1:3" x14ac:dyDescent="0.15">
      <c r="A269" s="30" t="s">
        <v>792</v>
      </c>
      <c r="B269" s="30">
        <v>11.45</v>
      </c>
      <c r="C269" s="30">
        <v>11.29</v>
      </c>
    </row>
    <row r="270" spans="1:3" x14ac:dyDescent="0.15">
      <c r="A270" s="30" t="s">
        <v>3034</v>
      </c>
      <c r="B270" s="30">
        <v>7.97</v>
      </c>
      <c r="C270" s="30">
        <v>7.97</v>
      </c>
    </row>
    <row r="271" spans="1:3" x14ac:dyDescent="0.15">
      <c r="A271" s="30" t="s">
        <v>3480</v>
      </c>
      <c r="B271" s="30">
        <v>25.74</v>
      </c>
      <c r="C271" s="30">
        <v>25.33</v>
      </c>
    </row>
    <row r="272" spans="1:3" x14ac:dyDescent="0.15">
      <c r="A272" s="30" t="s">
        <v>2796</v>
      </c>
      <c r="B272" s="30">
        <v>40.18</v>
      </c>
      <c r="C272" s="30">
        <v>38.96</v>
      </c>
    </row>
    <row r="273" spans="1:3" x14ac:dyDescent="0.15">
      <c r="A273" s="30" t="s">
        <v>4516</v>
      </c>
      <c r="B273" s="30">
        <v>8.14</v>
      </c>
      <c r="C273" s="30">
        <v>8.14</v>
      </c>
    </row>
    <row r="274" spans="1:3" x14ac:dyDescent="0.15">
      <c r="A274" s="30" t="s">
        <v>4517</v>
      </c>
      <c r="B274" s="30">
        <v>26.7</v>
      </c>
      <c r="C274" s="30">
        <v>24.27</v>
      </c>
    </row>
    <row r="275" spans="1:3" x14ac:dyDescent="0.15">
      <c r="A275" s="30" t="s">
        <v>4518</v>
      </c>
      <c r="B275" s="30">
        <v>10.81</v>
      </c>
      <c r="C275" s="30">
        <v>11.06</v>
      </c>
    </row>
    <row r="276" spans="1:3" x14ac:dyDescent="0.15">
      <c r="A276" s="30" t="s">
        <v>528</v>
      </c>
      <c r="B276" s="30">
        <v>39.200000000000003</v>
      </c>
      <c r="C276" s="30">
        <v>35.64</v>
      </c>
    </row>
    <row r="277" spans="1:3" x14ac:dyDescent="0.15">
      <c r="A277" s="30" t="s">
        <v>3478</v>
      </c>
      <c r="B277" s="30">
        <v>3.1</v>
      </c>
      <c r="C277" s="30">
        <v>3.12</v>
      </c>
    </row>
    <row r="278" spans="1:3" x14ac:dyDescent="0.15">
      <c r="A278" s="30" t="s">
        <v>850</v>
      </c>
      <c r="B278" s="30">
        <v>13.43</v>
      </c>
      <c r="C278" s="30">
        <v>12.73</v>
      </c>
    </row>
    <row r="279" spans="1:3" x14ac:dyDescent="0.15">
      <c r="A279" s="30" t="s">
        <v>3198</v>
      </c>
      <c r="B279" s="30">
        <v>5.69</v>
      </c>
      <c r="C279" s="30">
        <v>5.75</v>
      </c>
    </row>
    <row r="280" spans="1:3" x14ac:dyDescent="0.15">
      <c r="A280" s="30" t="s">
        <v>4519</v>
      </c>
      <c r="B280" s="30">
        <v>238.94</v>
      </c>
      <c r="C280" s="30">
        <v>240.21</v>
      </c>
    </row>
    <row r="281" spans="1:3" x14ac:dyDescent="0.15">
      <c r="A281" s="30" t="s">
        <v>242</v>
      </c>
      <c r="B281" s="30">
        <v>20.58</v>
      </c>
      <c r="C281" s="30">
        <v>19.45</v>
      </c>
    </row>
    <row r="282" spans="1:3" x14ac:dyDescent="0.15">
      <c r="A282" s="30" t="s">
        <v>4520</v>
      </c>
      <c r="B282" s="30">
        <v>9.99</v>
      </c>
      <c r="C282" s="30">
        <v>10.17</v>
      </c>
    </row>
    <row r="283" spans="1:3" x14ac:dyDescent="0.15">
      <c r="A283" s="30" t="s">
        <v>958</v>
      </c>
      <c r="B283" s="30">
        <v>3.93</v>
      </c>
      <c r="C283" s="30">
        <v>3.94</v>
      </c>
    </row>
    <row r="284" spans="1:3" x14ac:dyDescent="0.15">
      <c r="A284" s="30" t="s">
        <v>4521</v>
      </c>
      <c r="B284" s="30">
        <v>13.04</v>
      </c>
      <c r="C284" s="30">
        <v>13.13</v>
      </c>
    </row>
    <row r="285" spans="1:3" x14ac:dyDescent="0.15">
      <c r="A285" s="30" t="s">
        <v>3522</v>
      </c>
      <c r="B285" s="30">
        <v>5.94</v>
      </c>
      <c r="C285" s="30">
        <v>5.97</v>
      </c>
    </row>
    <row r="286" spans="1:3" x14ac:dyDescent="0.15">
      <c r="A286" s="30" t="s">
        <v>4522</v>
      </c>
      <c r="B286" s="30">
        <v>14.61</v>
      </c>
      <c r="C286" s="30">
        <v>14.37</v>
      </c>
    </row>
    <row r="287" spans="1:3" x14ac:dyDescent="0.15">
      <c r="A287" s="30" t="s">
        <v>411</v>
      </c>
      <c r="B287" s="30">
        <v>29.5</v>
      </c>
      <c r="C287" s="30">
        <v>29.75</v>
      </c>
    </row>
    <row r="288" spans="1:3" x14ac:dyDescent="0.15">
      <c r="A288" s="30" t="s">
        <v>4523</v>
      </c>
      <c r="B288" s="30">
        <v>34.020000000000003</v>
      </c>
      <c r="C288" s="30">
        <v>34</v>
      </c>
    </row>
    <row r="289" spans="1:3" x14ac:dyDescent="0.15">
      <c r="A289" s="30" t="s">
        <v>2934</v>
      </c>
      <c r="B289" s="30">
        <v>12.8</v>
      </c>
      <c r="C289" s="30">
        <v>12.43</v>
      </c>
    </row>
    <row r="290" spans="1:3" x14ac:dyDescent="0.15">
      <c r="A290" s="30" t="s">
        <v>387</v>
      </c>
      <c r="B290" s="30">
        <v>23.19</v>
      </c>
      <c r="C290" s="30">
        <v>23.55</v>
      </c>
    </row>
    <row r="291" spans="1:3" x14ac:dyDescent="0.15">
      <c r="A291" s="30" t="s">
        <v>4524</v>
      </c>
      <c r="B291" s="30">
        <v>21.85</v>
      </c>
      <c r="C291" s="30">
        <v>22.22</v>
      </c>
    </row>
    <row r="292" spans="1:3" x14ac:dyDescent="0.15">
      <c r="A292" s="30" t="s">
        <v>542</v>
      </c>
      <c r="B292" s="30">
        <v>38.49</v>
      </c>
      <c r="C292" s="30">
        <v>35.799999999999997</v>
      </c>
    </row>
    <row r="293" spans="1:3" x14ac:dyDescent="0.15">
      <c r="A293" s="30" t="s">
        <v>4525</v>
      </c>
      <c r="B293" s="30">
        <v>24.17</v>
      </c>
      <c r="C293" s="30">
        <v>23.99</v>
      </c>
    </row>
    <row r="294" spans="1:3" x14ac:dyDescent="0.15">
      <c r="A294" s="30" t="s">
        <v>964</v>
      </c>
      <c r="B294" s="30">
        <v>9.61</v>
      </c>
      <c r="C294" s="30">
        <v>9.66</v>
      </c>
    </row>
    <row r="295" spans="1:3" x14ac:dyDescent="0.15">
      <c r="A295" s="30" t="s">
        <v>612</v>
      </c>
      <c r="B295" s="30">
        <v>6.39</v>
      </c>
      <c r="C295" s="30">
        <v>6.42</v>
      </c>
    </row>
    <row r="296" spans="1:3" x14ac:dyDescent="0.15">
      <c r="A296" s="30" t="s">
        <v>722</v>
      </c>
      <c r="B296" s="30">
        <v>30.45</v>
      </c>
      <c r="C296" s="30">
        <v>30.43</v>
      </c>
    </row>
    <row r="297" spans="1:3" x14ac:dyDescent="0.15">
      <c r="A297" s="30" t="s">
        <v>3118</v>
      </c>
      <c r="B297" s="30">
        <v>4.87</v>
      </c>
      <c r="C297" s="30">
        <v>4.8899999999999997</v>
      </c>
    </row>
    <row r="298" spans="1:3" x14ac:dyDescent="0.15">
      <c r="A298" s="30" t="s">
        <v>4526</v>
      </c>
      <c r="B298" s="30">
        <v>62.96</v>
      </c>
      <c r="C298" s="30">
        <v>62.17</v>
      </c>
    </row>
    <row r="299" spans="1:3" x14ac:dyDescent="0.15">
      <c r="A299" s="30" t="s">
        <v>4527</v>
      </c>
      <c r="B299" s="30">
        <v>70.209999999999994</v>
      </c>
      <c r="C299" s="30">
        <v>71.42</v>
      </c>
    </row>
    <row r="300" spans="1:3" x14ac:dyDescent="0.15">
      <c r="A300" s="30" t="s">
        <v>576</v>
      </c>
      <c r="B300" s="30">
        <v>2.83</v>
      </c>
      <c r="C300" s="30">
        <v>2.85</v>
      </c>
    </row>
    <row r="301" spans="1:3" x14ac:dyDescent="0.15">
      <c r="A301" s="30" t="s">
        <v>313</v>
      </c>
      <c r="B301" s="30">
        <v>7.74</v>
      </c>
      <c r="C301" s="30">
        <v>7.66</v>
      </c>
    </row>
    <row r="302" spans="1:3" x14ac:dyDescent="0.15">
      <c r="A302" s="30" t="s">
        <v>4528</v>
      </c>
      <c r="B302" s="30">
        <v>136.4</v>
      </c>
      <c r="C302" s="30">
        <v>135.30000000000001</v>
      </c>
    </row>
    <row r="303" spans="1:3" x14ac:dyDescent="0.15">
      <c r="A303" s="30" t="s">
        <v>796</v>
      </c>
      <c r="B303" s="30">
        <v>35.01</v>
      </c>
      <c r="C303" s="30">
        <v>33.880000000000003</v>
      </c>
    </row>
    <row r="304" spans="1:3" x14ac:dyDescent="0.15">
      <c r="A304" s="30" t="s">
        <v>3080</v>
      </c>
      <c r="B304" s="30">
        <v>13.42</v>
      </c>
      <c r="C304" s="30">
        <v>13.58</v>
      </c>
    </row>
    <row r="305" spans="1:3" x14ac:dyDescent="0.15">
      <c r="A305" s="30" t="s">
        <v>1034</v>
      </c>
      <c r="B305" s="30">
        <v>10.99</v>
      </c>
      <c r="C305" s="30">
        <v>10.96</v>
      </c>
    </row>
    <row r="306" spans="1:3" x14ac:dyDescent="0.15">
      <c r="A306" s="30" t="s">
        <v>4529</v>
      </c>
      <c r="B306" s="30">
        <v>36.28</v>
      </c>
      <c r="C306" s="30">
        <v>36.19</v>
      </c>
    </row>
    <row r="307" spans="1:3" x14ac:dyDescent="0.15">
      <c r="A307" s="30" t="s">
        <v>3258</v>
      </c>
      <c r="B307" s="30">
        <v>7.09</v>
      </c>
      <c r="C307" s="30">
        <v>7.2</v>
      </c>
    </row>
    <row r="308" spans="1:3" x14ac:dyDescent="0.15">
      <c r="A308" s="30" t="s">
        <v>517</v>
      </c>
      <c r="B308" s="30">
        <v>32.450000000000003</v>
      </c>
      <c r="C308" s="30">
        <v>31.44</v>
      </c>
    </row>
    <row r="309" spans="1:3" x14ac:dyDescent="0.15">
      <c r="A309" s="30" t="s">
        <v>1052</v>
      </c>
      <c r="B309" s="30">
        <v>24.49</v>
      </c>
      <c r="C309" s="30">
        <v>24.88</v>
      </c>
    </row>
    <row r="310" spans="1:3" x14ac:dyDescent="0.15">
      <c r="A310" s="30" t="s">
        <v>148</v>
      </c>
      <c r="B310" s="30">
        <v>10.27</v>
      </c>
      <c r="C310" s="30">
        <v>10.27</v>
      </c>
    </row>
    <row r="311" spans="1:3" x14ac:dyDescent="0.15">
      <c r="A311" s="30" t="s">
        <v>888</v>
      </c>
      <c r="B311" s="30">
        <v>25</v>
      </c>
      <c r="C311" s="30">
        <v>25.71</v>
      </c>
    </row>
    <row r="312" spans="1:3" x14ac:dyDescent="0.15">
      <c r="A312" s="30" t="s">
        <v>469</v>
      </c>
      <c r="B312" s="30">
        <v>11.14</v>
      </c>
      <c r="C312" s="30">
        <v>11.29</v>
      </c>
    </row>
    <row r="313" spans="1:3" x14ac:dyDescent="0.15">
      <c r="A313" s="30" t="s">
        <v>3108</v>
      </c>
      <c r="B313" s="30">
        <v>24.38</v>
      </c>
      <c r="C313" s="30">
        <v>23.15</v>
      </c>
    </row>
    <row r="314" spans="1:3" x14ac:dyDescent="0.15">
      <c r="A314" s="30" t="s">
        <v>778</v>
      </c>
      <c r="B314" s="30">
        <v>10.77</v>
      </c>
      <c r="C314" s="30">
        <v>10.37</v>
      </c>
    </row>
    <row r="315" spans="1:3" x14ac:dyDescent="0.15">
      <c r="A315" s="30" t="s">
        <v>4530</v>
      </c>
      <c r="B315" s="30">
        <v>26.91</v>
      </c>
      <c r="C315" s="30">
        <v>27.78</v>
      </c>
    </row>
    <row r="316" spans="1:3" x14ac:dyDescent="0.15">
      <c r="A316" s="30" t="s">
        <v>4531</v>
      </c>
      <c r="B316" s="30">
        <v>11.36</v>
      </c>
      <c r="C316" s="30">
        <v>11.29</v>
      </c>
    </row>
    <row r="317" spans="1:3" x14ac:dyDescent="0.15">
      <c r="A317" s="30" t="s">
        <v>886</v>
      </c>
      <c r="B317" s="30">
        <v>6.12</v>
      </c>
      <c r="C317" s="30">
        <v>6.14</v>
      </c>
    </row>
    <row r="318" spans="1:3" x14ac:dyDescent="0.15">
      <c r="A318" s="30" t="s">
        <v>662</v>
      </c>
      <c r="B318" s="30">
        <v>20.27</v>
      </c>
      <c r="C318" s="30">
        <v>20.329999999999998</v>
      </c>
    </row>
    <row r="319" spans="1:3" x14ac:dyDescent="0.15">
      <c r="A319" s="30" t="s">
        <v>3030</v>
      </c>
      <c r="B319" s="30">
        <v>26.13</v>
      </c>
      <c r="C319" s="30">
        <v>25.77</v>
      </c>
    </row>
    <row r="320" spans="1:3" x14ac:dyDescent="0.15">
      <c r="A320" s="30" t="s">
        <v>3488</v>
      </c>
      <c r="B320" s="30">
        <v>43.75</v>
      </c>
      <c r="C320" s="30">
        <v>42.85</v>
      </c>
    </row>
    <row r="321" spans="1:3" x14ac:dyDescent="0.15">
      <c r="A321" s="30" t="s">
        <v>509</v>
      </c>
      <c r="B321" s="30">
        <v>80.11</v>
      </c>
      <c r="C321" s="30">
        <v>78.89</v>
      </c>
    </row>
    <row r="322" spans="1:3" x14ac:dyDescent="0.15">
      <c r="A322" s="30" t="s">
        <v>4532</v>
      </c>
      <c r="B322" s="30">
        <v>49.54</v>
      </c>
      <c r="C322" s="30">
        <v>48.02</v>
      </c>
    </row>
    <row r="323" spans="1:3" x14ac:dyDescent="0.15">
      <c r="A323" s="30" t="s">
        <v>3430</v>
      </c>
      <c r="B323" s="30">
        <v>15.72</v>
      </c>
      <c r="C323" s="30">
        <v>15.1</v>
      </c>
    </row>
    <row r="324" spans="1:3" x14ac:dyDescent="0.15">
      <c r="A324" s="30" t="s">
        <v>842</v>
      </c>
      <c r="B324" s="30">
        <v>4.88</v>
      </c>
      <c r="C324" s="30">
        <v>4.91</v>
      </c>
    </row>
    <row r="325" spans="1:3" x14ac:dyDescent="0.15">
      <c r="A325" s="30" t="s">
        <v>4533</v>
      </c>
      <c r="B325" s="30">
        <v>15.09</v>
      </c>
      <c r="C325" s="30">
        <v>15.32</v>
      </c>
    </row>
    <row r="326" spans="1:3" x14ac:dyDescent="0.15">
      <c r="A326" s="30" t="s">
        <v>930</v>
      </c>
      <c r="B326" s="30">
        <v>19.600000000000001</v>
      </c>
      <c r="C326" s="30">
        <v>18.8</v>
      </c>
    </row>
    <row r="327" spans="1:3" x14ac:dyDescent="0.15">
      <c r="A327" s="30" t="s">
        <v>433</v>
      </c>
      <c r="B327" s="30">
        <v>11.09</v>
      </c>
      <c r="C327" s="30">
        <v>11.23</v>
      </c>
    </row>
    <row r="328" spans="1:3" x14ac:dyDescent="0.15">
      <c r="A328" s="30" t="s">
        <v>2744</v>
      </c>
      <c r="B328" s="30">
        <v>14.18</v>
      </c>
      <c r="C328" s="30">
        <v>14.51</v>
      </c>
    </row>
    <row r="329" spans="1:3" x14ac:dyDescent="0.15">
      <c r="A329" s="30" t="s">
        <v>4534</v>
      </c>
      <c r="B329" s="30">
        <v>65.73</v>
      </c>
      <c r="C329" s="30">
        <v>65.11</v>
      </c>
    </row>
    <row r="330" spans="1:3" x14ac:dyDescent="0.15">
      <c r="A330" s="30" t="s">
        <v>262</v>
      </c>
      <c r="B330" s="30">
        <v>18.12</v>
      </c>
      <c r="C330" s="30">
        <v>17.79</v>
      </c>
    </row>
    <row r="331" spans="1:3" x14ac:dyDescent="0.15">
      <c r="A331" s="30" t="s">
        <v>481</v>
      </c>
      <c r="B331" s="30">
        <v>18.649999999999999</v>
      </c>
      <c r="C331" s="30">
        <v>18.64</v>
      </c>
    </row>
    <row r="332" spans="1:3" x14ac:dyDescent="0.15">
      <c r="A332" s="30" t="s">
        <v>898</v>
      </c>
      <c r="B332" s="30">
        <v>27.24</v>
      </c>
      <c r="C332" s="30">
        <v>27.41</v>
      </c>
    </row>
    <row r="333" spans="1:3" x14ac:dyDescent="0.15">
      <c r="A333" s="30" t="s">
        <v>475</v>
      </c>
      <c r="B333" s="30">
        <v>6.73</v>
      </c>
      <c r="C333" s="30">
        <v>6.7</v>
      </c>
    </row>
    <row r="334" spans="1:3" x14ac:dyDescent="0.15">
      <c r="A334" s="30" t="s">
        <v>4535</v>
      </c>
      <c r="B334" s="30">
        <v>11.52</v>
      </c>
      <c r="C334" s="30">
        <v>11.66</v>
      </c>
    </row>
    <row r="335" spans="1:3" x14ac:dyDescent="0.15">
      <c r="A335" s="30" t="s">
        <v>3294</v>
      </c>
      <c r="B335" s="30">
        <v>15.67</v>
      </c>
      <c r="C335" s="30">
        <v>14.58</v>
      </c>
    </row>
    <row r="336" spans="1:3" x14ac:dyDescent="0.15">
      <c r="A336" s="30" t="s">
        <v>586</v>
      </c>
      <c r="B336" s="30">
        <v>14.31</v>
      </c>
      <c r="C336" s="30">
        <v>14.39</v>
      </c>
    </row>
    <row r="337" spans="1:3" x14ac:dyDescent="0.15">
      <c r="A337" s="30" t="s">
        <v>974</v>
      </c>
      <c r="B337" s="30">
        <v>20.28</v>
      </c>
      <c r="C337" s="30">
        <v>20.37</v>
      </c>
    </row>
    <row r="338" spans="1:3" x14ac:dyDescent="0.15">
      <c r="A338" s="30" t="s">
        <v>397</v>
      </c>
      <c r="B338" s="30">
        <v>17.079999999999998</v>
      </c>
      <c r="C338" s="30">
        <v>17.32</v>
      </c>
    </row>
    <row r="339" spans="1:3" x14ac:dyDescent="0.15">
      <c r="A339" s="30" t="s">
        <v>4536</v>
      </c>
      <c r="B339" s="30">
        <v>8.56</v>
      </c>
      <c r="C339" s="30">
        <v>8.56</v>
      </c>
    </row>
    <row r="340" spans="1:3" x14ac:dyDescent="0.15">
      <c r="A340" s="30" t="s">
        <v>3040</v>
      </c>
      <c r="B340" s="30">
        <v>26.49</v>
      </c>
      <c r="C340" s="30">
        <v>26.77</v>
      </c>
    </row>
    <row r="341" spans="1:3" x14ac:dyDescent="0.15">
      <c r="A341" s="30" t="s">
        <v>92</v>
      </c>
      <c r="B341" s="30">
        <v>9.14</v>
      </c>
      <c r="C341" s="30">
        <v>9.2799999999999994</v>
      </c>
    </row>
    <row r="342" spans="1:3" x14ac:dyDescent="0.15">
      <c r="A342" s="30" t="s">
        <v>329</v>
      </c>
      <c r="B342" s="30">
        <v>5.39</v>
      </c>
      <c r="C342" s="30">
        <v>5.41</v>
      </c>
    </row>
    <row r="343" spans="1:3" x14ac:dyDescent="0.15">
      <c r="A343" s="30" t="s">
        <v>4537</v>
      </c>
      <c r="B343" s="30">
        <v>27.71</v>
      </c>
      <c r="C343" s="30">
        <v>28.16</v>
      </c>
    </row>
    <row r="344" spans="1:3" x14ac:dyDescent="0.15">
      <c r="A344" s="30" t="s">
        <v>900</v>
      </c>
      <c r="B344" s="30">
        <v>27.87</v>
      </c>
      <c r="C344" s="30">
        <v>27.1</v>
      </c>
    </row>
    <row r="345" spans="1:3" x14ac:dyDescent="0.15">
      <c r="A345" s="30" t="s">
        <v>4538</v>
      </c>
      <c r="B345" s="30">
        <v>69.8</v>
      </c>
      <c r="C345" s="30">
        <v>71</v>
      </c>
    </row>
    <row r="346" spans="1:3" x14ac:dyDescent="0.15">
      <c r="A346" s="30" t="s">
        <v>246</v>
      </c>
      <c r="B346" s="30">
        <v>45.67</v>
      </c>
      <c r="C346" s="30">
        <v>43.74</v>
      </c>
    </row>
    <row r="347" spans="1:3" x14ac:dyDescent="0.15">
      <c r="A347" s="30" t="s">
        <v>248</v>
      </c>
      <c r="B347" s="30">
        <v>6.55</v>
      </c>
      <c r="C347" s="30">
        <v>6.51</v>
      </c>
    </row>
    <row r="348" spans="1:3" x14ac:dyDescent="0.15">
      <c r="A348" s="30" t="s">
        <v>912</v>
      </c>
      <c r="B348" s="30">
        <v>6.58</v>
      </c>
      <c r="C348" s="30">
        <v>6.63</v>
      </c>
    </row>
    <row r="349" spans="1:3" x14ac:dyDescent="0.15">
      <c r="A349" s="30" t="s">
        <v>834</v>
      </c>
      <c r="B349" s="30">
        <v>4.68</v>
      </c>
      <c r="C349" s="30">
        <v>4.71</v>
      </c>
    </row>
    <row r="350" spans="1:3" x14ac:dyDescent="0.15">
      <c r="A350" s="30" t="s">
        <v>497</v>
      </c>
      <c r="B350" s="30">
        <v>10.43</v>
      </c>
      <c r="C350" s="30">
        <v>10.6</v>
      </c>
    </row>
    <row r="351" spans="1:3" x14ac:dyDescent="0.15">
      <c r="A351" s="30" t="s">
        <v>4539</v>
      </c>
      <c r="B351" s="30">
        <v>12.18</v>
      </c>
      <c r="C351" s="30">
        <v>12.36</v>
      </c>
    </row>
    <row r="352" spans="1:3" x14ac:dyDescent="0.15">
      <c r="A352" s="30" t="s">
        <v>317</v>
      </c>
      <c r="B352" s="30">
        <v>59.2</v>
      </c>
      <c r="C352" s="30">
        <v>59.95</v>
      </c>
    </row>
    <row r="353" spans="1:3" x14ac:dyDescent="0.15">
      <c r="A353" s="30" t="s">
        <v>1044</v>
      </c>
      <c r="B353" s="30">
        <v>5.53</v>
      </c>
      <c r="C353" s="30">
        <v>5.53</v>
      </c>
    </row>
    <row r="354" spans="1:3" x14ac:dyDescent="0.15">
      <c r="A354" s="30" t="s">
        <v>78</v>
      </c>
      <c r="B354" s="30">
        <v>7.17</v>
      </c>
      <c r="C354" s="30">
        <v>7.32</v>
      </c>
    </row>
    <row r="355" spans="1:3" x14ac:dyDescent="0.15">
      <c r="A355" s="30" t="s">
        <v>3122</v>
      </c>
      <c r="B355" s="30">
        <v>11.05</v>
      </c>
      <c r="C355" s="30">
        <v>11.26</v>
      </c>
    </row>
    <row r="356" spans="1:3" x14ac:dyDescent="0.15">
      <c r="A356" s="30" t="s">
        <v>315</v>
      </c>
      <c r="B356" s="30">
        <v>14.01</v>
      </c>
      <c r="C356" s="30">
        <v>13.97</v>
      </c>
    </row>
    <row r="357" spans="1:3" x14ac:dyDescent="0.15">
      <c r="A357" s="30" t="s">
        <v>4540</v>
      </c>
      <c r="B357" s="30">
        <v>10.050000000000001</v>
      </c>
      <c r="C357" s="30">
        <v>9.2100000000000009</v>
      </c>
    </row>
    <row r="358" spans="1:3" x14ac:dyDescent="0.15">
      <c r="A358" s="30" t="s">
        <v>700</v>
      </c>
      <c r="B358" s="30">
        <v>21.03</v>
      </c>
      <c r="C358" s="30">
        <v>20.93</v>
      </c>
    </row>
    <row r="359" spans="1:3" x14ac:dyDescent="0.15">
      <c r="A359" s="30" t="s">
        <v>524</v>
      </c>
      <c r="B359" s="30">
        <v>15.47</v>
      </c>
      <c r="C359" s="30">
        <v>15.66</v>
      </c>
    </row>
    <row r="360" spans="1:3" x14ac:dyDescent="0.15">
      <c r="A360" s="30" t="s">
        <v>76</v>
      </c>
      <c r="B360" s="30">
        <v>8.0500000000000007</v>
      </c>
      <c r="C360" s="30">
        <v>8.2200000000000006</v>
      </c>
    </row>
    <row r="361" spans="1:3" x14ac:dyDescent="0.15">
      <c r="A361" s="30" t="s">
        <v>4541</v>
      </c>
      <c r="B361" s="30">
        <v>28.53</v>
      </c>
      <c r="C361" s="30">
        <v>28.9</v>
      </c>
    </row>
    <row r="362" spans="1:3" x14ac:dyDescent="0.15">
      <c r="A362" s="30" t="s">
        <v>4542</v>
      </c>
      <c r="B362" s="30">
        <v>7.18</v>
      </c>
      <c r="C362" s="30">
        <v>7.22</v>
      </c>
    </row>
    <row r="363" spans="1:3" x14ac:dyDescent="0.15">
      <c r="A363" s="30" t="s">
        <v>2012</v>
      </c>
      <c r="B363" s="30">
        <v>17.18</v>
      </c>
      <c r="C363" s="30">
        <v>17.3</v>
      </c>
    </row>
    <row r="364" spans="1:3" x14ac:dyDescent="0.15">
      <c r="A364" s="30" t="s">
        <v>4543</v>
      </c>
      <c r="B364" s="30">
        <v>9.24</v>
      </c>
      <c r="C364" s="30">
        <v>9.0399999999999991</v>
      </c>
    </row>
    <row r="365" spans="1:3" x14ac:dyDescent="0.15">
      <c r="A365" s="30" t="s">
        <v>4544</v>
      </c>
      <c r="B365" s="30">
        <v>77.95</v>
      </c>
      <c r="C365" s="30">
        <v>74.599999999999994</v>
      </c>
    </row>
    <row r="366" spans="1:3" x14ac:dyDescent="0.15">
      <c r="A366" s="30" t="s">
        <v>252</v>
      </c>
      <c r="B366" s="30">
        <v>16.53</v>
      </c>
      <c r="C366" s="30">
        <v>16.29</v>
      </c>
    </row>
    <row r="367" spans="1:3" x14ac:dyDescent="0.15">
      <c r="A367" s="30" t="s">
        <v>3336</v>
      </c>
      <c r="B367" s="30">
        <v>184.98</v>
      </c>
      <c r="C367" s="30">
        <v>178.08</v>
      </c>
    </row>
    <row r="368" spans="1:3" x14ac:dyDescent="0.15">
      <c r="A368" s="30" t="s">
        <v>2874</v>
      </c>
      <c r="B368" s="30">
        <v>10.15</v>
      </c>
      <c r="C368" s="30">
        <v>10.47</v>
      </c>
    </row>
    <row r="369" spans="1:3" x14ac:dyDescent="0.15">
      <c r="A369" s="30" t="s">
        <v>904</v>
      </c>
      <c r="B369" s="30">
        <v>3.81</v>
      </c>
      <c r="C369" s="30">
        <v>3.74</v>
      </c>
    </row>
    <row r="370" spans="1:3" x14ac:dyDescent="0.15">
      <c r="A370" s="30" t="s">
        <v>3026</v>
      </c>
      <c r="B370" s="30">
        <v>17.73</v>
      </c>
      <c r="C370" s="30">
        <v>16.84</v>
      </c>
    </row>
    <row r="371" spans="1:3" x14ac:dyDescent="0.15">
      <c r="A371" s="30" t="s">
        <v>752</v>
      </c>
      <c r="B371" s="30">
        <v>35.89</v>
      </c>
      <c r="C371" s="30">
        <v>35.979999999999997</v>
      </c>
    </row>
    <row r="372" spans="1:3" x14ac:dyDescent="0.15">
      <c r="A372" s="30" t="s">
        <v>4545</v>
      </c>
      <c r="B372" s="30">
        <v>21.31</v>
      </c>
      <c r="C372" s="30">
        <v>21.19</v>
      </c>
    </row>
    <row r="373" spans="1:3" x14ac:dyDescent="0.15">
      <c r="A373" s="30" t="s">
        <v>832</v>
      </c>
      <c r="B373" s="30">
        <v>65.41</v>
      </c>
      <c r="C373" s="30">
        <v>64.28</v>
      </c>
    </row>
    <row r="374" spans="1:3" x14ac:dyDescent="0.15">
      <c r="A374" s="30" t="s">
        <v>297</v>
      </c>
      <c r="B374" s="30">
        <v>16.45</v>
      </c>
      <c r="C374" s="30">
        <v>17</v>
      </c>
    </row>
    <row r="375" spans="1:3" x14ac:dyDescent="0.15">
      <c r="A375" s="30" t="s">
        <v>4546</v>
      </c>
      <c r="B375" s="30">
        <v>10.39</v>
      </c>
      <c r="C375" s="30">
        <v>10.48</v>
      </c>
    </row>
    <row r="376" spans="1:3" x14ac:dyDescent="0.15">
      <c r="A376" s="30" t="s">
        <v>4547</v>
      </c>
      <c r="B376" s="30">
        <v>8.16</v>
      </c>
      <c r="C376" s="30">
        <v>8.23</v>
      </c>
    </row>
    <row r="377" spans="1:3" x14ac:dyDescent="0.15">
      <c r="A377" s="30" t="s">
        <v>2872</v>
      </c>
      <c r="B377" s="30">
        <v>20.32</v>
      </c>
      <c r="C377" s="30">
        <v>20.350000000000001</v>
      </c>
    </row>
    <row r="378" spans="1:3" x14ac:dyDescent="0.15">
      <c r="A378" s="30" t="s">
        <v>688</v>
      </c>
      <c r="B378" s="30">
        <v>9.85</v>
      </c>
      <c r="C378" s="30">
        <v>9.91</v>
      </c>
    </row>
    <row r="379" spans="1:3" x14ac:dyDescent="0.15">
      <c r="A379" s="30" t="s">
        <v>449</v>
      </c>
      <c r="B379" s="30">
        <v>10.6</v>
      </c>
      <c r="C379" s="30">
        <v>10.68</v>
      </c>
    </row>
    <row r="380" spans="1:3" x14ac:dyDescent="0.15">
      <c r="A380" s="30" t="s">
        <v>3240</v>
      </c>
      <c r="B380" s="30">
        <v>58.99</v>
      </c>
      <c r="C380" s="30">
        <v>59.38</v>
      </c>
    </row>
    <row r="381" spans="1:3" x14ac:dyDescent="0.15">
      <c r="A381" s="30" t="s">
        <v>4548</v>
      </c>
      <c r="B381" s="30">
        <v>37.909999999999997</v>
      </c>
      <c r="C381" s="30">
        <v>38.74</v>
      </c>
    </row>
    <row r="382" spans="1:3" x14ac:dyDescent="0.15">
      <c r="A382" s="30" t="s">
        <v>2848</v>
      </c>
      <c r="B382" s="30">
        <v>19.04</v>
      </c>
      <c r="C382" s="30">
        <v>18.57</v>
      </c>
    </row>
    <row r="383" spans="1:3" x14ac:dyDescent="0.15">
      <c r="A383" s="30" t="s">
        <v>112</v>
      </c>
      <c r="B383" s="30">
        <v>50.28</v>
      </c>
      <c r="C383" s="30">
        <v>50.19</v>
      </c>
    </row>
    <row r="384" spans="1:3" x14ac:dyDescent="0.15">
      <c r="A384" s="30" t="s">
        <v>4549</v>
      </c>
      <c r="B384" s="30">
        <v>13.3</v>
      </c>
      <c r="C384" s="30">
        <v>13.31</v>
      </c>
    </row>
    <row r="385" spans="1:3" x14ac:dyDescent="0.15">
      <c r="A385" s="30" t="s">
        <v>4550</v>
      </c>
      <c r="B385" s="30">
        <v>21.81</v>
      </c>
      <c r="C385" s="30">
        <v>21.81</v>
      </c>
    </row>
    <row r="386" spans="1:3" x14ac:dyDescent="0.15">
      <c r="A386" s="30" t="s">
        <v>4551</v>
      </c>
      <c r="B386" s="30">
        <v>33</v>
      </c>
      <c r="C386" s="30">
        <v>32.51</v>
      </c>
    </row>
    <row r="387" spans="1:3" x14ac:dyDescent="0.15">
      <c r="A387" s="30" t="s">
        <v>642</v>
      </c>
      <c r="B387" s="30">
        <v>25.9</v>
      </c>
      <c r="C387" s="30">
        <v>24.98</v>
      </c>
    </row>
    <row r="388" spans="1:3" x14ac:dyDescent="0.15">
      <c r="A388" s="30" t="s">
        <v>3202</v>
      </c>
      <c r="B388" s="30">
        <v>8</v>
      </c>
      <c r="C388" s="30">
        <v>8</v>
      </c>
    </row>
    <row r="389" spans="1:3" x14ac:dyDescent="0.15">
      <c r="A389" s="30" t="s">
        <v>3524</v>
      </c>
      <c r="B389" s="30">
        <v>18.57</v>
      </c>
      <c r="C389" s="30">
        <v>18.600000000000001</v>
      </c>
    </row>
    <row r="390" spans="1:3" x14ac:dyDescent="0.15">
      <c r="A390" s="30" t="s">
        <v>664</v>
      </c>
      <c r="B390" s="30">
        <v>24.41</v>
      </c>
      <c r="C390" s="30">
        <v>23.9</v>
      </c>
    </row>
    <row r="391" spans="1:3" x14ac:dyDescent="0.15">
      <c r="A391" s="30" t="s">
        <v>323</v>
      </c>
      <c r="B391" s="30">
        <v>21.6</v>
      </c>
      <c r="C391" s="30">
        <v>21.6</v>
      </c>
    </row>
    <row r="392" spans="1:3" x14ac:dyDescent="0.15">
      <c r="A392" s="30" t="s">
        <v>4552</v>
      </c>
      <c r="B392" s="30">
        <v>21.64</v>
      </c>
      <c r="C392" s="30">
        <v>21</v>
      </c>
    </row>
    <row r="393" spans="1:3" x14ac:dyDescent="0.15">
      <c r="A393" s="30" t="s">
        <v>222</v>
      </c>
      <c r="B393" s="30">
        <v>11.71</v>
      </c>
      <c r="C393" s="30">
        <v>11.71</v>
      </c>
    </row>
    <row r="394" spans="1:3" x14ac:dyDescent="0.15">
      <c r="A394" s="30" t="s">
        <v>698</v>
      </c>
      <c r="B394" s="30">
        <v>12.14</v>
      </c>
      <c r="C394" s="30">
        <v>11.94</v>
      </c>
    </row>
    <row r="395" spans="1:3" x14ac:dyDescent="0.15">
      <c r="A395" s="30" t="s">
        <v>224</v>
      </c>
      <c r="B395" s="30">
        <v>20.91</v>
      </c>
      <c r="C395" s="30">
        <v>20.34</v>
      </c>
    </row>
    <row r="396" spans="1:3" x14ac:dyDescent="0.15">
      <c r="A396" s="30" t="s">
        <v>363</v>
      </c>
      <c r="B396" s="30">
        <v>85.18</v>
      </c>
      <c r="C396" s="30">
        <v>85.9</v>
      </c>
    </row>
    <row r="397" spans="1:3" x14ac:dyDescent="0.15">
      <c r="A397" s="30" t="s">
        <v>4553</v>
      </c>
      <c r="B397" s="30">
        <v>15.29</v>
      </c>
      <c r="C397" s="30">
        <v>15.45</v>
      </c>
    </row>
    <row r="398" spans="1:3" x14ac:dyDescent="0.15">
      <c r="A398" s="30" t="s">
        <v>580</v>
      </c>
      <c r="B398" s="30">
        <v>12.19</v>
      </c>
      <c r="C398" s="30">
        <v>12.15</v>
      </c>
    </row>
    <row r="399" spans="1:3" x14ac:dyDescent="0.15">
      <c r="A399" s="30" t="s">
        <v>4212</v>
      </c>
      <c r="B399" s="30">
        <v>2.9180000000000001</v>
      </c>
      <c r="C399" s="30">
        <v>2.8849999999999998</v>
      </c>
    </row>
    <row r="400" spans="1:3" x14ac:dyDescent="0.15">
      <c r="A400" s="30" t="s">
        <v>4554</v>
      </c>
      <c r="B400" s="30">
        <v>12.38</v>
      </c>
      <c r="C400" s="30">
        <v>12.7</v>
      </c>
    </row>
    <row r="401" spans="1:3" x14ac:dyDescent="0.15">
      <c r="A401" s="30" t="s">
        <v>4555</v>
      </c>
      <c r="B401" s="30">
        <v>26.09</v>
      </c>
      <c r="C401" s="30">
        <v>26.38</v>
      </c>
    </row>
    <row r="402" spans="1:3" x14ac:dyDescent="0.15">
      <c r="A402" s="30" t="s">
        <v>375</v>
      </c>
      <c r="B402" s="30">
        <v>76.8</v>
      </c>
      <c r="C402" s="30">
        <v>76.64</v>
      </c>
    </row>
    <row r="403" spans="1:3" x14ac:dyDescent="0.15">
      <c r="A403" s="30" t="s">
        <v>176</v>
      </c>
      <c r="B403" s="30">
        <v>7.79</v>
      </c>
      <c r="C403" s="30">
        <v>7.75</v>
      </c>
    </row>
    <row r="404" spans="1:3" x14ac:dyDescent="0.15">
      <c r="A404" s="30" t="s">
        <v>367</v>
      </c>
      <c r="B404" s="30">
        <v>10.91</v>
      </c>
      <c r="C404" s="30">
        <v>10.78</v>
      </c>
    </row>
    <row r="405" spans="1:3" x14ac:dyDescent="0.15">
      <c r="A405" s="30" t="s">
        <v>339</v>
      </c>
      <c r="B405" s="30">
        <v>21.88</v>
      </c>
      <c r="C405" s="30">
        <v>22.1</v>
      </c>
    </row>
    <row r="406" spans="1:3" x14ac:dyDescent="0.15">
      <c r="A406" s="30" t="s">
        <v>477</v>
      </c>
      <c r="B406" s="30">
        <v>21.6</v>
      </c>
      <c r="C406" s="30">
        <v>22.05</v>
      </c>
    </row>
    <row r="407" spans="1:3" x14ac:dyDescent="0.15">
      <c r="A407" s="30" t="s">
        <v>3526</v>
      </c>
      <c r="B407" s="30">
        <v>34.47</v>
      </c>
      <c r="C407" s="30">
        <v>33.47</v>
      </c>
    </row>
    <row r="408" spans="1:3" x14ac:dyDescent="0.15">
      <c r="A408" s="30" t="s">
        <v>256</v>
      </c>
      <c r="B408" s="30">
        <v>25</v>
      </c>
      <c r="C408" s="30">
        <v>23.96</v>
      </c>
    </row>
    <row r="409" spans="1:3" x14ac:dyDescent="0.15">
      <c r="A409" s="30" t="s">
        <v>1028</v>
      </c>
      <c r="B409" s="30">
        <v>9.15</v>
      </c>
      <c r="C409" s="30">
        <v>9.15</v>
      </c>
    </row>
    <row r="410" spans="1:3" x14ac:dyDescent="0.15">
      <c r="A410" s="30" t="s">
        <v>218</v>
      </c>
      <c r="B410" s="30">
        <v>25.77</v>
      </c>
      <c r="C410" s="30">
        <v>25.07</v>
      </c>
    </row>
    <row r="411" spans="1:3" x14ac:dyDescent="0.15">
      <c r="A411" s="30" t="s">
        <v>588</v>
      </c>
      <c r="B411" s="30">
        <v>58.28</v>
      </c>
      <c r="C411" s="30">
        <v>59.32</v>
      </c>
    </row>
    <row r="412" spans="1:3" x14ac:dyDescent="0.15">
      <c r="A412" s="30" t="s">
        <v>208</v>
      </c>
      <c r="B412" s="30">
        <v>28.93</v>
      </c>
      <c r="C412" s="30">
        <v>28.51</v>
      </c>
    </row>
    <row r="413" spans="1:3" x14ac:dyDescent="0.15">
      <c r="A413" s="30" t="s">
        <v>4556</v>
      </c>
      <c r="B413" s="30">
        <v>10.64</v>
      </c>
      <c r="C413" s="30">
        <v>10.62</v>
      </c>
    </row>
    <row r="414" spans="1:3" x14ac:dyDescent="0.15">
      <c r="A414" s="30" t="s">
        <v>4557</v>
      </c>
      <c r="B414" s="30">
        <v>13.27</v>
      </c>
      <c r="C414" s="30">
        <v>13.27</v>
      </c>
    </row>
    <row r="415" spans="1:3" x14ac:dyDescent="0.15">
      <c r="A415" s="30" t="s">
        <v>2782</v>
      </c>
      <c r="B415" s="30">
        <v>4.32</v>
      </c>
      <c r="C415" s="30">
        <v>4.3099999999999996</v>
      </c>
    </row>
    <row r="416" spans="1:3" x14ac:dyDescent="0.15">
      <c r="A416" s="30" t="s">
        <v>4558</v>
      </c>
      <c r="B416" s="30">
        <v>4.0999999999999996</v>
      </c>
      <c r="C416" s="30">
        <v>4.17</v>
      </c>
    </row>
    <row r="417" spans="1:3" x14ac:dyDescent="0.15">
      <c r="A417" s="30" t="s">
        <v>582</v>
      </c>
      <c r="B417" s="30">
        <v>14.24</v>
      </c>
      <c r="C417" s="30">
        <v>14.18</v>
      </c>
    </row>
    <row r="418" spans="1:3" x14ac:dyDescent="0.15">
      <c r="A418" s="30" t="s">
        <v>670</v>
      </c>
      <c r="B418" s="30">
        <v>4.03</v>
      </c>
      <c r="C418" s="30">
        <v>4</v>
      </c>
    </row>
    <row r="419" spans="1:3" x14ac:dyDescent="0.15">
      <c r="A419" s="30" t="s">
        <v>361</v>
      </c>
      <c r="B419" s="30">
        <v>8.1300000000000008</v>
      </c>
      <c r="C419" s="30">
        <v>8.23</v>
      </c>
    </row>
    <row r="420" spans="1:3" x14ac:dyDescent="0.15">
      <c r="A420" s="30" t="s">
        <v>3344</v>
      </c>
      <c r="B420" s="30">
        <v>8.58</v>
      </c>
      <c r="C420" s="30">
        <v>8.58</v>
      </c>
    </row>
    <row r="421" spans="1:3" x14ac:dyDescent="0.15">
      <c r="A421" s="30" t="s">
        <v>3330</v>
      </c>
      <c r="B421" s="30">
        <v>24.95</v>
      </c>
      <c r="C421" s="30">
        <v>24.92</v>
      </c>
    </row>
    <row r="422" spans="1:3" x14ac:dyDescent="0.15">
      <c r="A422" s="30" t="s">
        <v>556</v>
      </c>
      <c r="B422" s="30">
        <v>10.8</v>
      </c>
      <c r="C422" s="30">
        <v>11.01</v>
      </c>
    </row>
    <row r="423" spans="1:3" x14ac:dyDescent="0.15">
      <c r="A423" s="30" t="s">
        <v>782</v>
      </c>
      <c r="B423" s="30">
        <v>6.84</v>
      </c>
      <c r="C423" s="30">
        <v>6.87</v>
      </c>
    </row>
    <row r="424" spans="1:3" x14ac:dyDescent="0.15">
      <c r="A424" s="30" t="s">
        <v>3442</v>
      </c>
      <c r="B424" s="30">
        <v>7.43</v>
      </c>
      <c r="C424" s="30">
        <v>7.45</v>
      </c>
    </row>
    <row r="425" spans="1:3" x14ac:dyDescent="0.15">
      <c r="A425" s="30" t="s">
        <v>940</v>
      </c>
      <c r="B425" s="30">
        <v>25.88</v>
      </c>
      <c r="C425" s="30">
        <v>26.03</v>
      </c>
    </row>
    <row r="426" spans="1:3" x14ac:dyDescent="0.15">
      <c r="A426" s="30" t="s">
        <v>3334</v>
      </c>
      <c r="B426" s="30">
        <v>7.89</v>
      </c>
      <c r="C426" s="30">
        <v>7.85</v>
      </c>
    </row>
    <row r="427" spans="1:3" x14ac:dyDescent="0.15">
      <c r="A427" s="30" t="s">
        <v>956</v>
      </c>
      <c r="B427" s="30">
        <v>35.26</v>
      </c>
      <c r="C427" s="30">
        <v>34.94</v>
      </c>
    </row>
    <row r="428" spans="1:3" x14ac:dyDescent="0.15">
      <c r="A428" s="30" t="s">
        <v>2890</v>
      </c>
      <c r="B428" s="30">
        <v>19.09</v>
      </c>
      <c r="C428" s="30">
        <v>19.149999999999999</v>
      </c>
    </row>
    <row r="429" spans="1:3" x14ac:dyDescent="0.15">
      <c r="A429" s="30" t="s">
        <v>822</v>
      </c>
      <c r="B429" s="30">
        <v>22.05</v>
      </c>
      <c r="C429" s="30">
        <v>21.07</v>
      </c>
    </row>
    <row r="430" spans="1:3" x14ac:dyDescent="0.15">
      <c r="A430" s="30" t="s">
        <v>536</v>
      </c>
      <c r="B430" s="30">
        <v>8.41</v>
      </c>
      <c r="C430" s="30">
        <v>8.4600000000000009</v>
      </c>
    </row>
    <row r="431" spans="1:3" x14ac:dyDescent="0.15">
      <c r="A431" s="30" t="s">
        <v>3152</v>
      </c>
      <c r="B431" s="30">
        <v>6.63</v>
      </c>
      <c r="C431" s="30">
        <v>6.82</v>
      </c>
    </row>
    <row r="432" spans="1:3" x14ac:dyDescent="0.15">
      <c r="A432" s="30" t="s">
        <v>4559</v>
      </c>
      <c r="B432" s="30">
        <v>13.71</v>
      </c>
      <c r="C432" s="30">
        <v>14.15</v>
      </c>
    </row>
    <row r="433" spans="1:3" x14ac:dyDescent="0.15">
      <c r="A433" s="30" t="s">
        <v>3312</v>
      </c>
      <c r="B433" s="30">
        <v>7.39</v>
      </c>
      <c r="C433" s="30">
        <v>7.41</v>
      </c>
    </row>
    <row r="434" spans="1:3" x14ac:dyDescent="0.15">
      <c r="A434" s="30" t="s">
        <v>425</v>
      </c>
      <c r="B434" s="30">
        <v>57.19</v>
      </c>
      <c r="C434" s="30">
        <v>55.39</v>
      </c>
    </row>
    <row r="435" spans="1:3" x14ac:dyDescent="0.15">
      <c r="A435" s="30" t="s">
        <v>966</v>
      </c>
      <c r="B435" s="30">
        <v>29.3</v>
      </c>
      <c r="C435" s="30">
        <v>29.05</v>
      </c>
    </row>
    <row r="436" spans="1:3" x14ac:dyDescent="0.15">
      <c r="A436" s="30" t="s">
        <v>485</v>
      </c>
      <c r="B436" s="30">
        <v>7.77</v>
      </c>
      <c r="C436" s="30">
        <v>7.86</v>
      </c>
    </row>
    <row r="437" spans="1:3" x14ac:dyDescent="0.15">
      <c r="A437" s="30" t="s">
        <v>206</v>
      </c>
      <c r="B437" s="30">
        <v>54.55</v>
      </c>
      <c r="C437" s="30">
        <v>54.38</v>
      </c>
    </row>
    <row r="438" spans="1:3" x14ac:dyDescent="0.15">
      <c r="A438" s="30" t="s">
        <v>4560</v>
      </c>
      <c r="B438" s="30">
        <v>15.79</v>
      </c>
      <c r="C438" s="30">
        <v>15.39</v>
      </c>
    </row>
    <row r="439" spans="1:3" x14ac:dyDescent="0.15">
      <c r="A439" s="30" t="s">
        <v>4561</v>
      </c>
      <c r="B439" s="30">
        <v>5.98</v>
      </c>
      <c r="C439" s="30">
        <v>5.97</v>
      </c>
    </row>
    <row r="440" spans="1:3" x14ac:dyDescent="0.15">
      <c r="A440" s="30" t="s">
        <v>4562</v>
      </c>
      <c r="B440" s="30">
        <v>18.8</v>
      </c>
      <c r="C440" s="30">
        <v>19.02</v>
      </c>
    </row>
    <row r="441" spans="1:3" x14ac:dyDescent="0.15">
      <c r="A441" s="30" t="s">
        <v>3226</v>
      </c>
      <c r="B441" s="30">
        <v>17.21</v>
      </c>
      <c r="C441" s="30">
        <v>16.62</v>
      </c>
    </row>
    <row r="442" spans="1:3" x14ac:dyDescent="0.15">
      <c r="A442" s="30" t="s">
        <v>4563</v>
      </c>
      <c r="B442" s="30">
        <v>29.4</v>
      </c>
      <c r="C442" s="30">
        <v>29.32</v>
      </c>
    </row>
    <row r="443" spans="1:3" x14ac:dyDescent="0.15">
      <c r="A443" s="30" t="s">
        <v>3360</v>
      </c>
      <c r="B443" s="30">
        <v>12.53</v>
      </c>
      <c r="C443" s="30">
        <v>12.64</v>
      </c>
    </row>
    <row r="444" spans="1:3" x14ac:dyDescent="0.15">
      <c r="A444" s="30" t="s">
        <v>4564</v>
      </c>
      <c r="B444" s="30">
        <v>11.08</v>
      </c>
      <c r="C444" s="30">
        <v>10.79</v>
      </c>
    </row>
    <row r="445" spans="1:3" x14ac:dyDescent="0.15">
      <c r="A445" s="30" t="s">
        <v>351</v>
      </c>
      <c r="B445" s="30">
        <v>26.49</v>
      </c>
      <c r="C445" s="30">
        <v>26.72</v>
      </c>
    </row>
    <row r="446" spans="1:3" x14ac:dyDescent="0.15">
      <c r="A446" s="30" t="s">
        <v>4565</v>
      </c>
      <c r="B446" s="30">
        <v>13.53</v>
      </c>
      <c r="C446" s="30">
        <v>13.5</v>
      </c>
    </row>
    <row r="447" spans="1:3" x14ac:dyDescent="0.15">
      <c r="A447" s="30" t="s">
        <v>1445</v>
      </c>
      <c r="B447" s="30">
        <v>4111.9111999999996</v>
      </c>
      <c r="C447" s="30">
        <v>4075.8998000000001</v>
      </c>
    </row>
    <row r="448" spans="1:3" x14ac:dyDescent="0.15">
      <c r="A448" s="30" t="s">
        <v>3214</v>
      </c>
      <c r="B448" s="30">
        <v>22.09</v>
      </c>
      <c r="C448" s="30">
        <v>21.97</v>
      </c>
    </row>
    <row r="449" spans="1:3" x14ac:dyDescent="0.15">
      <c r="A449" s="30" t="s">
        <v>266</v>
      </c>
      <c r="B449" s="30">
        <v>42.53</v>
      </c>
      <c r="C449" s="30">
        <v>41.3</v>
      </c>
    </row>
    <row r="450" spans="1:3" x14ac:dyDescent="0.15">
      <c r="A450" s="30" t="s">
        <v>3228</v>
      </c>
      <c r="B450" s="30">
        <v>18.63</v>
      </c>
      <c r="C450" s="30">
        <v>18.329999999999998</v>
      </c>
    </row>
    <row r="451" spans="1:3" x14ac:dyDescent="0.15">
      <c r="A451" s="30" t="s">
        <v>4566</v>
      </c>
      <c r="B451" s="30">
        <v>14.98</v>
      </c>
      <c r="C451" s="30">
        <v>15.14</v>
      </c>
    </row>
    <row r="452" spans="1:3" x14ac:dyDescent="0.15">
      <c r="A452" s="30" t="s">
        <v>902</v>
      </c>
      <c r="B452" s="30">
        <v>12.46</v>
      </c>
      <c r="C452" s="30">
        <v>12.66</v>
      </c>
    </row>
    <row r="453" spans="1:3" x14ac:dyDescent="0.15">
      <c r="A453" s="30" t="s">
        <v>116</v>
      </c>
      <c r="B453" s="30">
        <v>3.63</v>
      </c>
      <c r="C453" s="30">
        <v>3.68</v>
      </c>
    </row>
    <row r="454" spans="1:3" x14ac:dyDescent="0.15">
      <c r="A454" s="30" t="s">
        <v>4567</v>
      </c>
      <c r="B454" s="30">
        <v>37.950000000000003</v>
      </c>
      <c r="C454" s="30">
        <v>37.57</v>
      </c>
    </row>
    <row r="455" spans="1:3" x14ac:dyDescent="0.15">
      <c r="A455" s="30" t="s">
        <v>3460</v>
      </c>
      <c r="B455" s="30">
        <v>14.17</v>
      </c>
      <c r="C455" s="30">
        <v>14.24</v>
      </c>
    </row>
    <row r="456" spans="1:3" x14ac:dyDescent="0.15">
      <c r="A456" s="30" t="s">
        <v>738</v>
      </c>
      <c r="B456" s="30">
        <v>43.81</v>
      </c>
      <c r="C456" s="30">
        <v>43.91</v>
      </c>
    </row>
    <row r="457" spans="1:3" x14ac:dyDescent="0.15">
      <c r="A457" s="30" t="s">
        <v>4568</v>
      </c>
      <c r="B457" s="30">
        <v>8.07</v>
      </c>
      <c r="C457" s="30">
        <v>8.1</v>
      </c>
    </row>
    <row r="458" spans="1:3" x14ac:dyDescent="0.15">
      <c r="A458" s="30" t="s">
        <v>4569</v>
      </c>
      <c r="B458" s="30">
        <v>57.62</v>
      </c>
      <c r="C458" s="30">
        <v>55.82</v>
      </c>
    </row>
    <row r="459" spans="1:3" x14ac:dyDescent="0.15">
      <c r="A459" s="30" t="s">
        <v>3528</v>
      </c>
      <c r="B459" s="30">
        <v>10.28</v>
      </c>
      <c r="C459" s="30">
        <v>10.3</v>
      </c>
    </row>
    <row r="460" spans="1:3" x14ac:dyDescent="0.15">
      <c r="A460" s="30" t="s">
        <v>3378</v>
      </c>
      <c r="B460" s="30">
        <v>17.010000000000002</v>
      </c>
      <c r="C460" s="30">
        <v>17.079999999999998</v>
      </c>
    </row>
    <row r="461" spans="1:3" x14ac:dyDescent="0.15">
      <c r="A461" s="30" t="s">
        <v>592</v>
      </c>
      <c r="B461" s="30">
        <v>17.91</v>
      </c>
      <c r="C461" s="30">
        <v>17.989999999999998</v>
      </c>
    </row>
    <row r="462" spans="1:3" x14ac:dyDescent="0.15">
      <c r="A462" s="30" t="s">
        <v>2850</v>
      </c>
      <c r="B462" s="30">
        <v>7.42</v>
      </c>
      <c r="C462" s="30">
        <v>7.4</v>
      </c>
    </row>
    <row r="463" spans="1:3" x14ac:dyDescent="0.15">
      <c r="A463" s="30" t="s">
        <v>1024</v>
      </c>
      <c r="B463" s="30">
        <v>12.3</v>
      </c>
      <c r="C463" s="30">
        <v>12.33</v>
      </c>
    </row>
    <row r="464" spans="1:3" x14ac:dyDescent="0.15">
      <c r="A464" s="30" t="s">
        <v>435</v>
      </c>
      <c r="B464" s="30">
        <v>22.9</v>
      </c>
      <c r="C464" s="30">
        <v>23.74</v>
      </c>
    </row>
    <row r="465" spans="1:3" x14ac:dyDescent="0.15">
      <c r="A465" s="30" t="s">
        <v>369</v>
      </c>
      <c r="B465" s="30">
        <v>27.51</v>
      </c>
      <c r="C465" s="30">
        <v>27.67</v>
      </c>
    </row>
    <row r="466" spans="1:3" x14ac:dyDescent="0.15">
      <c r="A466" s="30" t="s">
        <v>4570</v>
      </c>
      <c r="B466" s="30">
        <v>6.09</v>
      </c>
      <c r="C466" s="30">
        <v>6.09</v>
      </c>
    </row>
    <row r="467" spans="1:3" x14ac:dyDescent="0.15">
      <c r="A467" s="30" t="s">
        <v>816</v>
      </c>
      <c r="B467" s="30">
        <v>9.01</v>
      </c>
      <c r="C467" s="30">
        <v>8.91</v>
      </c>
    </row>
    <row r="468" spans="1:3" x14ac:dyDescent="0.15">
      <c r="A468" s="30" t="s">
        <v>954</v>
      </c>
      <c r="B468" s="30">
        <v>5.89</v>
      </c>
      <c r="C468" s="30">
        <v>5.93</v>
      </c>
    </row>
    <row r="469" spans="1:3" x14ac:dyDescent="0.15">
      <c r="A469" s="30" t="s">
        <v>4571</v>
      </c>
      <c r="B469" s="30">
        <v>20.59</v>
      </c>
      <c r="C469" s="30">
        <v>20.58</v>
      </c>
    </row>
    <row r="470" spans="1:3" x14ac:dyDescent="0.15">
      <c r="A470" s="30" t="s">
        <v>2966</v>
      </c>
      <c r="B470" s="30">
        <v>9.85</v>
      </c>
      <c r="C470" s="30">
        <v>9.85</v>
      </c>
    </row>
    <row r="471" spans="1:3" x14ac:dyDescent="0.15">
      <c r="A471" s="30" t="s">
        <v>455</v>
      </c>
      <c r="B471" s="30">
        <v>8.0500000000000007</v>
      </c>
      <c r="C471" s="30">
        <v>8.01</v>
      </c>
    </row>
    <row r="472" spans="1:3" x14ac:dyDescent="0.15">
      <c r="A472" s="30" t="s">
        <v>4572</v>
      </c>
      <c r="B472" s="30">
        <v>3.62</v>
      </c>
      <c r="C472" s="30">
        <v>3.53</v>
      </c>
    </row>
    <row r="473" spans="1:3" x14ac:dyDescent="0.15">
      <c r="A473" s="30" t="s">
        <v>4573</v>
      </c>
      <c r="B473" s="30">
        <v>11.12</v>
      </c>
      <c r="C473" s="30">
        <v>10.97</v>
      </c>
    </row>
    <row r="474" spans="1:3" x14ac:dyDescent="0.15">
      <c r="A474" s="30" t="s">
        <v>1020</v>
      </c>
      <c r="B474" s="30">
        <v>14.18</v>
      </c>
      <c r="C474" s="30">
        <v>14.11</v>
      </c>
    </row>
    <row r="475" spans="1:3" x14ac:dyDescent="0.15">
      <c r="A475" s="30" t="s">
        <v>2772</v>
      </c>
      <c r="B475" s="30">
        <v>9.49</v>
      </c>
      <c r="C475" s="30">
        <v>9.44</v>
      </c>
    </row>
    <row r="476" spans="1:3" x14ac:dyDescent="0.15">
      <c r="A476" s="30" t="s">
        <v>2784</v>
      </c>
      <c r="B476" s="30">
        <v>15.66</v>
      </c>
      <c r="C476" s="30">
        <v>15.84</v>
      </c>
    </row>
    <row r="477" spans="1:3" x14ac:dyDescent="0.15">
      <c r="A477" s="30" t="s">
        <v>1018</v>
      </c>
      <c r="B477" s="30">
        <v>21.88</v>
      </c>
      <c r="C477" s="30">
        <v>21.9</v>
      </c>
    </row>
    <row r="478" spans="1:3" x14ac:dyDescent="0.15">
      <c r="A478" s="30" t="s">
        <v>4574</v>
      </c>
      <c r="B478" s="30">
        <v>10.9</v>
      </c>
      <c r="C478" s="30">
        <v>11.12</v>
      </c>
    </row>
    <row r="479" spans="1:3" x14ac:dyDescent="0.15">
      <c r="A479" s="30" t="s">
        <v>327</v>
      </c>
      <c r="B479" s="30">
        <v>8.24</v>
      </c>
      <c r="C479" s="30">
        <v>8.3800000000000008</v>
      </c>
    </row>
    <row r="480" spans="1:3" x14ac:dyDescent="0.15">
      <c r="A480" s="30" t="s">
        <v>2978</v>
      </c>
      <c r="B480" s="30">
        <v>25.3</v>
      </c>
      <c r="C480" s="30">
        <v>25.83</v>
      </c>
    </row>
    <row r="481" spans="1:3" x14ac:dyDescent="0.15">
      <c r="A481" s="30" t="s">
        <v>4575</v>
      </c>
      <c r="B481" s="30">
        <v>7.12</v>
      </c>
      <c r="C481" s="30">
        <v>7.16</v>
      </c>
    </row>
    <row r="482" spans="1:3" x14ac:dyDescent="0.15">
      <c r="A482" s="30" t="s">
        <v>2748</v>
      </c>
      <c r="B482" s="30">
        <v>6.95</v>
      </c>
      <c r="C482" s="30">
        <v>6.92</v>
      </c>
    </row>
    <row r="483" spans="1:3" x14ac:dyDescent="0.15">
      <c r="A483" s="30" t="s">
        <v>4576</v>
      </c>
      <c r="B483" s="30">
        <v>7.27</v>
      </c>
      <c r="C483" s="30">
        <v>7.2</v>
      </c>
    </row>
    <row r="484" spans="1:3" x14ac:dyDescent="0.15">
      <c r="A484" s="30" t="s">
        <v>4577</v>
      </c>
      <c r="B484" s="30">
        <v>11.85</v>
      </c>
      <c r="C484" s="30">
        <v>11.83</v>
      </c>
    </row>
    <row r="485" spans="1:3" x14ac:dyDescent="0.15">
      <c r="A485" s="30" t="s">
        <v>4578</v>
      </c>
      <c r="B485" s="30">
        <v>51.69</v>
      </c>
      <c r="C485" s="30">
        <v>53.6</v>
      </c>
    </row>
    <row r="486" spans="1:3" x14ac:dyDescent="0.15">
      <c r="A486" s="30" t="s">
        <v>4579</v>
      </c>
      <c r="B486" s="30">
        <v>14.17</v>
      </c>
      <c r="C486" s="30">
        <v>14.32</v>
      </c>
    </row>
    <row r="487" spans="1:3" x14ac:dyDescent="0.15">
      <c r="A487" s="30" t="s">
        <v>4580</v>
      </c>
      <c r="B487" s="30">
        <v>16.88</v>
      </c>
      <c r="C487" s="30">
        <v>17.03</v>
      </c>
    </row>
    <row r="488" spans="1:3" x14ac:dyDescent="0.15">
      <c r="A488" s="30" t="s">
        <v>3416</v>
      </c>
      <c r="B488" s="30">
        <v>10.09</v>
      </c>
      <c r="C488" s="30">
        <v>10.050000000000001</v>
      </c>
    </row>
    <row r="489" spans="1:3" x14ac:dyDescent="0.15">
      <c r="A489" s="30" t="s">
        <v>4581</v>
      </c>
      <c r="B489" s="30">
        <v>24.97</v>
      </c>
      <c r="C489" s="30">
        <v>24.61</v>
      </c>
    </row>
    <row r="490" spans="1:3" x14ac:dyDescent="0.15">
      <c r="A490" s="30" t="s">
        <v>2870</v>
      </c>
      <c r="B490" s="30">
        <v>17.39</v>
      </c>
      <c r="C490" s="30">
        <v>17.2</v>
      </c>
    </row>
    <row r="491" spans="1:3" x14ac:dyDescent="0.15">
      <c r="A491" s="30" t="s">
        <v>3036</v>
      </c>
      <c r="B491" s="30">
        <v>12.55</v>
      </c>
      <c r="C491" s="30">
        <v>12.3</v>
      </c>
    </row>
    <row r="492" spans="1:3" x14ac:dyDescent="0.15">
      <c r="A492" s="30" t="s">
        <v>3404</v>
      </c>
      <c r="B492" s="30">
        <v>43.41</v>
      </c>
      <c r="C492" s="30">
        <v>44.17</v>
      </c>
    </row>
    <row r="493" spans="1:3" x14ac:dyDescent="0.15">
      <c r="A493" s="30" t="s">
        <v>4582</v>
      </c>
      <c r="B493" s="30">
        <v>8.61</v>
      </c>
      <c r="C493" s="30">
        <v>8.66</v>
      </c>
    </row>
    <row r="494" spans="1:3" x14ac:dyDescent="0.15">
      <c r="A494" s="30" t="s">
        <v>4583</v>
      </c>
      <c r="B494" s="30">
        <v>15.32</v>
      </c>
      <c r="C494" s="30">
        <v>15.57</v>
      </c>
    </row>
    <row r="495" spans="1:3" x14ac:dyDescent="0.15">
      <c r="A495" s="30" t="s">
        <v>590</v>
      </c>
      <c r="B495" s="30">
        <v>15.87</v>
      </c>
      <c r="C495" s="30">
        <v>14.9</v>
      </c>
    </row>
    <row r="496" spans="1:3" x14ac:dyDescent="0.15">
      <c r="A496" s="30" t="s">
        <v>3082</v>
      </c>
      <c r="B496" s="30">
        <v>16.75</v>
      </c>
      <c r="C496" s="30">
        <v>16.75</v>
      </c>
    </row>
    <row r="497" spans="1:3" x14ac:dyDescent="0.15">
      <c r="A497" s="30" t="s">
        <v>614</v>
      </c>
      <c r="B497" s="30">
        <v>6.38</v>
      </c>
      <c r="C497" s="30">
        <v>6.41</v>
      </c>
    </row>
    <row r="498" spans="1:3" x14ac:dyDescent="0.15">
      <c r="A498" s="30" t="s">
        <v>866</v>
      </c>
      <c r="B498" s="30">
        <v>65.22</v>
      </c>
      <c r="C498" s="30">
        <v>66.3</v>
      </c>
    </row>
    <row r="499" spans="1:3" x14ac:dyDescent="0.15">
      <c r="A499" s="30" t="s">
        <v>804</v>
      </c>
      <c r="B499" s="30">
        <v>13.29</v>
      </c>
      <c r="C499" s="30">
        <v>13.39</v>
      </c>
    </row>
    <row r="500" spans="1:3" x14ac:dyDescent="0.15">
      <c r="A500" s="30" t="s">
        <v>1060</v>
      </c>
      <c r="B500" s="30">
        <v>38.799999999999997</v>
      </c>
      <c r="C500" s="30">
        <v>38.049999999999997</v>
      </c>
    </row>
    <row r="501" spans="1:3" x14ac:dyDescent="0.15">
      <c r="A501" s="30" t="s">
        <v>1972</v>
      </c>
      <c r="B501" s="30">
        <v>0</v>
      </c>
      <c r="C501" s="30">
        <v>0</v>
      </c>
    </row>
    <row r="502" spans="1:3" x14ac:dyDescent="0.15">
      <c r="A502" s="30" t="s">
        <v>882</v>
      </c>
      <c r="B502" s="30">
        <v>20.38</v>
      </c>
      <c r="C502" s="30">
        <v>20.57</v>
      </c>
    </row>
    <row r="503" spans="1:3" x14ac:dyDescent="0.15">
      <c r="A503" s="30" t="s">
        <v>3096</v>
      </c>
      <c r="B503" s="30">
        <v>19</v>
      </c>
      <c r="C503" s="30">
        <v>18.12</v>
      </c>
    </row>
    <row r="504" spans="1:3" x14ac:dyDescent="0.15">
      <c r="A504" s="30" t="s">
        <v>495</v>
      </c>
      <c r="B504" s="30">
        <v>16.38</v>
      </c>
      <c r="C504" s="30">
        <v>15.73</v>
      </c>
    </row>
    <row r="505" spans="1:3" x14ac:dyDescent="0.15">
      <c r="A505" s="30" t="s">
        <v>383</v>
      </c>
      <c r="B505" s="30">
        <v>14.54</v>
      </c>
      <c r="C505" s="30">
        <v>14.57</v>
      </c>
    </row>
    <row r="506" spans="1:3" x14ac:dyDescent="0.15">
      <c r="A506" s="30" t="s">
        <v>3138</v>
      </c>
      <c r="B506" s="30">
        <v>11.32</v>
      </c>
      <c r="C506" s="30">
        <v>11.14</v>
      </c>
    </row>
    <row r="507" spans="1:3" x14ac:dyDescent="0.15">
      <c r="A507" s="30" t="s">
        <v>4584</v>
      </c>
      <c r="B507" s="30">
        <v>7.63</v>
      </c>
      <c r="C507" s="30">
        <v>7.61</v>
      </c>
    </row>
    <row r="508" spans="1:3" x14ac:dyDescent="0.15">
      <c r="A508" s="30" t="s">
        <v>660</v>
      </c>
      <c r="B508" s="30">
        <v>6.28</v>
      </c>
      <c r="C508" s="30">
        <v>6.36</v>
      </c>
    </row>
    <row r="509" spans="1:3" x14ac:dyDescent="0.15">
      <c r="A509" s="30" t="s">
        <v>794</v>
      </c>
      <c r="B509" s="30">
        <v>8.02</v>
      </c>
      <c r="C509" s="30">
        <v>7.72</v>
      </c>
    </row>
    <row r="510" spans="1:3" x14ac:dyDescent="0.15">
      <c r="A510" s="30" t="s">
        <v>130</v>
      </c>
      <c r="B510" s="30">
        <v>29.68</v>
      </c>
      <c r="C510" s="30">
        <v>29.26</v>
      </c>
    </row>
    <row r="511" spans="1:3" x14ac:dyDescent="0.15">
      <c r="A511" s="30" t="s">
        <v>4585</v>
      </c>
      <c r="B511" s="30">
        <v>48.71</v>
      </c>
      <c r="C511" s="30">
        <v>48.21</v>
      </c>
    </row>
    <row r="512" spans="1:3" x14ac:dyDescent="0.15">
      <c r="A512" s="30" t="s">
        <v>4586</v>
      </c>
      <c r="B512" s="30">
        <v>12.68</v>
      </c>
      <c r="C512" s="30">
        <v>12.4</v>
      </c>
    </row>
    <row r="513" spans="1:3" x14ac:dyDescent="0.15">
      <c r="A513" s="30" t="s">
        <v>4587</v>
      </c>
      <c r="B513" s="30">
        <v>24.78</v>
      </c>
      <c r="C513" s="30">
        <v>24.68</v>
      </c>
    </row>
    <row r="514" spans="1:3" x14ac:dyDescent="0.15">
      <c r="A514" s="30" t="s">
        <v>602</v>
      </c>
      <c r="B514" s="30">
        <v>9.1999999999999993</v>
      </c>
      <c r="C514" s="30">
        <v>9.18</v>
      </c>
    </row>
    <row r="515" spans="1:3" x14ac:dyDescent="0.15">
      <c r="A515" s="30" t="s">
        <v>2980</v>
      </c>
      <c r="B515" s="30">
        <v>13.45</v>
      </c>
      <c r="C515" s="30">
        <v>13.41</v>
      </c>
    </row>
    <row r="516" spans="1:3" x14ac:dyDescent="0.15">
      <c r="A516" s="30" t="s">
        <v>890</v>
      </c>
      <c r="B516" s="30">
        <v>14.79</v>
      </c>
      <c r="C516" s="30">
        <v>14.92</v>
      </c>
    </row>
    <row r="517" spans="1:3" x14ac:dyDescent="0.15">
      <c r="A517" s="30" t="s">
        <v>530</v>
      </c>
      <c r="B517" s="30">
        <v>13.31</v>
      </c>
      <c r="C517" s="30">
        <v>13.58</v>
      </c>
    </row>
    <row r="518" spans="1:3" x14ac:dyDescent="0.15">
      <c r="A518" s="30" t="s">
        <v>620</v>
      </c>
      <c r="B518" s="30">
        <v>10.11</v>
      </c>
      <c r="C518" s="30">
        <v>9.91</v>
      </c>
    </row>
    <row r="519" spans="1:3" x14ac:dyDescent="0.15">
      <c r="A519" s="30" t="s">
        <v>1000</v>
      </c>
      <c r="B519" s="30">
        <v>12.25</v>
      </c>
      <c r="C519" s="30">
        <v>12.38</v>
      </c>
    </row>
    <row r="520" spans="1:3" x14ac:dyDescent="0.15">
      <c r="A520" s="30" t="s">
        <v>676</v>
      </c>
      <c r="B520" s="30">
        <v>16.100000000000001</v>
      </c>
      <c r="C520" s="30">
        <v>16.100000000000001</v>
      </c>
    </row>
    <row r="521" spans="1:3" x14ac:dyDescent="0.15">
      <c r="A521" s="30" t="s">
        <v>936</v>
      </c>
      <c r="B521" s="30">
        <v>9.8699999999999992</v>
      </c>
      <c r="C521" s="30">
        <v>9.9</v>
      </c>
    </row>
    <row r="522" spans="1:3" x14ac:dyDescent="0.15">
      <c r="A522" s="30" t="s">
        <v>828</v>
      </c>
      <c r="B522" s="30">
        <v>11.77</v>
      </c>
      <c r="C522" s="30">
        <v>11.92</v>
      </c>
    </row>
    <row r="523" spans="1:3" x14ac:dyDescent="0.15">
      <c r="A523" s="30" t="s">
        <v>922</v>
      </c>
      <c r="B523" s="30">
        <v>16.3</v>
      </c>
      <c r="C523" s="30">
        <v>16.34</v>
      </c>
    </row>
    <row r="524" spans="1:3" x14ac:dyDescent="0.15">
      <c r="A524" s="30" t="s">
        <v>2820</v>
      </c>
      <c r="B524" s="30">
        <v>11.38</v>
      </c>
      <c r="C524" s="30">
        <v>11.39</v>
      </c>
    </row>
    <row r="525" spans="1:3" x14ac:dyDescent="0.15">
      <c r="A525" s="30" t="s">
        <v>493</v>
      </c>
      <c r="B525" s="30">
        <v>22.47</v>
      </c>
      <c r="C525" s="30">
        <v>22.47</v>
      </c>
    </row>
    <row r="526" spans="1:3" x14ac:dyDescent="0.15">
      <c r="A526" s="30" t="s">
        <v>4588</v>
      </c>
      <c r="B526" s="30">
        <v>8.23</v>
      </c>
      <c r="C526" s="30">
        <v>8.25</v>
      </c>
    </row>
    <row r="527" spans="1:3" x14ac:dyDescent="0.15">
      <c r="A527" s="30" t="s">
        <v>228</v>
      </c>
      <c r="B527" s="30">
        <v>16.12</v>
      </c>
      <c r="C527" s="30">
        <v>16.12</v>
      </c>
    </row>
    <row r="528" spans="1:3" x14ac:dyDescent="0.15">
      <c r="A528" s="30" t="s">
        <v>230</v>
      </c>
      <c r="B528" s="30">
        <v>30</v>
      </c>
      <c r="C528" s="30">
        <v>29.75</v>
      </c>
    </row>
    <row r="529" spans="1:3" x14ac:dyDescent="0.15">
      <c r="A529" s="30" t="s">
        <v>4589</v>
      </c>
      <c r="B529" s="30">
        <v>13.02</v>
      </c>
      <c r="C529" s="30">
        <v>13.25</v>
      </c>
    </row>
    <row r="530" spans="1:3" x14ac:dyDescent="0.15">
      <c r="A530" s="30" t="s">
        <v>2832</v>
      </c>
      <c r="B530" s="30">
        <v>15.49</v>
      </c>
      <c r="C530" s="30">
        <v>15.69</v>
      </c>
    </row>
    <row r="531" spans="1:3" x14ac:dyDescent="0.15">
      <c r="A531" s="30" t="s">
        <v>3224</v>
      </c>
      <c r="B531" s="30">
        <v>8.99</v>
      </c>
      <c r="C531" s="30">
        <v>9.1</v>
      </c>
    </row>
    <row r="532" spans="1:3" x14ac:dyDescent="0.15">
      <c r="A532" s="30" t="s">
        <v>4590</v>
      </c>
      <c r="B532" s="30">
        <v>7.53</v>
      </c>
      <c r="C532" s="30">
        <v>7.73</v>
      </c>
    </row>
    <row r="533" spans="1:3" x14ac:dyDescent="0.15">
      <c r="A533" s="30" t="s">
        <v>359</v>
      </c>
      <c r="B533" s="30">
        <v>14.26</v>
      </c>
      <c r="C533" s="30">
        <v>14.53</v>
      </c>
    </row>
    <row r="534" spans="1:3" x14ac:dyDescent="0.15">
      <c r="A534" s="30" t="s">
        <v>3014</v>
      </c>
      <c r="B534" s="30">
        <v>12.55</v>
      </c>
      <c r="C534" s="30">
        <v>12.73</v>
      </c>
    </row>
    <row r="535" spans="1:3" x14ac:dyDescent="0.15">
      <c r="A535" s="30" t="s">
        <v>630</v>
      </c>
      <c r="B535" s="30">
        <v>4</v>
      </c>
      <c r="C535" s="30">
        <v>4.0199999999999996</v>
      </c>
    </row>
    <row r="536" spans="1:3" x14ac:dyDescent="0.15">
      <c r="A536" s="30" t="s">
        <v>4591</v>
      </c>
      <c r="B536" s="30">
        <v>9.92</v>
      </c>
      <c r="C536" s="30">
        <v>10.050000000000001</v>
      </c>
    </row>
    <row r="537" spans="1:3" x14ac:dyDescent="0.15">
      <c r="A537" s="30" t="s">
        <v>702</v>
      </c>
      <c r="B537" s="30">
        <v>14.12</v>
      </c>
      <c r="C537" s="30">
        <v>14.1</v>
      </c>
    </row>
    <row r="538" spans="1:3" x14ac:dyDescent="0.15">
      <c r="A538" s="30" t="s">
        <v>4592</v>
      </c>
      <c r="B538" s="30">
        <v>28.19</v>
      </c>
      <c r="C538" s="30">
        <v>27.68</v>
      </c>
    </row>
    <row r="539" spans="1:3" x14ac:dyDescent="0.15">
      <c r="A539" s="30" t="s">
        <v>216</v>
      </c>
      <c r="B539" s="30">
        <v>17.559999999999999</v>
      </c>
      <c r="C539" s="30">
        <v>17.75</v>
      </c>
    </row>
    <row r="540" spans="1:3" x14ac:dyDescent="0.15">
      <c r="A540" s="30" t="s">
        <v>3358</v>
      </c>
      <c r="B540" s="30">
        <v>9.39</v>
      </c>
      <c r="C540" s="30">
        <v>9.33</v>
      </c>
    </row>
    <row r="541" spans="1:3" x14ac:dyDescent="0.15">
      <c r="A541" s="30" t="s">
        <v>451</v>
      </c>
      <c r="B541" s="30">
        <v>16.309999999999999</v>
      </c>
      <c r="C541" s="30">
        <v>16.440000000000001</v>
      </c>
    </row>
    <row r="542" spans="1:3" x14ac:dyDescent="0.15">
      <c r="A542" s="30" t="s">
        <v>3112</v>
      </c>
      <c r="B542" s="30">
        <v>9.6300000000000008</v>
      </c>
      <c r="C542" s="30">
        <v>9.58</v>
      </c>
    </row>
    <row r="543" spans="1:3" x14ac:dyDescent="0.15">
      <c r="A543" s="30" t="s">
        <v>4593</v>
      </c>
      <c r="B543" s="30">
        <v>10.26</v>
      </c>
      <c r="C543" s="30">
        <v>10.24</v>
      </c>
    </row>
    <row r="544" spans="1:3" x14ac:dyDescent="0.15">
      <c r="A544" s="30" t="s">
        <v>4594</v>
      </c>
      <c r="B544" s="30">
        <v>26.2</v>
      </c>
      <c r="C544" s="30">
        <v>26.55</v>
      </c>
    </row>
    <row r="545" spans="1:3" x14ac:dyDescent="0.15">
      <c r="A545" s="30" t="s">
        <v>1068</v>
      </c>
      <c r="B545" s="30">
        <v>18.989999999999998</v>
      </c>
      <c r="C545" s="30">
        <v>18.75</v>
      </c>
    </row>
    <row r="546" spans="1:3" x14ac:dyDescent="0.15">
      <c r="A546" s="30" t="s">
        <v>968</v>
      </c>
      <c r="B546" s="30">
        <v>9.3800000000000008</v>
      </c>
      <c r="C546" s="30">
        <v>9.44</v>
      </c>
    </row>
    <row r="547" spans="1:3" x14ac:dyDescent="0.15">
      <c r="A547" s="30" t="s">
        <v>341</v>
      </c>
      <c r="B547" s="30">
        <v>13.77</v>
      </c>
      <c r="C547" s="30">
        <v>13.94</v>
      </c>
    </row>
    <row r="548" spans="1:3" x14ac:dyDescent="0.15">
      <c r="A548" s="30" t="s">
        <v>4595</v>
      </c>
      <c r="B548" s="30">
        <v>10.07</v>
      </c>
      <c r="C548" s="30">
        <v>10.050000000000001</v>
      </c>
    </row>
    <row r="549" spans="1:3" x14ac:dyDescent="0.15">
      <c r="A549" s="30" t="s">
        <v>648</v>
      </c>
      <c r="B549" s="30">
        <v>9.8699999999999992</v>
      </c>
      <c r="C549" s="30">
        <v>9.9499999999999993</v>
      </c>
    </row>
    <row r="550" spans="1:3" x14ac:dyDescent="0.15">
      <c r="A550" s="30" t="s">
        <v>3078</v>
      </c>
      <c r="B550" s="30">
        <v>14.69</v>
      </c>
      <c r="C550" s="30">
        <v>14.67</v>
      </c>
    </row>
    <row r="551" spans="1:3" x14ac:dyDescent="0.15">
      <c r="A551" s="30" t="s">
        <v>431</v>
      </c>
      <c r="B551" s="30">
        <v>12.92</v>
      </c>
      <c r="C551" s="30">
        <v>12.78</v>
      </c>
    </row>
    <row r="552" spans="1:3" x14ac:dyDescent="0.15">
      <c r="A552" s="30" t="s">
        <v>347</v>
      </c>
      <c r="B552" s="30">
        <v>10.99</v>
      </c>
      <c r="C552" s="30">
        <v>11.15</v>
      </c>
    </row>
    <row r="553" spans="1:3" x14ac:dyDescent="0.15">
      <c r="A553" s="30" t="s">
        <v>758</v>
      </c>
      <c r="B553" s="30">
        <v>10.84</v>
      </c>
      <c r="C553" s="30">
        <v>10.9</v>
      </c>
    </row>
    <row r="554" spans="1:3" x14ac:dyDescent="0.15">
      <c r="A554" s="30" t="s">
        <v>4596</v>
      </c>
      <c r="B554" s="30">
        <v>15.19</v>
      </c>
      <c r="C554" s="30">
        <v>15.42</v>
      </c>
    </row>
    <row r="555" spans="1:3" x14ac:dyDescent="0.15">
      <c r="A555" s="30" t="s">
        <v>303</v>
      </c>
      <c r="B555" s="30">
        <v>20.3</v>
      </c>
      <c r="C555" s="30">
        <v>20.28</v>
      </c>
    </row>
    <row r="556" spans="1:3" x14ac:dyDescent="0.15">
      <c r="A556" s="30" t="s">
        <v>714</v>
      </c>
      <c r="B556" s="30">
        <v>16.11</v>
      </c>
      <c r="C556" s="30">
        <v>16.07</v>
      </c>
    </row>
    <row r="557" spans="1:3" x14ac:dyDescent="0.15">
      <c r="A557" s="30" t="s">
        <v>4597</v>
      </c>
      <c r="B557" s="30">
        <v>8.69</v>
      </c>
      <c r="C557" s="30">
        <v>8.69</v>
      </c>
    </row>
    <row r="558" spans="1:3" x14ac:dyDescent="0.15">
      <c r="A558" s="30" t="s">
        <v>178</v>
      </c>
      <c r="B558" s="30">
        <v>12.4</v>
      </c>
      <c r="C558" s="30">
        <v>12.39</v>
      </c>
    </row>
    <row r="559" spans="1:3" x14ac:dyDescent="0.15">
      <c r="A559" s="30" t="s">
        <v>465</v>
      </c>
      <c r="B559" s="30">
        <v>16.59</v>
      </c>
      <c r="C559" s="30">
        <v>16.52</v>
      </c>
    </row>
    <row r="560" spans="1:3" x14ac:dyDescent="0.15">
      <c r="A560" s="30" t="s">
        <v>690</v>
      </c>
      <c r="B560" s="30">
        <v>55.26</v>
      </c>
      <c r="C560" s="30">
        <v>53.7</v>
      </c>
    </row>
    <row r="561" spans="1:3" x14ac:dyDescent="0.15">
      <c r="A561" s="30" t="s">
        <v>2746</v>
      </c>
      <c r="B561" s="30">
        <v>6.06</v>
      </c>
      <c r="C561" s="30">
        <v>6.1</v>
      </c>
    </row>
    <row r="562" spans="1:3" x14ac:dyDescent="0.15">
      <c r="A562" s="30" t="s">
        <v>2770</v>
      </c>
      <c r="B562" s="30">
        <v>3.59</v>
      </c>
      <c r="C562" s="30">
        <v>3.57</v>
      </c>
    </row>
    <row r="563" spans="1:3" x14ac:dyDescent="0.15">
      <c r="A563" s="30" t="s">
        <v>3174</v>
      </c>
      <c r="B563" s="30">
        <v>25.51</v>
      </c>
      <c r="C563" s="30">
        <v>25.47</v>
      </c>
    </row>
    <row r="564" spans="1:3" x14ac:dyDescent="0.15">
      <c r="A564" s="30" t="s">
        <v>826</v>
      </c>
      <c r="B564" s="30">
        <v>8.1300000000000008</v>
      </c>
      <c r="C564" s="30">
        <v>8.15</v>
      </c>
    </row>
    <row r="565" spans="1:3" x14ac:dyDescent="0.15">
      <c r="A565" s="30" t="s">
        <v>4598</v>
      </c>
      <c r="B565" s="30">
        <v>14.85</v>
      </c>
      <c r="C565" s="30">
        <v>15.2</v>
      </c>
    </row>
    <row r="566" spans="1:3" x14ac:dyDescent="0.15">
      <c r="A566" s="30" t="s">
        <v>680</v>
      </c>
      <c r="B566" s="30">
        <v>14.13</v>
      </c>
      <c r="C566" s="30">
        <v>14.3</v>
      </c>
    </row>
    <row r="567" spans="1:3" x14ac:dyDescent="0.15">
      <c r="A567" s="30" t="s">
        <v>784</v>
      </c>
      <c r="B567" s="30">
        <v>28.53</v>
      </c>
      <c r="C567" s="30">
        <v>28.17</v>
      </c>
    </row>
    <row r="568" spans="1:3" x14ac:dyDescent="0.15">
      <c r="A568" s="30" t="s">
        <v>4599</v>
      </c>
      <c r="B568" s="30">
        <v>8.67</v>
      </c>
      <c r="C568" s="30">
        <v>8.66</v>
      </c>
    </row>
    <row r="569" spans="1:3" x14ac:dyDescent="0.15">
      <c r="A569" s="30" t="s">
        <v>501</v>
      </c>
      <c r="B569" s="30">
        <v>30.47</v>
      </c>
      <c r="C569" s="30">
        <v>29.6</v>
      </c>
    </row>
    <row r="570" spans="1:3" x14ac:dyDescent="0.15">
      <c r="A570" s="30" t="s">
        <v>2758</v>
      </c>
      <c r="B570" s="30">
        <v>18.059999999999999</v>
      </c>
      <c r="C570" s="30">
        <v>18</v>
      </c>
    </row>
    <row r="571" spans="1:3" x14ac:dyDescent="0.15">
      <c r="A571" s="30" t="s">
        <v>732</v>
      </c>
      <c r="B571" s="30">
        <v>12.16</v>
      </c>
      <c r="C571" s="30">
        <v>12.04</v>
      </c>
    </row>
    <row r="572" spans="1:3" x14ac:dyDescent="0.15">
      <c r="A572" s="30" t="s">
        <v>4600</v>
      </c>
      <c r="B572" s="30">
        <v>15.8</v>
      </c>
      <c r="C572" s="30">
        <v>16.2</v>
      </c>
    </row>
    <row r="573" spans="1:3" x14ac:dyDescent="0.15">
      <c r="A573" s="30" t="s">
        <v>2916</v>
      </c>
      <c r="B573" s="30">
        <v>9.07</v>
      </c>
      <c r="C573" s="30">
        <v>9.0399999999999991</v>
      </c>
    </row>
    <row r="574" spans="1:3" x14ac:dyDescent="0.15">
      <c r="A574" s="30" t="s">
        <v>3418</v>
      </c>
      <c r="B574" s="30">
        <v>25.19</v>
      </c>
      <c r="C574" s="30">
        <v>25.64</v>
      </c>
    </row>
    <row r="575" spans="1:3" x14ac:dyDescent="0.15">
      <c r="A575" s="30" t="s">
        <v>652</v>
      </c>
      <c r="B575" s="30">
        <v>9.27</v>
      </c>
      <c r="C575" s="30">
        <v>9.27</v>
      </c>
    </row>
    <row r="576" spans="1:3" x14ac:dyDescent="0.15">
      <c r="A576" s="30" t="s">
        <v>1008</v>
      </c>
      <c r="B576" s="30">
        <v>8.3800000000000008</v>
      </c>
      <c r="C576" s="30">
        <v>8.5</v>
      </c>
    </row>
    <row r="577" spans="1:3" x14ac:dyDescent="0.15">
      <c r="A577" s="30" t="s">
        <v>4601</v>
      </c>
      <c r="B577" s="30">
        <v>9.7799999999999994</v>
      </c>
      <c r="C577" s="30">
        <v>9.74</v>
      </c>
    </row>
    <row r="578" spans="1:3" x14ac:dyDescent="0.15">
      <c r="A578" s="30" t="s">
        <v>2982</v>
      </c>
      <c r="B578" s="30">
        <v>10.72</v>
      </c>
      <c r="C578" s="30">
        <v>10.86</v>
      </c>
    </row>
    <row r="579" spans="1:3" x14ac:dyDescent="0.15">
      <c r="A579" s="30" t="s">
        <v>3408</v>
      </c>
      <c r="B579" s="30">
        <v>30.51</v>
      </c>
      <c r="C579" s="30">
        <v>28.49</v>
      </c>
    </row>
    <row r="580" spans="1:3" x14ac:dyDescent="0.15">
      <c r="A580" s="30" t="s">
        <v>2932</v>
      </c>
      <c r="B580" s="30">
        <v>18.96</v>
      </c>
      <c r="C580" s="30">
        <v>19.11</v>
      </c>
    </row>
    <row r="581" spans="1:3" x14ac:dyDescent="0.15">
      <c r="A581" s="30" t="s">
        <v>515</v>
      </c>
      <c r="B581" s="30">
        <v>37.200000000000003</v>
      </c>
      <c r="C581" s="30">
        <v>36.950000000000003</v>
      </c>
    </row>
    <row r="582" spans="1:3" x14ac:dyDescent="0.15">
      <c r="A582" s="30" t="s">
        <v>4602</v>
      </c>
      <c r="B582" s="30">
        <v>29.94</v>
      </c>
      <c r="C582" s="30">
        <v>28.89</v>
      </c>
    </row>
    <row r="583" spans="1:3" x14ac:dyDescent="0.15">
      <c r="A583" s="30" t="s">
        <v>624</v>
      </c>
      <c r="B583" s="30">
        <v>42.03</v>
      </c>
      <c r="C583" s="30">
        <v>41.35</v>
      </c>
    </row>
    <row r="584" spans="1:3" x14ac:dyDescent="0.15">
      <c r="A584" s="30" t="s">
        <v>950</v>
      </c>
      <c r="B584" s="30">
        <v>24.16</v>
      </c>
      <c r="C584" s="30">
        <v>24.16</v>
      </c>
    </row>
    <row r="585" spans="1:3" x14ac:dyDescent="0.15">
      <c r="A585" s="30" t="s">
        <v>371</v>
      </c>
      <c r="B585" s="30">
        <v>11.76</v>
      </c>
      <c r="C585" s="30">
        <v>11.64</v>
      </c>
    </row>
    <row r="586" spans="1:3" x14ac:dyDescent="0.15">
      <c r="A586" s="30" t="s">
        <v>174</v>
      </c>
      <c r="B586" s="30">
        <v>34.520000000000003</v>
      </c>
      <c r="C586" s="30">
        <v>35.21</v>
      </c>
    </row>
    <row r="587" spans="1:3" x14ac:dyDescent="0.15">
      <c r="A587" s="30" t="s">
        <v>160</v>
      </c>
      <c r="B587" s="30">
        <v>12.94</v>
      </c>
      <c r="C587" s="30">
        <v>13.08</v>
      </c>
    </row>
    <row r="588" spans="1:3" x14ac:dyDescent="0.15">
      <c r="A588" s="30" t="s">
        <v>934</v>
      </c>
      <c r="B588" s="30">
        <v>7.95</v>
      </c>
      <c r="C588" s="30">
        <v>7.99</v>
      </c>
    </row>
    <row r="589" spans="1:3" x14ac:dyDescent="0.15">
      <c r="A589" s="30" t="s">
        <v>746</v>
      </c>
      <c r="B589" s="30">
        <v>9.64</v>
      </c>
      <c r="C589" s="30">
        <v>9.33</v>
      </c>
    </row>
    <row r="590" spans="1:3" x14ac:dyDescent="0.15">
      <c r="A590" s="30" t="s">
        <v>3058</v>
      </c>
      <c r="B590" s="30">
        <v>19</v>
      </c>
      <c r="C590" s="30">
        <v>18.45</v>
      </c>
    </row>
    <row r="591" spans="1:3" x14ac:dyDescent="0.15">
      <c r="A591" s="30" t="s">
        <v>3382</v>
      </c>
      <c r="B591" s="30">
        <v>12.53</v>
      </c>
      <c r="C591" s="30">
        <v>12.59</v>
      </c>
    </row>
    <row r="592" spans="1:3" x14ac:dyDescent="0.15">
      <c r="A592" s="30" t="s">
        <v>4603</v>
      </c>
      <c r="B592" s="30">
        <v>20.89</v>
      </c>
      <c r="C592" s="30">
        <v>19.600000000000001</v>
      </c>
    </row>
    <row r="593" spans="1:3" x14ac:dyDescent="0.15">
      <c r="A593" s="30" t="s">
        <v>820</v>
      </c>
      <c r="B593" s="30">
        <v>13.19</v>
      </c>
      <c r="C593" s="30">
        <v>13.19</v>
      </c>
    </row>
    <row r="594" spans="1:3" x14ac:dyDescent="0.15">
      <c r="A594" s="30" t="s">
        <v>3168</v>
      </c>
      <c r="B594" s="30">
        <v>29.4</v>
      </c>
      <c r="C594" s="30">
        <v>27.99</v>
      </c>
    </row>
    <row r="595" spans="1:3" x14ac:dyDescent="0.15">
      <c r="A595" s="30" t="s">
        <v>260</v>
      </c>
      <c r="B595" s="30">
        <v>20.97</v>
      </c>
      <c r="C595" s="30">
        <v>20.36</v>
      </c>
    </row>
    <row r="596" spans="1:3" x14ac:dyDescent="0.15">
      <c r="A596" s="30" t="s">
        <v>4604</v>
      </c>
      <c r="B596" s="30">
        <v>41.9</v>
      </c>
      <c r="C596" s="30">
        <v>42.35</v>
      </c>
    </row>
    <row r="597" spans="1:3" x14ac:dyDescent="0.15">
      <c r="A597" s="30" t="s">
        <v>389</v>
      </c>
      <c r="B597" s="30">
        <v>19.61</v>
      </c>
      <c r="C597" s="30">
        <v>19.510000000000002</v>
      </c>
    </row>
    <row r="598" spans="1:3" x14ac:dyDescent="0.15">
      <c r="A598" s="30" t="s">
        <v>3102</v>
      </c>
      <c r="B598" s="30">
        <v>14.26</v>
      </c>
      <c r="C598" s="30">
        <v>14.09</v>
      </c>
    </row>
    <row r="599" spans="1:3" x14ac:dyDescent="0.15">
      <c r="A599" s="30" t="s">
        <v>2950</v>
      </c>
      <c r="B599" s="30">
        <v>13.55</v>
      </c>
      <c r="C599" s="30">
        <v>13.32</v>
      </c>
    </row>
    <row r="600" spans="1:3" x14ac:dyDescent="0.15">
      <c r="A600" s="30" t="s">
        <v>4605</v>
      </c>
      <c r="B600" s="30">
        <v>16.59</v>
      </c>
      <c r="C600" s="30">
        <v>16.190000000000001</v>
      </c>
    </row>
    <row r="601" spans="1:3" x14ac:dyDescent="0.15">
      <c r="A601" s="30" t="s">
        <v>944</v>
      </c>
      <c r="B601" s="30">
        <v>40.799999999999997</v>
      </c>
      <c r="C601" s="30">
        <v>40.6</v>
      </c>
    </row>
    <row r="602" spans="1:3" x14ac:dyDescent="0.15">
      <c r="A602" s="30" t="s">
        <v>3218</v>
      </c>
      <c r="B602" s="30">
        <v>26.48</v>
      </c>
      <c r="C602" s="30">
        <v>26.43</v>
      </c>
    </row>
    <row r="603" spans="1:3" x14ac:dyDescent="0.15">
      <c r="A603" s="30" t="s">
        <v>604</v>
      </c>
      <c r="B603" s="30">
        <v>7.55</v>
      </c>
      <c r="C603" s="30">
        <v>7.26</v>
      </c>
    </row>
    <row r="604" spans="1:3" x14ac:dyDescent="0.15">
      <c r="A604" s="30" t="s">
        <v>4606</v>
      </c>
      <c r="B604" s="30">
        <v>8.11</v>
      </c>
      <c r="C604" s="30">
        <v>7.94</v>
      </c>
    </row>
    <row r="605" spans="1:3" x14ac:dyDescent="0.15">
      <c r="A605" s="30" t="s">
        <v>924</v>
      </c>
      <c r="B605" s="30">
        <v>4.87</v>
      </c>
      <c r="C605" s="30">
        <v>4.92</v>
      </c>
    </row>
    <row r="606" spans="1:3" x14ac:dyDescent="0.15">
      <c r="A606" s="30" t="s">
        <v>381</v>
      </c>
      <c r="B606" s="30">
        <v>11.46</v>
      </c>
      <c r="C606" s="30">
        <v>11.46</v>
      </c>
    </row>
    <row r="607" spans="1:3" x14ac:dyDescent="0.15">
      <c r="A607" s="30" t="s">
        <v>628</v>
      </c>
      <c r="B607" s="30">
        <v>28.73</v>
      </c>
      <c r="C607" s="30">
        <v>26.85</v>
      </c>
    </row>
    <row r="608" spans="1:3" x14ac:dyDescent="0.15">
      <c r="A608" s="30" t="s">
        <v>4607</v>
      </c>
      <c r="B608" s="30">
        <v>18.38</v>
      </c>
      <c r="C608" s="30">
        <v>18.12</v>
      </c>
    </row>
    <row r="609" spans="1:3" x14ac:dyDescent="0.15">
      <c r="A609" s="30" t="s">
        <v>4608</v>
      </c>
      <c r="B609" s="30">
        <v>4.9000000000000004</v>
      </c>
      <c r="C609" s="30">
        <v>4.79</v>
      </c>
    </row>
    <row r="610" spans="1:3" x14ac:dyDescent="0.15">
      <c r="A610" s="30" t="s">
        <v>744</v>
      </c>
      <c r="B610" s="30">
        <v>58</v>
      </c>
      <c r="C610" s="30">
        <v>57.82</v>
      </c>
    </row>
    <row r="611" spans="1:3" x14ac:dyDescent="0.15">
      <c r="A611" s="30" t="s">
        <v>3534</v>
      </c>
      <c r="B611" s="30">
        <v>19.62</v>
      </c>
      <c r="C611" s="30">
        <v>19.62</v>
      </c>
    </row>
    <row r="612" spans="1:3" x14ac:dyDescent="0.15">
      <c r="A612" s="30" t="s">
        <v>4609</v>
      </c>
      <c r="B612" s="30">
        <v>68.540000000000006</v>
      </c>
      <c r="C612" s="30">
        <v>69.2</v>
      </c>
    </row>
    <row r="613" spans="1:3" x14ac:dyDescent="0.15">
      <c r="A613" s="30" t="s">
        <v>4610</v>
      </c>
      <c r="B613" s="30">
        <v>16.579999999999998</v>
      </c>
      <c r="C613" s="30">
        <v>16.27</v>
      </c>
    </row>
    <row r="614" spans="1:3" x14ac:dyDescent="0.15">
      <c r="A614" s="30" t="s">
        <v>562</v>
      </c>
      <c r="B614" s="30">
        <v>36.74</v>
      </c>
      <c r="C614" s="30">
        <v>37.229999999999997</v>
      </c>
    </row>
    <row r="615" spans="1:3" x14ac:dyDescent="0.15">
      <c r="A615" s="30" t="s">
        <v>572</v>
      </c>
      <c r="B615" s="30">
        <v>27.5</v>
      </c>
      <c r="C615" s="30">
        <v>27.2</v>
      </c>
    </row>
    <row r="616" spans="1:3" x14ac:dyDescent="0.15">
      <c r="A616" s="30" t="s">
        <v>3098</v>
      </c>
      <c r="B616" s="30">
        <v>3.03</v>
      </c>
      <c r="C616" s="30">
        <v>3.06</v>
      </c>
    </row>
    <row r="617" spans="1:3" x14ac:dyDescent="0.15">
      <c r="A617" s="30" t="s">
        <v>812</v>
      </c>
      <c r="B617" s="30">
        <v>5.18</v>
      </c>
      <c r="C617" s="30">
        <v>5.18</v>
      </c>
    </row>
    <row r="618" spans="1:3" x14ac:dyDescent="0.15">
      <c r="A618" s="30" t="s">
        <v>736</v>
      </c>
      <c r="B618" s="30">
        <v>6.32</v>
      </c>
      <c r="C618" s="30">
        <v>6.48</v>
      </c>
    </row>
    <row r="619" spans="1:3" x14ac:dyDescent="0.15">
      <c r="A619" s="30" t="s">
        <v>4611</v>
      </c>
      <c r="B619" s="30">
        <v>9.65</v>
      </c>
      <c r="C619" s="30">
        <v>9.56</v>
      </c>
    </row>
    <row r="620" spans="1:3" x14ac:dyDescent="0.15">
      <c r="A620" s="30" t="s">
        <v>4612</v>
      </c>
      <c r="B620" s="30">
        <v>8.4600000000000009</v>
      </c>
      <c r="C620" s="30">
        <v>8.57</v>
      </c>
    </row>
    <row r="621" spans="1:3" x14ac:dyDescent="0.15">
      <c r="A621" s="30" t="s">
        <v>164</v>
      </c>
      <c r="B621" s="30">
        <v>29.99</v>
      </c>
      <c r="C621" s="30">
        <v>30.21</v>
      </c>
    </row>
    <row r="622" spans="1:3" x14ac:dyDescent="0.15">
      <c r="A622" s="30" t="s">
        <v>2808</v>
      </c>
      <c r="B622" s="30">
        <v>11.46</v>
      </c>
      <c r="C622" s="30">
        <v>11.06</v>
      </c>
    </row>
    <row r="623" spans="1:3" x14ac:dyDescent="0.15">
      <c r="A623" s="30" t="s">
        <v>2912</v>
      </c>
      <c r="B623" s="30">
        <v>10.95</v>
      </c>
      <c r="C623" s="30">
        <v>10.8</v>
      </c>
    </row>
    <row r="624" spans="1:3" x14ac:dyDescent="0.15">
      <c r="A624" s="30" t="s">
        <v>3326</v>
      </c>
      <c r="B624" s="30">
        <v>15.86</v>
      </c>
      <c r="C624" s="30">
        <v>16.12</v>
      </c>
    </row>
    <row r="625" spans="1:3" x14ac:dyDescent="0.15">
      <c r="A625" s="30" t="s">
        <v>4613</v>
      </c>
      <c r="B625" s="30">
        <v>6.16</v>
      </c>
      <c r="C625" s="30">
        <v>6.15</v>
      </c>
    </row>
    <row r="626" spans="1:3" x14ac:dyDescent="0.15">
      <c r="A626" s="30" t="s">
        <v>4614</v>
      </c>
      <c r="B626" s="30">
        <v>7.72</v>
      </c>
      <c r="C626" s="30">
        <v>7.68</v>
      </c>
    </row>
    <row r="627" spans="1:3" x14ac:dyDescent="0.15">
      <c r="A627" s="30" t="s">
        <v>2842</v>
      </c>
      <c r="B627" s="30">
        <v>10.28</v>
      </c>
      <c r="C627" s="30">
        <v>10.31</v>
      </c>
    </row>
    <row r="628" spans="1:3" x14ac:dyDescent="0.15">
      <c r="A628" s="30" t="s">
        <v>275</v>
      </c>
      <c r="B628" s="30">
        <v>43.84</v>
      </c>
      <c r="C628" s="30">
        <v>42.69</v>
      </c>
    </row>
    <row r="629" spans="1:3" x14ac:dyDescent="0.15">
      <c r="A629" s="30" t="s">
        <v>337</v>
      </c>
      <c r="B629" s="30">
        <v>6.07</v>
      </c>
      <c r="C629" s="30">
        <v>6.16</v>
      </c>
    </row>
    <row r="630" spans="1:3" x14ac:dyDescent="0.15">
      <c r="A630" s="30" t="s">
        <v>355</v>
      </c>
      <c r="B630" s="30">
        <v>14.77</v>
      </c>
      <c r="C630" s="30">
        <v>15</v>
      </c>
    </row>
    <row r="631" spans="1:3" x14ac:dyDescent="0.15">
      <c r="A631" s="30" t="s">
        <v>824</v>
      </c>
      <c r="B631" s="30">
        <v>14.02</v>
      </c>
      <c r="C631" s="30">
        <v>14.17</v>
      </c>
    </row>
    <row r="632" spans="1:3" x14ac:dyDescent="0.15">
      <c r="A632" s="30" t="s">
        <v>4615</v>
      </c>
      <c r="B632" s="30">
        <v>23.4</v>
      </c>
      <c r="C632" s="30">
        <v>22.89</v>
      </c>
    </row>
    <row r="633" spans="1:3" x14ac:dyDescent="0.15">
      <c r="A633" s="30" t="s">
        <v>4616</v>
      </c>
      <c r="B633" s="30">
        <v>49.12</v>
      </c>
      <c r="C633" s="30">
        <v>50.51</v>
      </c>
    </row>
    <row r="634" spans="1:3" x14ac:dyDescent="0.15">
      <c r="A634" s="30" t="s">
        <v>666</v>
      </c>
      <c r="B634" s="30">
        <v>8.6199999999999992</v>
      </c>
      <c r="C634" s="30">
        <v>8.8800000000000008</v>
      </c>
    </row>
    <row r="635" spans="1:3" x14ac:dyDescent="0.15">
      <c r="A635" s="30" t="s">
        <v>393</v>
      </c>
      <c r="B635" s="30">
        <v>54.8</v>
      </c>
      <c r="C635" s="30">
        <v>53.97</v>
      </c>
    </row>
    <row r="636" spans="1:3" x14ac:dyDescent="0.15">
      <c r="A636" s="30" t="s">
        <v>3006</v>
      </c>
      <c r="B636" s="30">
        <v>2.8</v>
      </c>
      <c r="C636" s="30">
        <v>2.82</v>
      </c>
    </row>
    <row r="637" spans="1:3" x14ac:dyDescent="0.15">
      <c r="A637" s="30" t="s">
        <v>4617</v>
      </c>
      <c r="B637" s="30">
        <v>15.23</v>
      </c>
      <c r="C637" s="30">
        <v>15.68</v>
      </c>
    </row>
    <row r="638" spans="1:3" x14ac:dyDescent="0.15">
      <c r="A638" s="30" t="s">
        <v>335</v>
      </c>
      <c r="B638" s="30">
        <v>6.5</v>
      </c>
      <c r="C638" s="30">
        <v>6.52</v>
      </c>
    </row>
    <row r="639" spans="1:3" x14ac:dyDescent="0.15">
      <c r="A639" s="30" t="s">
        <v>546</v>
      </c>
      <c r="B639" s="30">
        <v>6.2</v>
      </c>
      <c r="C639" s="30">
        <v>6.19</v>
      </c>
    </row>
    <row r="640" spans="1:3" x14ac:dyDescent="0.15">
      <c r="A640" s="30" t="s">
        <v>996</v>
      </c>
      <c r="B640" s="30">
        <v>12.93</v>
      </c>
      <c r="C640" s="30">
        <v>12.92</v>
      </c>
    </row>
    <row r="641" spans="1:3" x14ac:dyDescent="0.15">
      <c r="A641" s="30" t="s">
        <v>806</v>
      </c>
      <c r="B641" s="30">
        <v>3.46</v>
      </c>
      <c r="C641" s="30">
        <v>3.44</v>
      </c>
    </row>
    <row r="642" spans="1:3" x14ac:dyDescent="0.15">
      <c r="A642" s="30" t="s">
        <v>3322</v>
      </c>
      <c r="B642" s="30">
        <v>15.57</v>
      </c>
      <c r="C642" s="30">
        <v>15.77</v>
      </c>
    </row>
    <row r="643" spans="1:3" x14ac:dyDescent="0.15">
      <c r="A643" s="30" t="s">
        <v>3254</v>
      </c>
      <c r="B643" s="30">
        <v>37.42</v>
      </c>
      <c r="C643" s="30">
        <v>37.35</v>
      </c>
    </row>
    <row r="644" spans="1:3" x14ac:dyDescent="0.15">
      <c r="A644" s="30" t="s">
        <v>4618</v>
      </c>
      <c r="B644" s="30">
        <v>14.06</v>
      </c>
      <c r="C644" s="30">
        <v>13.94</v>
      </c>
    </row>
    <row r="645" spans="1:3" x14ac:dyDescent="0.15">
      <c r="A645" s="30" t="s">
        <v>3364</v>
      </c>
      <c r="B645" s="30">
        <v>11.24</v>
      </c>
      <c r="C645" s="30">
        <v>11.14</v>
      </c>
    </row>
    <row r="646" spans="1:3" x14ac:dyDescent="0.15">
      <c r="A646" s="30" t="s">
        <v>156</v>
      </c>
      <c r="B646" s="30">
        <v>3.41</v>
      </c>
      <c r="C646" s="30">
        <v>3.45</v>
      </c>
    </row>
    <row r="647" spans="1:3" x14ac:dyDescent="0.15">
      <c r="A647" s="30" t="s">
        <v>158</v>
      </c>
      <c r="B647" s="30">
        <v>2.93</v>
      </c>
      <c r="C647" s="30">
        <v>2.96</v>
      </c>
    </row>
    <row r="648" spans="1:3" x14ac:dyDescent="0.15">
      <c r="A648" s="30" t="s">
        <v>4619</v>
      </c>
      <c r="B648" s="30">
        <v>13.48</v>
      </c>
      <c r="C648" s="30">
        <v>13.39</v>
      </c>
    </row>
    <row r="649" spans="1:3" x14ac:dyDescent="0.15">
      <c r="A649" s="30" t="s">
        <v>876</v>
      </c>
      <c r="B649" s="30">
        <v>5.83</v>
      </c>
      <c r="C649" s="30">
        <v>5.91</v>
      </c>
    </row>
    <row r="650" spans="1:3" x14ac:dyDescent="0.15">
      <c r="A650" s="30" t="s">
        <v>4620</v>
      </c>
      <c r="B650" s="30">
        <v>127.7</v>
      </c>
      <c r="C650" s="30">
        <v>126.49</v>
      </c>
    </row>
    <row r="651" spans="1:3" x14ac:dyDescent="0.15">
      <c r="A651" s="30" t="s">
        <v>166</v>
      </c>
      <c r="B651" s="30">
        <v>3.7</v>
      </c>
      <c r="C651" s="30">
        <v>3.73</v>
      </c>
    </row>
    <row r="652" spans="1:3" x14ac:dyDescent="0.15">
      <c r="A652" s="30" t="s">
        <v>4621</v>
      </c>
      <c r="B652" s="30">
        <v>12.27</v>
      </c>
      <c r="C652" s="30">
        <v>12.15</v>
      </c>
    </row>
    <row r="653" spans="1:3" x14ac:dyDescent="0.15">
      <c r="A653" s="30" t="s">
        <v>814</v>
      </c>
      <c r="B653" s="30">
        <v>18.64</v>
      </c>
      <c r="C653" s="30">
        <v>18.3</v>
      </c>
    </row>
    <row r="654" spans="1:3" x14ac:dyDescent="0.15">
      <c r="A654" s="30" t="s">
        <v>948</v>
      </c>
      <c r="B654" s="30">
        <v>30.14</v>
      </c>
      <c r="C654" s="30">
        <v>29.22</v>
      </c>
    </row>
    <row r="655" spans="1:3" x14ac:dyDescent="0.15">
      <c r="A655" s="30" t="s">
        <v>2774</v>
      </c>
      <c r="B655" s="30">
        <v>15.7</v>
      </c>
      <c r="C655" s="30">
        <v>16.07</v>
      </c>
    </row>
    <row r="656" spans="1:3" x14ac:dyDescent="0.15">
      <c r="A656" s="30" t="s">
        <v>742</v>
      </c>
      <c r="B656" s="30">
        <v>9.83</v>
      </c>
      <c r="C656" s="30">
        <v>9.92</v>
      </c>
    </row>
    <row r="657" spans="1:3" x14ac:dyDescent="0.15">
      <c r="A657" s="30" t="s">
        <v>4622</v>
      </c>
      <c r="B657" s="30">
        <v>9.65</v>
      </c>
      <c r="C657" s="30">
        <v>9.34</v>
      </c>
    </row>
    <row r="658" spans="1:3" x14ac:dyDescent="0.15">
      <c r="A658" s="30" t="s">
        <v>3372</v>
      </c>
      <c r="B658" s="30">
        <v>13.27</v>
      </c>
      <c r="C658" s="30">
        <v>13.58</v>
      </c>
    </row>
    <row r="659" spans="1:3" x14ac:dyDescent="0.15">
      <c r="A659" s="30" t="s">
        <v>4623</v>
      </c>
      <c r="B659" s="30">
        <v>13.65</v>
      </c>
      <c r="C659" s="30">
        <v>12.91</v>
      </c>
    </row>
    <row r="660" spans="1:3" x14ac:dyDescent="0.15">
      <c r="A660" s="30" t="s">
        <v>415</v>
      </c>
      <c r="B660" s="30">
        <v>17.170000000000002</v>
      </c>
      <c r="C660" s="30">
        <v>17.329999999999998</v>
      </c>
    </row>
    <row r="661" spans="1:3" x14ac:dyDescent="0.15">
      <c r="A661" s="30" t="s">
        <v>188</v>
      </c>
      <c r="B661" s="30">
        <v>18.21</v>
      </c>
      <c r="C661" s="30">
        <v>18.36</v>
      </c>
    </row>
    <row r="662" spans="1:3" x14ac:dyDescent="0.15">
      <c r="A662" s="30" t="s">
        <v>3538</v>
      </c>
      <c r="B662" s="30">
        <v>1.94</v>
      </c>
      <c r="C662" s="30">
        <v>1.94</v>
      </c>
    </row>
    <row r="663" spans="1:3" x14ac:dyDescent="0.15">
      <c r="A663" s="30" t="s">
        <v>377</v>
      </c>
      <c r="B663" s="30">
        <v>19.34</v>
      </c>
      <c r="C663" s="30">
        <v>19.190000000000001</v>
      </c>
    </row>
    <row r="664" spans="1:3" x14ac:dyDescent="0.15">
      <c r="A664" s="30" t="s">
        <v>3474</v>
      </c>
      <c r="B664" s="30">
        <v>17.11</v>
      </c>
      <c r="C664" s="30">
        <v>17.25</v>
      </c>
    </row>
    <row r="665" spans="1:3" x14ac:dyDescent="0.15">
      <c r="A665" s="30" t="s">
        <v>4624</v>
      </c>
      <c r="B665" s="30">
        <v>7.14</v>
      </c>
      <c r="C665" s="30">
        <v>7.2</v>
      </c>
    </row>
    <row r="666" spans="1:3" x14ac:dyDescent="0.15">
      <c r="A666" s="30" t="s">
        <v>4625</v>
      </c>
      <c r="B666" s="30">
        <v>4.5</v>
      </c>
      <c r="C666" s="30">
        <v>4.54</v>
      </c>
    </row>
    <row r="667" spans="1:3" x14ac:dyDescent="0.15">
      <c r="A667" s="30" t="s">
        <v>3072</v>
      </c>
      <c r="B667" s="30">
        <v>7.18</v>
      </c>
      <c r="C667" s="30">
        <v>7.25</v>
      </c>
    </row>
    <row r="668" spans="1:3" x14ac:dyDescent="0.15">
      <c r="A668" s="30" t="s">
        <v>86</v>
      </c>
      <c r="B668" s="30">
        <v>42.04</v>
      </c>
      <c r="C668" s="30">
        <v>40.89</v>
      </c>
    </row>
    <row r="669" spans="1:3" x14ac:dyDescent="0.15">
      <c r="A669" s="30" t="s">
        <v>2736</v>
      </c>
      <c r="B669" s="30">
        <v>4.71</v>
      </c>
      <c r="C669" s="30">
        <v>4.72</v>
      </c>
    </row>
    <row r="670" spans="1:3" x14ac:dyDescent="0.15">
      <c r="A670" s="30" t="s">
        <v>3028</v>
      </c>
      <c r="B670" s="30">
        <v>51.68</v>
      </c>
      <c r="C670" s="30">
        <v>52.32</v>
      </c>
    </row>
    <row r="671" spans="1:3" x14ac:dyDescent="0.15">
      <c r="A671" s="30" t="s">
        <v>417</v>
      </c>
      <c r="B671" s="30">
        <v>6.17</v>
      </c>
      <c r="C671" s="30">
        <v>6.17</v>
      </c>
    </row>
    <row r="672" spans="1:3" x14ac:dyDescent="0.15">
      <c r="A672" s="30" t="s">
        <v>4626</v>
      </c>
      <c r="B672" s="30">
        <v>25.36</v>
      </c>
      <c r="C672" s="30">
        <v>24.99</v>
      </c>
    </row>
    <row r="673" spans="1:3" x14ac:dyDescent="0.15">
      <c r="A673" s="30" t="s">
        <v>2976</v>
      </c>
      <c r="B673" s="30">
        <v>7.6</v>
      </c>
      <c r="C673" s="30">
        <v>7.55</v>
      </c>
    </row>
    <row r="674" spans="1:3" x14ac:dyDescent="0.15">
      <c r="A674" s="30" t="s">
        <v>82</v>
      </c>
      <c r="B674" s="30">
        <v>56.64</v>
      </c>
      <c r="C674" s="30">
        <v>53.51</v>
      </c>
    </row>
    <row r="675" spans="1:3" x14ac:dyDescent="0.15">
      <c r="A675" s="30" t="s">
        <v>4627</v>
      </c>
      <c r="B675" s="30">
        <v>44.37</v>
      </c>
      <c r="C675" s="30">
        <v>44.39</v>
      </c>
    </row>
    <row r="676" spans="1:3" x14ac:dyDescent="0.15">
      <c r="A676" s="30" t="s">
        <v>4628</v>
      </c>
      <c r="B676" s="30">
        <v>6.11</v>
      </c>
      <c r="C676" s="30">
        <v>6.2</v>
      </c>
    </row>
    <row r="677" spans="1:3" x14ac:dyDescent="0.15">
      <c r="A677" s="30" t="s">
        <v>864</v>
      </c>
      <c r="B677" s="30">
        <v>9.4499999999999993</v>
      </c>
      <c r="C677" s="30">
        <v>9.69</v>
      </c>
    </row>
    <row r="678" spans="1:3" x14ac:dyDescent="0.15">
      <c r="A678" s="30" t="s">
        <v>894</v>
      </c>
      <c r="B678" s="30">
        <v>7.47</v>
      </c>
      <c r="C678" s="30">
        <v>7.62</v>
      </c>
    </row>
    <row r="679" spans="1:3" x14ac:dyDescent="0.15">
      <c r="A679" s="30" t="s">
        <v>489</v>
      </c>
      <c r="B679" s="30">
        <v>15.33</v>
      </c>
      <c r="C679" s="30">
        <v>15.33</v>
      </c>
    </row>
    <row r="680" spans="1:3" x14ac:dyDescent="0.15">
      <c r="A680" s="30" t="s">
        <v>186</v>
      </c>
      <c r="B680" s="30">
        <v>9.26</v>
      </c>
      <c r="C680" s="30">
        <v>9.51</v>
      </c>
    </row>
    <row r="681" spans="1:3" x14ac:dyDescent="0.15">
      <c r="A681" s="30" t="s">
        <v>518</v>
      </c>
      <c r="B681" s="30">
        <v>9.09</v>
      </c>
      <c r="C681" s="30">
        <v>8.84</v>
      </c>
    </row>
    <row r="682" spans="1:3" x14ac:dyDescent="0.15">
      <c r="A682" s="30" t="s">
        <v>4629</v>
      </c>
      <c r="B682" s="30">
        <v>14.1</v>
      </c>
      <c r="C682" s="30">
        <v>14.28</v>
      </c>
    </row>
    <row r="683" spans="1:3" x14ac:dyDescent="0.15">
      <c r="A683" s="30" t="s">
        <v>4630</v>
      </c>
      <c r="B683" s="30">
        <v>33.229999999999997</v>
      </c>
      <c r="C683" s="30">
        <v>31.97</v>
      </c>
    </row>
    <row r="684" spans="1:3" x14ac:dyDescent="0.15">
      <c r="A684" s="30" t="s">
        <v>238</v>
      </c>
      <c r="B684" s="30">
        <v>11.53</v>
      </c>
      <c r="C684" s="30">
        <v>11.53</v>
      </c>
    </row>
    <row r="685" spans="1:3" x14ac:dyDescent="0.15">
      <c r="A685" s="30" t="s">
        <v>724</v>
      </c>
      <c r="B685" s="30">
        <v>24.93</v>
      </c>
      <c r="C685" s="30">
        <v>24.93</v>
      </c>
    </row>
    <row r="686" spans="1:3" x14ac:dyDescent="0.15">
      <c r="A686" s="30" t="s">
        <v>3070</v>
      </c>
      <c r="B686" s="30">
        <v>17.350000000000001</v>
      </c>
      <c r="C686" s="30">
        <v>17.600000000000001</v>
      </c>
    </row>
    <row r="687" spans="1:3" x14ac:dyDescent="0.15">
      <c r="A687" s="30" t="s">
        <v>220</v>
      </c>
      <c r="B687" s="30">
        <v>20.41</v>
      </c>
      <c r="C687" s="30">
        <v>19.91</v>
      </c>
    </row>
    <row r="688" spans="1:3" x14ac:dyDescent="0.15">
      <c r="A688" s="30" t="s">
        <v>3010</v>
      </c>
      <c r="B688" s="30">
        <v>19.239999999999998</v>
      </c>
      <c r="C688" s="30">
        <v>18.75</v>
      </c>
    </row>
    <row r="689" spans="1:3" x14ac:dyDescent="0.15">
      <c r="A689" s="30" t="s">
        <v>4632</v>
      </c>
      <c r="B689" s="30">
        <v>6.53</v>
      </c>
      <c r="C689" s="30">
        <v>6.51</v>
      </c>
    </row>
    <row r="690" spans="1:3" x14ac:dyDescent="0.15">
      <c r="A690" s="30" t="s">
        <v>2920</v>
      </c>
      <c r="B690" s="30">
        <v>45.1</v>
      </c>
      <c r="C690" s="30">
        <v>45.04</v>
      </c>
    </row>
    <row r="691" spans="1:3" x14ac:dyDescent="0.15">
      <c r="A691" s="30" t="s">
        <v>4633</v>
      </c>
      <c r="B691" s="30">
        <v>6.24</v>
      </c>
      <c r="C691" s="30">
        <v>6.34</v>
      </c>
    </row>
    <row r="692" spans="1:3" x14ac:dyDescent="0.15">
      <c r="A692" s="30" t="s">
        <v>2964</v>
      </c>
      <c r="B692" s="30">
        <v>3.92</v>
      </c>
      <c r="C692" s="30">
        <v>3.93</v>
      </c>
    </row>
    <row r="693" spans="1:3" x14ac:dyDescent="0.15">
      <c r="A693" s="30" t="s">
        <v>2940</v>
      </c>
      <c r="B693" s="30">
        <v>12.61</v>
      </c>
      <c r="C693" s="30">
        <v>12.25</v>
      </c>
    </row>
    <row r="694" spans="1:3" x14ac:dyDescent="0.15">
      <c r="A694" s="30" t="s">
        <v>3400</v>
      </c>
      <c r="B694" s="30">
        <v>4.08</v>
      </c>
      <c r="C694" s="30">
        <v>4.13</v>
      </c>
    </row>
    <row r="695" spans="1:3" x14ac:dyDescent="0.15">
      <c r="A695" s="30" t="s">
        <v>132</v>
      </c>
      <c r="B695" s="30">
        <v>32.14</v>
      </c>
      <c r="C695" s="30">
        <v>32.14</v>
      </c>
    </row>
    <row r="696" spans="1:3" x14ac:dyDescent="0.15">
      <c r="A696" s="30" t="s">
        <v>4634</v>
      </c>
      <c r="B696" s="30">
        <v>5.55</v>
      </c>
      <c r="C696" s="30">
        <v>5.58</v>
      </c>
    </row>
    <row r="697" spans="1:3" x14ac:dyDescent="0.15">
      <c r="A697" s="30" t="s">
        <v>3354</v>
      </c>
      <c r="B697" s="30">
        <v>6.62</v>
      </c>
      <c r="C697" s="30">
        <v>6.66</v>
      </c>
    </row>
    <row r="698" spans="1:3" x14ac:dyDescent="0.15">
      <c r="A698" s="30" t="s">
        <v>4635</v>
      </c>
      <c r="B698" s="30">
        <v>13.39</v>
      </c>
      <c r="C698" s="30">
        <v>13.54</v>
      </c>
    </row>
    <row r="699" spans="1:3" x14ac:dyDescent="0.15">
      <c r="A699" s="30" t="s">
        <v>4636</v>
      </c>
      <c r="B699" s="30">
        <v>7.23</v>
      </c>
      <c r="C699" s="30">
        <v>7.29</v>
      </c>
    </row>
    <row r="700" spans="1:3" x14ac:dyDescent="0.15">
      <c r="A700" s="30" t="s">
        <v>932</v>
      </c>
      <c r="B700" s="30">
        <v>11.33</v>
      </c>
      <c r="C700" s="30">
        <v>11.46</v>
      </c>
    </row>
    <row r="701" spans="1:3" x14ac:dyDescent="0.15">
      <c r="A701" s="30" t="s">
        <v>3086</v>
      </c>
      <c r="B701" s="30">
        <v>6.62</v>
      </c>
      <c r="C701" s="30">
        <v>6.69</v>
      </c>
    </row>
    <row r="702" spans="1:3" x14ac:dyDescent="0.15">
      <c r="A702" s="30" t="s">
        <v>4637</v>
      </c>
      <c r="B702" s="30">
        <v>35.200000000000003</v>
      </c>
      <c r="C702" s="30">
        <v>35.21</v>
      </c>
    </row>
    <row r="703" spans="1:3" x14ac:dyDescent="0.15">
      <c r="A703" s="30" t="s">
        <v>3062</v>
      </c>
      <c r="B703" s="30">
        <v>7.05</v>
      </c>
      <c r="C703" s="30">
        <v>6.96</v>
      </c>
    </row>
    <row r="704" spans="1:3" x14ac:dyDescent="0.15">
      <c r="A704" s="30" t="s">
        <v>1002</v>
      </c>
      <c r="B704" s="30">
        <v>9.75</v>
      </c>
      <c r="C704" s="30">
        <v>9.86</v>
      </c>
    </row>
    <row r="705" spans="1:3" x14ac:dyDescent="0.15">
      <c r="A705" s="30" t="s">
        <v>379</v>
      </c>
      <c r="B705" s="30">
        <v>27.28</v>
      </c>
      <c r="C705" s="30">
        <v>25.53</v>
      </c>
    </row>
    <row r="706" spans="1:3" x14ac:dyDescent="0.15">
      <c r="A706" s="30" t="s">
        <v>608</v>
      </c>
      <c r="B706" s="30">
        <v>8.09</v>
      </c>
      <c r="C706" s="30">
        <v>8.09</v>
      </c>
    </row>
    <row r="707" spans="1:3" x14ac:dyDescent="0.15">
      <c r="A707" s="30" t="s">
        <v>862</v>
      </c>
      <c r="B707" s="30">
        <v>44.41</v>
      </c>
      <c r="C707" s="30">
        <v>42.51</v>
      </c>
    </row>
    <row r="708" spans="1:3" x14ac:dyDescent="0.15">
      <c r="A708" s="30" t="s">
        <v>4638</v>
      </c>
      <c r="B708" s="30">
        <v>11.27</v>
      </c>
      <c r="C708" s="30">
        <v>11.4</v>
      </c>
    </row>
    <row r="709" spans="1:3" x14ac:dyDescent="0.15">
      <c r="A709" s="30" t="s">
        <v>305</v>
      </c>
      <c r="B709" s="30">
        <v>20.23</v>
      </c>
      <c r="C709" s="30">
        <v>20.309999999999999</v>
      </c>
    </row>
    <row r="710" spans="1:3" x14ac:dyDescent="0.15">
      <c r="A710" s="30" t="s">
        <v>1036</v>
      </c>
      <c r="B710" s="30">
        <v>19.46</v>
      </c>
      <c r="C710" s="30">
        <v>19.47</v>
      </c>
    </row>
    <row r="711" spans="1:3" x14ac:dyDescent="0.15">
      <c r="A711" s="30" t="s">
        <v>202</v>
      </c>
      <c r="B711" s="30">
        <v>24.81</v>
      </c>
      <c r="C711" s="30">
        <v>24.46</v>
      </c>
    </row>
    <row r="712" spans="1:3" x14ac:dyDescent="0.15">
      <c r="A712" s="30" t="s">
        <v>946</v>
      </c>
      <c r="B712" s="30">
        <v>4.9400000000000004</v>
      </c>
      <c r="C712" s="30">
        <v>5</v>
      </c>
    </row>
    <row r="713" spans="1:3" x14ac:dyDescent="0.15">
      <c r="A713" s="30" t="s">
        <v>4639</v>
      </c>
      <c r="B713" s="30">
        <v>16.07</v>
      </c>
      <c r="C713" s="30">
        <v>15.78</v>
      </c>
    </row>
    <row r="714" spans="1:3" x14ac:dyDescent="0.15">
      <c r="A714" s="30" t="s">
        <v>1016</v>
      </c>
      <c r="B714" s="30">
        <v>34.49</v>
      </c>
      <c r="C714" s="30">
        <v>34.72</v>
      </c>
    </row>
    <row r="715" spans="1:3" x14ac:dyDescent="0.15">
      <c r="A715" s="30" t="s">
        <v>4640</v>
      </c>
      <c r="B715" s="30">
        <v>25.72</v>
      </c>
      <c r="C715" s="30">
        <v>26</v>
      </c>
    </row>
    <row r="716" spans="1:3" x14ac:dyDescent="0.15">
      <c r="A716" s="30" t="s">
        <v>299</v>
      </c>
      <c r="B716" s="30">
        <v>677.95</v>
      </c>
      <c r="C716" s="30">
        <v>650.07000000000005</v>
      </c>
    </row>
    <row r="717" spans="1:3" x14ac:dyDescent="0.15">
      <c r="A717" s="30" t="s">
        <v>858</v>
      </c>
      <c r="B717" s="30">
        <v>22.56</v>
      </c>
      <c r="C717" s="30">
        <v>22.65</v>
      </c>
    </row>
    <row r="718" spans="1:3" x14ac:dyDescent="0.15">
      <c r="A718" s="30" t="s">
        <v>3476</v>
      </c>
      <c r="B718" s="30">
        <v>5.34</v>
      </c>
      <c r="C718" s="30">
        <v>5.48</v>
      </c>
    </row>
    <row r="719" spans="1:3" x14ac:dyDescent="0.15">
      <c r="A719" s="30" t="s">
        <v>2780</v>
      </c>
      <c r="B719" s="30">
        <v>25.72</v>
      </c>
      <c r="C719" s="30">
        <v>26.42</v>
      </c>
    </row>
    <row r="720" spans="1:3" x14ac:dyDescent="0.15">
      <c r="A720" s="30" t="s">
        <v>483</v>
      </c>
      <c r="B720" s="30">
        <v>14.21</v>
      </c>
      <c r="C720" s="30">
        <v>14.34</v>
      </c>
    </row>
    <row r="721" spans="1:3" x14ac:dyDescent="0.15">
      <c r="A721" s="30" t="s">
        <v>2812</v>
      </c>
      <c r="B721" s="30">
        <v>10.52</v>
      </c>
      <c r="C721" s="30">
        <v>10.64</v>
      </c>
    </row>
    <row r="722" spans="1:3" x14ac:dyDescent="0.15">
      <c r="A722" s="30" t="s">
        <v>152</v>
      </c>
      <c r="B722" s="30">
        <v>33.380000000000003</v>
      </c>
      <c r="C722" s="30">
        <v>32.99</v>
      </c>
    </row>
    <row r="723" spans="1:3" x14ac:dyDescent="0.15">
      <c r="A723" s="30" t="s">
        <v>3426</v>
      </c>
      <c r="B723" s="30">
        <v>28.34</v>
      </c>
      <c r="C723" s="30">
        <v>28.48</v>
      </c>
    </row>
    <row r="724" spans="1:3" x14ac:dyDescent="0.15">
      <c r="A724" s="30" t="s">
        <v>281</v>
      </c>
      <c r="B724" s="30">
        <v>6.63</v>
      </c>
      <c r="C724" s="30">
        <v>6.59</v>
      </c>
    </row>
    <row r="725" spans="1:3" x14ac:dyDescent="0.15">
      <c r="A725" s="30" t="s">
        <v>990</v>
      </c>
      <c r="B725" s="30">
        <v>11.37</v>
      </c>
      <c r="C725" s="30">
        <v>11.42</v>
      </c>
    </row>
    <row r="726" spans="1:3" x14ac:dyDescent="0.15">
      <c r="A726" s="30" t="s">
        <v>854</v>
      </c>
      <c r="B726" s="30">
        <v>8.39</v>
      </c>
      <c r="C726" s="30">
        <v>8.52</v>
      </c>
    </row>
    <row r="727" spans="1:3" x14ac:dyDescent="0.15">
      <c r="A727" s="30" t="s">
        <v>910</v>
      </c>
      <c r="B727" s="30">
        <v>6.77</v>
      </c>
      <c r="C727" s="30">
        <v>6.82</v>
      </c>
    </row>
    <row r="728" spans="1:3" x14ac:dyDescent="0.15">
      <c r="A728" s="30" t="s">
        <v>918</v>
      </c>
      <c r="B728" s="30">
        <v>5.07</v>
      </c>
      <c r="C728" s="30">
        <v>5.18</v>
      </c>
    </row>
    <row r="729" spans="1:3" x14ac:dyDescent="0.15">
      <c r="A729" s="30" t="s">
        <v>4641</v>
      </c>
      <c r="B729" s="30">
        <v>8.34</v>
      </c>
      <c r="C729" s="30">
        <v>8.33</v>
      </c>
    </row>
    <row r="730" spans="1:3" x14ac:dyDescent="0.15">
      <c r="A730" s="30" t="s">
        <v>4642</v>
      </c>
      <c r="B730" s="30">
        <v>7.9</v>
      </c>
      <c r="C730" s="30">
        <v>7.9</v>
      </c>
    </row>
    <row r="731" spans="1:3" x14ac:dyDescent="0.15">
      <c r="A731" s="30" t="s">
        <v>4643</v>
      </c>
      <c r="B731" s="30">
        <v>15.96</v>
      </c>
      <c r="C731" s="30">
        <v>16.010000000000002</v>
      </c>
    </row>
    <row r="732" spans="1:3" x14ac:dyDescent="0.15">
      <c r="A732" s="30" t="s">
        <v>4644</v>
      </c>
      <c r="B732" s="30">
        <v>63.97</v>
      </c>
      <c r="C732" s="30">
        <v>66.02</v>
      </c>
    </row>
    <row r="733" spans="1:3" x14ac:dyDescent="0.15">
      <c r="A733" s="30" t="s">
        <v>4645</v>
      </c>
      <c r="B733" s="30">
        <v>20.8</v>
      </c>
      <c r="C733" s="30">
        <v>20.46</v>
      </c>
    </row>
    <row r="734" spans="1:3" x14ac:dyDescent="0.15">
      <c r="A734" s="30" t="s">
        <v>2886</v>
      </c>
      <c r="B734" s="30">
        <v>13.34</v>
      </c>
      <c r="C734" s="30">
        <v>13.34</v>
      </c>
    </row>
    <row r="735" spans="1:3" x14ac:dyDescent="0.15">
      <c r="A735" s="30" t="s">
        <v>694</v>
      </c>
      <c r="B735" s="30">
        <v>19.829999999999998</v>
      </c>
      <c r="C735" s="30">
        <v>20.170000000000002</v>
      </c>
    </row>
    <row r="736" spans="1:3" x14ac:dyDescent="0.15">
      <c r="A736" s="30" t="s">
        <v>4646</v>
      </c>
      <c r="B736" s="30">
        <v>9.09</v>
      </c>
      <c r="C736" s="30">
        <v>9.3800000000000008</v>
      </c>
    </row>
    <row r="737" spans="1:3" x14ac:dyDescent="0.15">
      <c r="A737" s="30" t="s">
        <v>3084</v>
      </c>
      <c r="B737" s="30">
        <v>13.51</v>
      </c>
      <c r="C737" s="30">
        <v>13.73</v>
      </c>
    </row>
    <row r="738" spans="1:3" x14ac:dyDescent="0.15">
      <c r="A738" s="30" t="s">
        <v>3278</v>
      </c>
      <c r="B738" s="30">
        <v>4.87</v>
      </c>
      <c r="C738" s="30">
        <v>4.97</v>
      </c>
    </row>
    <row r="739" spans="1:3" x14ac:dyDescent="0.15">
      <c r="A739" s="30" t="s">
        <v>734</v>
      </c>
      <c r="B739" s="30">
        <v>67.209999999999994</v>
      </c>
      <c r="C739" s="30">
        <v>66.900000000000006</v>
      </c>
    </row>
    <row r="740" spans="1:3" x14ac:dyDescent="0.15">
      <c r="A740" s="30" t="s">
        <v>427</v>
      </c>
      <c r="B740" s="30">
        <v>6.1</v>
      </c>
      <c r="C740" s="30">
        <v>6.18</v>
      </c>
    </row>
    <row r="741" spans="1:3" x14ac:dyDescent="0.15">
      <c r="A741" s="30" t="s">
        <v>3126</v>
      </c>
      <c r="B741" s="30">
        <v>19.55</v>
      </c>
      <c r="C741" s="30">
        <v>19.53</v>
      </c>
    </row>
    <row r="742" spans="1:3" x14ac:dyDescent="0.15">
      <c r="A742" s="30" t="s">
        <v>594</v>
      </c>
      <c r="B742" s="30">
        <v>14.18</v>
      </c>
      <c r="C742" s="30">
        <v>13.78</v>
      </c>
    </row>
    <row r="743" spans="1:3" x14ac:dyDescent="0.15">
      <c r="A743" s="30" t="s">
        <v>768</v>
      </c>
      <c r="B743" s="30">
        <v>24.39</v>
      </c>
      <c r="C743" s="30">
        <v>23.99</v>
      </c>
    </row>
    <row r="744" spans="1:3" x14ac:dyDescent="0.15">
      <c r="A744" s="30" t="s">
        <v>810</v>
      </c>
      <c r="B744" s="30">
        <v>3.75</v>
      </c>
      <c r="C744" s="30">
        <v>3.79</v>
      </c>
    </row>
    <row r="745" spans="1:3" x14ac:dyDescent="0.15">
      <c r="A745" s="30" t="s">
        <v>560</v>
      </c>
      <c r="B745" s="30">
        <v>34.03</v>
      </c>
      <c r="C745" s="30">
        <v>32.79</v>
      </c>
    </row>
    <row r="746" spans="1:3" x14ac:dyDescent="0.15">
      <c r="A746" s="30" t="s">
        <v>3206</v>
      </c>
      <c r="B746" s="30">
        <v>39.51</v>
      </c>
      <c r="C746" s="30">
        <v>37.520000000000003</v>
      </c>
    </row>
    <row r="747" spans="1:3" x14ac:dyDescent="0.15">
      <c r="A747" s="30" t="s">
        <v>4647</v>
      </c>
      <c r="B747" s="30">
        <v>50.92</v>
      </c>
      <c r="C747" s="30">
        <v>48.6</v>
      </c>
    </row>
    <row r="748" spans="1:3" x14ac:dyDescent="0.15">
      <c r="A748" s="30" t="s">
        <v>3388</v>
      </c>
      <c r="B748" s="30">
        <v>15.48</v>
      </c>
      <c r="C748" s="30">
        <v>15.35</v>
      </c>
    </row>
    <row r="749" spans="1:3" x14ac:dyDescent="0.15">
      <c r="A749" s="30" t="s">
        <v>413</v>
      </c>
      <c r="B749" s="30">
        <v>4.17</v>
      </c>
      <c r="C749" s="30">
        <v>4.18</v>
      </c>
    </row>
    <row r="750" spans="1:3" x14ac:dyDescent="0.15">
      <c r="A750" s="30" t="s">
        <v>4648</v>
      </c>
      <c r="B750" s="30">
        <v>50.59</v>
      </c>
      <c r="C750" s="30">
        <v>49.69</v>
      </c>
    </row>
    <row r="751" spans="1:3" x14ac:dyDescent="0.15">
      <c r="A751" s="30" t="s">
        <v>269</v>
      </c>
      <c r="B751" s="30">
        <v>38.35</v>
      </c>
      <c r="C751" s="30">
        <v>37.729999999999997</v>
      </c>
    </row>
    <row r="752" spans="1:3" x14ac:dyDescent="0.15">
      <c r="A752" s="30" t="s">
        <v>4649</v>
      </c>
      <c r="B752" s="30">
        <v>4.04</v>
      </c>
      <c r="C752" s="30">
        <v>4.08</v>
      </c>
    </row>
    <row r="753" spans="1:3" x14ac:dyDescent="0.15">
      <c r="A753" s="30" t="s">
        <v>4650</v>
      </c>
      <c r="B753" s="30">
        <v>41.02</v>
      </c>
      <c r="C753" s="30">
        <v>40.08</v>
      </c>
    </row>
    <row r="754" spans="1:3" x14ac:dyDescent="0.15">
      <c r="A754" s="30" t="s">
        <v>636</v>
      </c>
      <c r="B754" s="30">
        <v>2.2799999999999998</v>
      </c>
      <c r="C754" s="30">
        <v>2.29</v>
      </c>
    </row>
    <row r="755" spans="1:3" x14ac:dyDescent="0.15">
      <c r="A755" s="30" t="s">
        <v>146</v>
      </c>
      <c r="B755" s="30">
        <v>10.96</v>
      </c>
      <c r="C755" s="30">
        <v>11.02</v>
      </c>
    </row>
    <row r="756" spans="1:3" x14ac:dyDescent="0.15">
      <c r="A756" s="30" t="s">
        <v>770</v>
      </c>
      <c r="B756" s="30">
        <v>15.56</v>
      </c>
      <c r="C756" s="30">
        <v>15.4</v>
      </c>
    </row>
    <row r="757" spans="1:3" x14ac:dyDescent="0.15">
      <c r="A757" s="30" t="s">
        <v>3230</v>
      </c>
      <c r="B757" s="30">
        <v>32.01</v>
      </c>
      <c r="C757" s="30">
        <v>31.84</v>
      </c>
    </row>
    <row r="758" spans="1:3" x14ac:dyDescent="0.15">
      <c r="A758" s="30" t="s">
        <v>491</v>
      </c>
      <c r="B758" s="30">
        <v>17.93</v>
      </c>
      <c r="C758" s="30">
        <v>18.309999999999999</v>
      </c>
    </row>
    <row r="759" spans="1:3" x14ac:dyDescent="0.15">
      <c r="A759" s="30" t="s">
        <v>1030</v>
      </c>
      <c r="B759" s="30">
        <v>6.45</v>
      </c>
      <c r="C759" s="30">
        <v>6.51</v>
      </c>
    </row>
    <row r="760" spans="1:3" x14ac:dyDescent="0.15">
      <c r="A760" s="30" t="s">
        <v>798</v>
      </c>
      <c r="B760" s="30">
        <v>6.3</v>
      </c>
      <c r="C760" s="30">
        <v>6.38</v>
      </c>
    </row>
    <row r="761" spans="1:3" x14ac:dyDescent="0.15">
      <c r="A761" s="30" t="s">
        <v>4651</v>
      </c>
      <c r="B761" s="30">
        <v>16.8</v>
      </c>
      <c r="C761" s="30">
        <v>16.64</v>
      </c>
    </row>
    <row r="762" spans="1:3" x14ac:dyDescent="0.15">
      <c r="A762" s="30" t="s">
        <v>309</v>
      </c>
      <c r="B762" s="30">
        <v>10.57</v>
      </c>
      <c r="C762" s="30">
        <v>10.44</v>
      </c>
    </row>
    <row r="763" spans="1:3" x14ac:dyDescent="0.15">
      <c r="A763" s="30" t="s">
        <v>656</v>
      </c>
      <c r="B763" s="30">
        <v>13.15</v>
      </c>
      <c r="C763" s="30">
        <v>13.21</v>
      </c>
    </row>
    <row r="764" spans="1:3" x14ac:dyDescent="0.15">
      <c r="A764" s="30" t="s">
        <v>4652</v>
      </c>
      <c r="B764" s="30">
        <v>166.42</v>
      </c>
      <c r="C764" s="30">
        <v>165.75</v>
      </c>
    </row>
    <row r="765" spans="1:3" x14ac:dyDescent="0.15">
      <c r="A765" s="30" t="s">
        <v>780</v>
      </c>
      <c r="B765" s="30">
        <v>16.73</v>
      </c>
      <c r="C765" s="30">
        <v>16.73</v>
      </c>
    </row>
    <row r="766" spans="1:3" x14ac:dyDescent="0.15">
      <c r="A766" s="30" t="s">
        <v>4653</v>
      </c>
      <c r="B766" s="30">
        <v>13.88</v>
      </c>
      <c r="C766" s="30">
        <v>13.32</v>
      </c>
    </row>
    <row r="767" spans="1:3" x14ac:dyDescent="0.15">
      <c r="A767" s="30" t="s">
        <v>4654</v>
      </c>
      <c r="B767" s="30">
        <v>240</v>
      </c>
      <c r="C767" s="30">
        <v>228.81</v>
      </c>
    </row>
    <row r="768" spans="1:3" x14ac:dyDescent="0.15">
      <c r="A768" s="30" t="s">
        <v>196</v>
      </c>
      <c r="B768" s="30">
        <v>52.04</v>
      </c>
      <c r="C768" s="30">
        <v>52.04</v>
      </c>
    </row>
    <row r="769" spans="1:3" x14ac:dyDescent="0.15">
      <c r="A769" s="30" t="s">
        <v>463</v>
      </c>
      <c r="B769" s="30">
        <v>11.8</v>
      </c>
      <c r="C769" s="30">
        <v>11.7</v>
      </c>
    </row>
    <row r="770" spans="1:3" x14ac:dyDescent="0.15">
      <c r="A770" s="30" t="s">
        <v>385</v>
      </c>
      <c r="B770" s="30">
        <v>9.1300000000000008</v>
      </c>
      <c r="C770" s="30">
        <v>8.91</v>
      </c>
    </row>
    <row r="771" spans="1:3" x14ac:dyDescent="0.15">
      <c r="A771" s="30" t="s">
        <v>98</v>
      </c>
      <c r="B771" s="30">
        <v>6.09</v>
      </c>
      <c r="C771" s="30">
        <v>6.23</v>
      </c>
    </row>
    <row r="772" spans="1:3" x14ac:dyDescent="0.15">
      <c r="A772" s="30" t="s">
        <v>124</v>
      </c>
      <c r="B772" s="30">
        <v>4.24</v>
      </c>
      <c r="C772" s="30">
        <v>4.28</v>
      </c>
    </row>
    <row r="773" spans="1:3" x14ac:dyDescent="0.15">
      <c r="A773" s="30" t="s">
        <v>4655</v>
      </c>
      <c r="B773" s="30">
        <v>5.33</v>
      </c>
      <c r="C773" s="30">
        <v>5.35</v>
      </c>
    </row>
    <row r="774" spans="1:3" x14ac:dyDescent="0.15">
      <c r="A774" s="30" t="s">
        <v>846</v>
      </c>
      <c r="B774" s="30">
        <v>6.16</v>
      </c>
      <c r="C774" s="30">
        <v>6.2</v>
      </c>
    </row>
    <row r="775" spans="1:3" x14ac:dyDescent="0.15">
      <c r="A775" s="30" t="s">
        <v>2788</v>
      </c>
      <c r="B775" s="30">
        <v>16.170000000000002</v>
      </c>
      <c r="C775" s="30">
        <v>16.29</v>
      </c>
    </row>
    <row r="776" spans="1:3" x14ac:dyDescent="0.15">
      <c r="A776" s="30" t="s">
        <v>499</v>
      </c>
      <c r="B776" s="30">
        <v>14.37</v>
      </c>
      <c r="C776" s="30">
        <v>14.48</v>
      </c>
    </row>
    <row r="777" spans="1:3" x14ac:dyDescent="0.15">
      <c r="A777" s="30" t="s">
        <v>325</v>
      </c>
      <c r="B777" s="30">
        <v>9.81</v>
      </c>
      <c r="C777" s="30">
        <v>9.6300000000000008</v>
      </c>
    </row>
    <row r="778" spans="1:3" x14ac:dyDescent="0.15">
      <c r="A778" s="30" t="s">
        <v>696</v>
      </c>
      <c r="B778" s="30">
        <v>5.37</v>
      </c>
      <c r="C778" s="30">
        <v>5.39</v>
      </c>
    </row>
    <row r="779" spans="1:3" x14ac:dyDescent="0.15">
      <c r="A779" s="30" t="s">
        <v>128</v>
      </c>
      <c r="B779" s="30">
        <v>8.51</v>
      </c>
      <c r="C779" s="30">
        <v>8.09</v>
      </c>
    </row>
    <row r="780" spans="1:3" x14ac:dyDescent="0.15">
      <c r="A780" s="30" t="s">
        <v>4656</v>
      </c>
      <c r="B780" s="30">
        <v>9.5299999999999994</v>
      </c>
      <c r="C780" s="30">
        <v>9.5299999999999994</v>
      </c>
    </row>
    <row r="781" spans="1:3" x14ac:dyDescent="0.15">
      <c r="A781" s="30" t="s">
        <v>978</v>
      </c>
      <c r="B781" s="30">
        <v>18.39</v>
      </c>
      <c r="C781" s="30">
        <v>18.28</v>
      </c>
    </row>
    <row r="782" spans="1:3" x14ac:dyDescent="0.15">
      <c r="A782" s="30" t="s">
        <v>395</v>
      </c>
      <c r="B782" s="30">
        <v>19.93</v>
      </c>
      <c r="C782" s="30">
        <v>19.36</v>
      </c>
    </row>
    <row r="783" spans="1:3" x14ac:dyDescent="0.15">
      <c r="A783" s="30" t="s">
        <v>84</v>
      </c>
      <c r="B783" s="30">
        <v>23.85</v>
      </c>
      <c r="C783" s="30">
        <v>24.38</v>
      </c>
    </row>
    <row r="784" spans="1:3" x14ac:dyDescent="0.15">
      <c r="A784" s="30" t="s">
        <v>122</v>
      </c>
      <c r="B784" s="30">
        <v>7.76</v>
      </c>
      <c r="C784" s="30">
        <v>7.81</v>
      </c>
    </row>
    <row r="785" spans="1:3" x14ac:dyDescent="0.15">
      <c r="A785" s="30" t="s">
        <v>4657</v>
      </c>
      <c r="B785" s="30">
        <v>49.88</v>
      </c>
      <c r="C785" s="30">
        <v>49.91</v>
      </c>
    </row>
    <row r="786" spans="1:3" x14ac:dyDescent="0.15">
      <c r="A786" s="30" t="s">
        <v>3464</v>
      </c>
      <c r="B786" s="30">
        <v>18.21</v>
      </c>
      <c r="C786" s="30">
        <v>18.28</v>
      </c>
    </row>
    <row r="787" spans="1:3" x14ac:dyDescent="0.15">
      <c r="A787" s="30" t="s">
        <v>4658</v>
      </c>
      <c r="B787" s="30">
        <v>10.54</v>
      </c>
      <c r="C787" s="30">
        <v>10.74</v>
      </c>
    </row>
    <row r="788" spans="1:3" x14ac:dyDescent="0.15">
      <c r="A788" s="30" t="s">
        <v>4659</v>
      </c>
      <c r="B788" s="30">
        <v>10.27</v>
      </c>
      <c r="C788" s="30">
        <v>10.33</v>
      </c>
    </row>
    <row r="789" spans="1:3" x14ac:dyDescent="0.15">
      <c r="A789" s="30" t="s">
        <v>403</v>
      </c>
      <c r="B789" s="30">
        <v>5.5</v>
      </c>
      <c r="C789" s="30">
        <v>5.5</v>
      </c>
    </row>
    <row r="790" spans="1:3" x14ac:dyDescent="0.15">
      <c r="A790" s="30" t="s">
        <v>1058</v>
      </c>
      <c r="B790" s="30">
        <v>10.4</v>
      </c>
      <c r="C790" s="30">
        <v>10.28</v>
      </c>
    </row>
    <row r="791" spans="1:3" x14ac:dyDescent="0.15">
      <c r="A791" s="30" t="s">
        <v>4660</v>
      </c>
      <c r="B791" s="30">
        <v>52.64</v>
      </c>
      <c r="C791" s="30">
        <v>52.3</v>
      </c>
    </row>
    <row r="792" spans="1:3" x14ac:dyDescent="0.15">
      <c r="A792" s="30" t="s">
        <v>240</v>
      </c>
      <c r="B792" s="30">
        <v>5.12</v>
      </c>
      <c r="C792" s="30">
        <v>5.1100000000000003</v>
      </c>
    </row>
    <row r="793" spans="1:3" x14ac:dyDescent="0.15">
      <c r="A793" s="30" t="s">
        <v>3540</v>
      </c>
      <c r="B793" s="30">
        <v>2.93</v>
      </c>
      <c r="C793" s="30">
        <v>2.96</v>
      </c>
    </row>
    <row r="794" spans="1:3" x14ac:dyDescent="0.15">
      <c r="A794" s="30" t="s">
        <v>343</v>
      </c>
      <c r="B794" s="30">
        <v>68.489999999999995</v>
      </c>
      <c r="C794" s="30">
        <v>67.11</v>
      </c>
    </row>
    <row r="795" spans="1:3" x14ac:dyDescent="0.15">
      <c r="A795" s="30" t="s">
        <v>2904</v>
      </c>
      <c r="B795" s="30">
        <v>56.55</v>
      </c>
      <c r="C795" s="30">
        <v>54.3</v>
      </c>
    </row>
    <row r="796" spans="1:3" x14ac:dyDescent="0.15">
      <c r="A796" s="30" t="s">
        <v>3092</v>
      </c>
      <c r="B796" s="30">
        <v>6.36</v>
      </c>
      <c r="C796" s="30">
        <v>6.44</v>
      </c>
    </row>
    <row r="797" spans="1:3" x14ac:dyDescent="0.15">
      <c r="A797" s="30" t="s">
        <v>2822</v>
      </c>
      <c r="B797" s="30">
        <v>13.23</v>
      </c>
      <c r="C797" s="30">
        <v>13.14</v>
      </c>
    </row>
    <row r="798" spans="1:3" x14ac:dyDescent="0.15">
      <c r="A798" s="30" t="s">
        <v>4661</v>
      </c>
      <c r="B798" s="30">
        <v>9.9499999999999993</v>
      </c>
      <c r="C798" s="30">
        <v>9.94</v>
      </c>
    </row>
    <row r="799" spans="1:3" x14ac:dyDescent="0.15">
      <c r="A799" s="30" t="s">
        <v>373</v>
      </c>
      <c r="B799" s="30">
        <v>50</v>
      </c>
      <c r="C799" s="30">
        <v>49.04</v>
      </c>
    </row>
    <row r="800" spans="1:3" x14ac:dyDescent="0.15">
      <c r="A800" s="30" t="s">
        <v>776</v>
      </c>
      <c r="B800" s="30">
        <v>4.1500000000000004</v>
      </c>
      <c r="C800" s="30">
        <v>4.08</v>
      </c>
    </row>
    <row r="801" spans="1:3" x14ac:dyDescent="0.15">
      <c r="A801" s="30" t="s">
        <v>3274</v>
      </c>
      <c r="B801" s="30">
        <v>4.24</v>
      </c>
      <c r="C801" s="30">
        <v>4.2300000000000004</v>
      </c>
    </row>
    <row r="802" spans="1:3" x14ac:dyDescent="0.15">
      <c r="A802" s="30" t="s">
        <v>289</v>
      </c>
      <c r="B802" s="30">
        <v>45.1</v>
      </c>
      <c r="C802" s="30">
        <v>47.03</v>
      </c>
    </row>
    <row r="803" spans="1:3" x14ac:dyDescent="0.15">
      <c r="A803" s="30" t="s">
        <v>808</v>
      </c>
      <c r="B803" s="30">
        <v>14.22</v>
      </c>
      <c r="C803" s="30">
        <v>14.29</v>
      </c>
    </row>
    <row r="804" spans="1:3" x14ac:dyDescent="0.15">
      <c r="A804" s="30" t="s">
        <v>538</v>
      </c>
      <c r="B804" s="30">
        <v>27.07</v>
      </c>
      <c r="C804" s="30">
        <v>27.07</v>
      </c>
    </row>
    <row r="805" spans="1:3" x14ac:dyDescent="0.15">
      <c r="A805" s="30" t="s">
        <v>3542</v>
      </c>
      <c r="B805" s="30">
        <v>6.4</v>
      </c>
      <c r="C805" s="30">
        <v>6.42</v>
      </c>
    </row>
    <row r="806" spans="1:3" x14ac:dyDescent="0.15">
      <c r="A806" s="30" t="s">
        <v>150</v>
      </c>
      <c r="B806" s="30">
        <v>71.52</v>
      </c>
      <c r="C806" s="30">
        <v>70.98</v>
      </c>
    </row>
    <row r="807" spans="1:3" x14ac:dyDescent="0.15">
      <c r="A807" s="30" t="s">
        <v>3422</v>
      </c>
      <c r="B807" s="30">
        <v>20.3</v>
      </c>
      <c r="C807" s="30">
        <v>20.18</v>
      </c>
    </row>
    <row r="808" spans="1:3" x14ac:dyDescent="0.15">
      <c r="A808" s="30" t="s">
        <v>1026</v>
      </c>
      <c r="B808" s="30">
        <v>7.95</v>
      </c>
      <c r="C808" s="30">
        <v>8.0299999999999994</v>
      </c>
    </row>
    <row r="809" spans="1:3" x14ac:dyDescent="0.15">
      <c r="A809" s="30" t="s">
        <v>4662</v>
      </c>
      <c r="B809" s="30">
        <v>91.79</v>
      </c>
      <c r="C809" s="30">
        <v>91.53</v>
      </c>
    </row>
    <row r="810" spans="1:3" x14ac:dyDescent="0.15">
      <c r="A810" s="30" t="s">
        <v>4663</v>
      </c>
      <c r="B810" s="30">
        <v>41.55</v>
      </c>
      <c r="C810" s="30">
        <v>40.479999999999997</v>
      </c>
    </row>
    <row r="811" spans="1:3" x14ac:dyDescent="0.15">
      <c r="A811" s="30" t="s">
        <v>2924</v>
      </c>
      <c r="B811" s="30">
        <v>4.91</v>
      </c>
      <c r="C811" s="30">
        <v>4.95</v>
      </c>
    </row>
    <row r="812" spans="1:3" x14ac:dyDescent="0.15">
      <c r="A812" s="30" t="s">
        <v>267</v>
      </c>
      <c r="B812" s="30">
        <v>8.11</v>
      </c>
      <c r="C812" s="30">
        <v>8.17</v>
      </c>
    </row>
    <row r="813" spans="1:3" x14ac:dyDescent="0.15">
      <c r="A813" s="30" t="s">
        <v>2856</v>
      </c>
      <c r="B813" s="30">
        <v>20.100000000000001</v>
      </c>
      <c r="C813" s="30">
        <v>20.09</v>
      </c>
    </row>
    <row r="814" spans="1:3" x14ac:dyDescent="0.15">
      <c r="A814" s="30" t="s">
        <v>279</v>
      </c>
      <c r="B814" s="30">
        <v>53.4</v>
      </c>
      <c r="C814" s="30">
        <v>52.6</v>
      </c>
    </row>
    <row r="815" spans="1:3" x14ac:dyDescent="0.15">
      <c r="A815" s="30" t="s">
        <v>998</v>
      </c>
      <c r="B815" s="30">
        <v>8.99</v>
      </c>
      <c r="C815" s="30">
        <v>8.73</v>
      </c>
    </row>
    <row r="816" spans="1:3" x14ac:dyDescent="0.15">
      <c r="A816" s="30" t="s">
        <v>684</v>
      </c>
      <c r="B816" s="30">
        <v>22.83</v>
      </c>
      <c r="C816" s="30">
        <v>23.58</v>
      </c>
    </row>
    <row r="817" spans="1:3" x14ac:dyDescent="0.15">
      <c r="A817" s="30" t="s">
        <v>4664</v>
      </c>
      <c r="B817" s="30">
        <v>27.06</v>
      </c>
      <c r="C817" s="30">
        <v>27.3</v>
      </c>
    </row>
    <row r="818" spans="1:3" x14ac:dyDescent="0.15">
      <c r="A818" s="30" t="s">
        <v>600</v>
      </c>
      <c r="B818" s="30">
        <v>10.44</v>
      </c>
      <c r="C818" s="30">
        <v>10.63</v>
      </c>
    </row>
    <row r="819" spans="1:3" x14ac:dyDescent="0.15">
      <c r="A819" s="30" t="s">
        <v>4665</v>
      </c>
      <c r="B819" s="30">
        <v>8.25</v>
      </c>
      <c r="C819" s="30">
        <v>8.19</v>
      </c>
    </row>
    <row r="820" spans="1:3" x14ac:dyDescent="0.15">
      <c r="A820" s="30" t="s">
        <v>80</v>
      </c>
      <c r="B820" s="30">
        <v>9.2200000000000006</v>
      </c>
      <c r="C820" s="30">
        <v>9.36</v>
      </c>
    </row>
    <row r="821" spans="1:3" x14ac:dyDescent="0.15">
      <c r="A821" s="30" t="s">
        <v>4666</v>
      </c>
      <c r="B821" s="30">
        <v>9.66</v>
      </c>
      <c r="C821" s="30">
        <v>9.74</v>
      </c>
    </row>
    <row r="822" spans="1:3" x14ac:dyDescent="0.15">
      <c r="A822" s="30" t="s">
        <v>2794</v>
      </c>
      <c r="B822" s="30">
        <v>22.2</v>
      </c>
      <c r="C822" s="30">
        <v>22.47</v>
      </c>
    </row>
    <row r="823" spans="1:3" x14ac:dyDescent="0.15">
      <c r="A823" s="30" t="s">
        <v>4667</v>
      </c>
      <c r="B823" s="30">
        <v>13.31</v>
      </c>
      <c r="C823" s="30">
        <v>13.16</v>
      </c>
    </row>
    <row r="824" spans="1:3" x14ac:dyDescent="0.15">
      <c r="A824" s="30" t="s">
        <v>511</v>
      </c>
      <c r="B824" s="30">
        <v>27.22</v>
      </c>
      <c r="C824" s="30">
        <v>27.7</v>
      </c>
    </row>
    <row r="825" spans="1:3" x14ac:dyDescent="0.15">
      <c r="A825" s="30" t="s">
        <v>3172</v>
      </c>
      <c r="B825" s="30">
        <v>15.86</v>
      </c>
      <c r="C825" s="30">
        <v>16.05</v>
      </c>
    </row>
    <row r="826" spans="1:3" x14ac:dyDescent="0.15">
      <c r="A826" s="30" t="s">
        <v>3396</v>
      </c>
      <c r="B826" s="30">
        <v>16.440000000000001</v>
      </c>
      <c r="C826" s="30">
        <v>15.49</v>
      </c>
    </row>
    <row r="827" spans="1:3" x14ac:dyDescent="0.15">
      <c r="A827" s="30" t="s">
        <v>172</v>
      </c>
      <c r="B827" s="30">
        <v>8.25</v>
      </c>
      <c r="C827" s="30">
        <v>8.19</v>
      </c>
    </row>
    <row r="828" spans="1:3" x14ac:dyDescent="0.15">
      <c r="A828" s="30" t="s">
        <v>4668</v>
      </c>
      <c r="B828" s="30">
        <v>13.82</v>
      </c>
      <c r="C828" s="30">
        <v>13.9</v>
      </c>
    </row>
    <row r="829" spans="1:3" x14ac:dyDescent="0.15">
      <c r="A829" s="30" t="s">
        <v>772</v>
      </c>
      <c r="B829" s="30">
        <v>30.27</v>
      </c>
      <c r="C829" s="30">
        <v>30.66</v>
      </c>
    </row>
    <row r="830" spans="1:3" x14ac:dyDescent="0.15">
      <c r="A830" s="30" t="s">
        <v>678</v>
      </c>
      <c r="B830" s="30">
        <v>27.57</v>
      </c>
      <c r="C830" s="30">
        <v>26.15</v>
      </c>
    </row>
    <row r="831" spans="1:3" x14ac:dyDescent="0.15">
      <c r="A831" s="30" t="s">
        <v>568</v>
      </c>
      <c r="B831" s="30">
        <v>25.9</v>
      </c>
      <c r="C831" s="30">
        <v>24.79</v>
      </c>
    </row>
    <row r="832" spans="1:3" x14ac:dyDescent="0.15">
      <c r="A832" s="30" t="s">
        <v>3222</v>
      </c>
      <c r="B832" s="30">
        <v>6.66</v>
      </c>
      <c r="C832" s="30">
        <v>6.61</v>
      </c>
    </row>
    <row r="833" spans="1:3" x14ac:dyDescent="0.15">
      <c r="A833" s="30" t="s">
        <v>4669</v>
      </c>
      <c r="B833" s="30">
        <v>15.15</v>
      </c>
      <c r="C833" s="30">
        <v>15</v>
      </c>
    </row>
    <row r="834" spans="1:3" x14ac:dyDescent="0.15">
      <c r="A834" s="30" t="s">
        <v>244</v>
      </c>
      <c r="B834" s="30">
        <v>4.9800000000000004</v>
      </c>
      <c r="C834" s="30">
        <v>5.01</v>
      </c>
    </row>
    <row r="835" spans="1:3" x14ac:dyDescent="0.15">
      <c r="A835" s="30" t="s">
        <v>4670</v>
      </c>
      <c r="B835" s="30">
        <v>146.49</v>
      </c>
      <c r="C835" s="30">
        <v>147.16</v>
      </c>
    </row>
    <row r="836" spans="1:3" x14ac:dyDescent="0.15">
      <c r="A836" s="30" t="s">
        <v>2896</v>
      </c>
      <c r="B836" s="30">
        <v>12.68</v>
      </c>
      <c r="C836" s="30">
        <v>12.75</v>
      </c>
    </row>
    <row r="837" spans="1:3" x14ac:dyDescent="0.15">
      <c r="A837" s="30" t="s">
        <v>712</v>
      </c>
      <c r="B837" s="30">
        <v>11.67</v>
      </c>
      <c r="C837" s="30">
        <v>11.8</v>
      </c>
    </row>
    <row r="838" spans="1:3" x14ac:dyDescent="0.15">
      <c r="A838" s="30" t="s">
        <v>4671</v>
      </c>
      <c r="B838" s="30">
        <v>10.01</v>
      </c>
      <c r="C838" s="30">
        <v>9.9</v>
      </c>
    </row>
    <row r="839" spans="1:3" x14ac:dyDescent="0.15">
      <c r="A839" s="30" t="s">
        <v>419</v>
      </c>
      <c r="B839" s="30">
        <v>27.94</v>
      </c>
      <c r="C839" s="30">
        <v>28.04</v>
      </c>
    </row>
    <row r="840" spans="1:3" x14ac:dyDescent="0.15">
      <c r="A840" s="30" t="s">
        <v>3204</v>
      </c>
      <c r="B840" s="30">
        <v>33.71</v>
      </c>
      <c r="C840" s="30">
        <v>33.42</v>
      </c>
    </row>
    <row r="841" spans="1:3" x14ac:dyDescent="0.15">
      <c r="A841" s="30" t="s">
        <v>4672</v>
      </c>
      <c r="B841" s="30">
        <v>39.54</v>
      </c>
      <c r="C841" s="30">
        <v>39.31</v>
      </c>
    </row>
    <row r="842" spans="1:3" x14ac:dyDescent="0.15">
      <c r="A842" s="30" t="s">
        <v>3306</v>
      </c>
      <c r="B842" s="30">
        <v>13.95</v>
      </c>
      <c r="C842" s="30">
        <v>13.9</v>
      </c>
    </row>
    <row r="843" spans="1:3" x14ac:dyDescent="0.15">
      <c r="A843" s="30" t="s">
        <v>2880</v>
      </c>
      <c r="B843" s="30">
        <v>11.07</v>
      </c>
      <c r="C843" s="30">
        <v>10.06</v>
      </c>
    </row>
    <row r="844" spans="1:3" x14ac:dyDescent="0.15">
      <c r="A844" s="30" t="s">
        <v>1072</v>
      </c>
      <c r="B844" s="30">
        <v>11.02</v>
      </c>
      <c r="C844" s="30">
        <v>11.07</v>
      </c>
    </row>
    <row r="845" spans="1:3" x14ac:dyDescent="0.15">
      <c r="A845" s="30" t="s">
        <v>4673</v>
      </c>
      <c r="B845" s="30">
        <v>17.61</v>
      </c>
      <c r="C845" s="30">
        <v>17.43</v>
      </c>
    </row>
    <row r="846" spans="1:3" x14ac:dyDescent="0.15">
      <c r="A846" s="30" t="s">
        <v>4674</v>
      </c>
      <c r="B846" s="30">
        <v>54.44</v>
      </c>
      <c r="C846" s="30">
        <v>55.31</v>
      </c>
    </row>
    <row r="847" spans="1:3" x14ac:dyDescent="0.15">
      <c r="A847" s="30" t="s">
        <v>710</v>
      </c>
      <c r="B847" s="30">
        <v>69.89</v>
      </c>
      <c r="C847" s="30">
        <v>66.33</v>
      </c>
    </row>
    <row r="848" spans="1:3" x14ac:dyDescent="0.15">
      <c r="A848" s="30" t="s">
        <v>1046</v>
      </c>
      <c r="B848" s="30">
        <v>5.53</v>
      </c>
      <c r="C848" s="30">
        <v>5.52</v>
      </c>
    </row>
    <row r="849" spans="1:3" x14ac:dyDescent="0.15">
      <c r="A849" s="30" t="s">
        <v>704</v>
      </c>
      <c r="B849" s="30">
        <v>25.84</v>
      </c>
      <c r="C849" s="30">
        <v>25.7</v>
      </c>
    </row>
    <row r="850" spans="1:3" x14ac:dyDescent="0.15">
      <c r="A850" s="30" t="s">
        <v>459</v>
      </c>
      <c r="B850" s="30">
        <v>71.8</v>
      </c>
      <c r="C850" s="30">
        <v>71.819999999999993</v>
      </c>
    </row>
    <row r="851" spans="1:3" x14ac:dyDescent="0.15">
      <c r="A851" s="30" t="s">
        <v>3050</v>
      </c>
      <c r="B851" s="30">
        <v>21.38</v>
      </c>
      <c r="C851" s="30">
        <v>21.5</v>
      </c>
    </row>
    <row r="852" spans="1:3" x14ac:dyDescent="0.15">
      <c r="A852" s="30" t="s">
        <v>2928</v>
      </c>
      <c r="B852" s="30">
        <v>4.1500000000000004</v>
      </c>
      <c r="C852" s="30">
        <v>4.21</v>
      </c>
    </row>
    <row r="853" spans="1:3" x14ac:dyDescent="0.15">
      <c r="A853" s="30" t="s">
        <v>2760</v>
      </c>
      <c r="B853" s="30">
        <v>6.89</v>
      </c>
      <c r="C853" s="30">
        <v>6.95</v>
      </c>
    </row>
    <row r="854" spans="1:3" x14ac:dyDescent="0.15">
      <c r="A854" s="30" t="s">
        <v>487</v>
      </c>
      <c r="B854" s="30">
        <v>28.26</v>
      </c>
      <c r="C854" s="30">
        <v>27.72</v>
      </c>
    </row>
    <row r="855" spans="1:3" x14ac:dyDescent="0.15">
      <c r="A855" s="30" t="s">
        <v>3348</v>
      </c>
      <c r="B855" s="30">
        <v>9.26</v>
      </c>
      <c r="C855" s="30">
        <v>9.2799999999999994</v>
      </c>
    </row>
    <row r="856" spans="1:3" x14ac:dyDescent="0.15">
      <c r="A856" s="30" t="s">
        <v>4675</v>
      </c>
      <c r="B856" s="30">
        <v>6.8</v>
      </c>
      <c r="C856" s="30">
        <v>6.84</v>
      </c>
    </row>
    <row r="857" spans="1:3" x14ac:dyDescent="0.15">
      <c r="A857" s="30" t="s">
        <v>2988</v>
      </c>
      <c r="B857" s="30">
        <v>8.1300000000000008</v>
      </c>
      <c r="C857" s="30">
        <v>8.1199999999999992</v>
      </c>
    </row>
    <row r="858" spans="1:3" x14ac:dyDescent="0.15">
      <c r="A858" s="30" t="s">
        <v>204</v>
      </c>
      <c r="B858" s="30">
        <v>3.24</v>
      </c>
      <c r="C858" s="30">
        <v>3.24</v>
      </c>
    </row>
    <row r="859" spans="1:3" x14ac:dyDescent="0.15">
      <c r="A859" s="30" t="s">
        <v>4676</v>
      </c>
      <c r="B859" s="30">
        <v>5.9</v>
      </c>
      <c r="C859" s="30">
        <v>6.05</v>
      </c>
    </row>
    <row r="860" spans="1:3" x14ac:dyDescent="0.15">
      <c r="A860" s="30" t="s">
        <v>4677</v>
      </c>
      <c r="B860" s="30">
        <v>45.32</v>
      </c>
      <c r="C860" s="30">
        <v>46.6</v>
      </c>
    </row>
    <row r="861" spans="1:3" x14ac:dyDescent="0.15">
      <c r="A861" s="30" t="s">
        <v>4678</v>
      </c>
      <c r="B861" s="30">
        <v>163.12</v>
      </c>
      <c r="C861" s="30">
        <v>163.12</v>
      </c>
    </row>
    <row r="862" spans="1:3" x14ac:dyDescent="0.15">
      <c r="A862" s="30" t="s">
        <v>4679</v>
      </c>
      <c r="B862" s="30">
        <v>43.42</v>
      </c>
      <c r="C862" s="30">
        <v>39.47</v>
      </c>
    </row>
    <row r="863" spans="1:3" x14ac:dyDescent="0.15">
      <c r="A863" s="30" t="s">
        <v>4680</v>
      </c>
      <c r="B863" s="30">
        <v>10.49</v>
      </c>
      <c r="C863" s="30">
        <v>10.5</v>
      </c>
    </row>
    <row r="864" spans="1:3" x14ac:dyDescent="0.15">
      <c r="A864" s="30" t="s">
        <v>4681</v>
      </c>
      <c r="B864" s="30">
        <v>8.07</v>
      </c>
      <c r="C864" s="30">
        <v>8.09</v>
      </c>
    </row>
    <row r="865" spans="1:3" x14ac:dyDescent="0.15">
      <c r="A865" s="30" t="s">
        <v>622</v>
      </c>
      <c r="B865" s="30">
        <v>6.11</v>
      </c>
      <c r="C865" s="30">
        <v>6.17</v>
      </c>
    </row>
    <row r="866" spans="1:3" x14ac:dyDescent="0.15">
      <c r="A866" s="30" t="s">
        <v>2804</v>
      </c>
      <c r="B866" s="30">
        <v>5.49</v>
      </c>
      <c r="C866" s="30">
        <v>5.56</v>
      </c>
    </row>
    <row r="867" spans="1:3" x14ac:dyDescent="0.15">
      <c r="A867" s="30" t="s">
        <v>4682</v>
      </c>
      <c r="B867" s="30">
        <v>23.58</v>
      </c>
      <c r="C867" s="30">
        <v>23.91</v>
      </c>
    </row>
    <row r="868" spans="1:3" x14ac:dyDescent="0.15">
      <c r="A868" s="30" t="s">
        <v>4683</v>
      </c>
      <c r="B868" s="30">
        <v>13.47</v>
      </c>
      <c r="C868" s="30">
        <v>13.55</v>
      </c>
    </row>
    <row r="869" spans="1:3" x14ac:dyDescent="0.15">
      <c r="A869" s="30" t="s">
        <v>618</v>
      </c>
      <c r="B869" s="30">
        <v>6.57</v>
      </c>
      <c r="C869" s="30">
        <v>6.7</v>
      </c>
    </row>
    <row r="870" spans="1:3" x14ac:dyDescent="0.15">
      <c r="A870" s="30" t="s">
        <v>391</v>
      </c>
      <c r="B870" s="30">
        <v>18.57</v>
      </c>
      <c r="C870" s="30">
        <v>18.82</v>
      </c>
    </row>
    <row r="871" spans="1:3" x14ac:dyDescent="0.15">
      <c r="A871" s="30" t="s">
        <v>4684</v>
      </c>
      <c r="B871" s="30">
        <v>48.65</v>
      </c>
      <c r="C871" s="30">
        <v>49.24</v>
      </c>
    </row>
    <row r="872" spans="1:3" x14ac:dyDescent="0.15">
      <c r="A872" s="30" t="s">
        <v>674</v>
      </c>
      <c r="B872" s="30">
        <v>5.94</v>
      </c>
      <c r="C872" s="30">
        <v>5.94</v>
      </c>
    </row>
    <row r="873" spans="1:3" x14ac:dyDescent="0.15">
      <c r="A873" s="30" t="s">
        <v>3434</v>
      </c>
      <c r="B873" s="30">
        <v>9.08</v>
      </c>
      <c r="C873" s="30">
        <v>9.1199999999999992</v>
      </c>
    </row>
    <row r="874" spans="1:3" x14ac:dyDescent="0.15">
      <c r="A874" s="30" t="s">
        <v>4685</v>
      </c>
      <c r="B874" s="30">
        <v>11.61</v>
      </c>
      <c r="C874" s="30">
        <v>11.16</v>
      </c>
    </row>
    <row r="875" spans="1:3" x14ac:dyDescent="0.15">
      <c r="A875" s="30" t="s">
        <v>353</v>
      </c>
      <c r="B875" s="30">
        <v>20.88</v>
      </c>
      <c r="C875" s="30">
        <v>20.82</v>
      </c>
    </row>
    <row r="876" spans="1:3" x14ac:dyDescent="0.15">
      <c r="A876" s="30" t="s">
        <v>626</v>
      </c>
      <c r="B876" s="30">
        <v>12.63</v>
      </c>
      <c r="C876" s="30">
        <v>12.55</v>
      </c>
    </row>
    <row r="877" spans="1:3" x14ac:dyDescent="0.15">
      <c r="A877" s="30" t="s">
        <v>878</v>
      </c>
      <c r="B877" s="30">
        <v>5.04</v>
      </c>
      <c r="C877" s="30">
        <v>5.05</v>
      </c>
    </row>
    <row r="878" spans="1:3" x14ac:dyDescent="0.15">
      <c r="A878" s="30" t="s">
        <v>3470</v>
      </c>
      <c r="B878" s="30">
        <v>8.73</v>
      </c>
      <c r="C878" s="30">
        <v>8.74</v>
      </c>
    </row>
    <row r="879" spans="1:3" x14ac:dyDescent="0.15">
      <c r="A879" s="30" t="s">
        <v>874</v>
      </c>
      <c r="B879" s="30">
        <v>27.92</v>
      </c>
      <c r="C879" s="30">
        <v>27.42</v>
      </c>
    </row>
    <row r="880" spans="1:3" x14ac:dyDescent="0.15">
      <c r="A880" s="30" t="s">
        <v>3136</v>
      </c>
      <c r="B880" s="30">
        <v>9.09</v>
      </c>
      <c r="C880" s="30">
        <v>9.1199999999999992</v>
      </c>
    </row>
    <row r="881" spans="1:3" x14ac:dyDescent="0.15">
      <c r="A881" s="30" t="s">
        <v>980</v>
      </c>
      <c r="B881" s="30">
        <v>67.349999999999994</v>
      </c>
      <c r="C881" s="30">
        <v>61.83</v>
      </c>
    </row>
    <row r="882" spans="1:3" x14ac:dyDescent="0.15">
      <c r="A882" s="30" t="s">
        <v>870</v>
      </c>
      <c r="B882" s="30">
        <v>49.16</v>
      </c>
      <c r="C882" s="30">
        <v>47.73</v>
      </c>
    </row>
    <row r="883" spans="1:3" x14ac:dyDescent="0.15">
      <c r="A883" s="30" t="s">
        <v>4686</v>
      </c>
      <c r="B883" s="30">
        <v>42.07</v>
      </c>
      <c r="C883" s="30">
        <v>42.76</v>
      </c>
    </row>
    <row r="884" spans="1:3" x14ac:dyDescent="0.15">
      <c r="A884" s="30" t="s">
        <v>423</v>
      </c>
      <c r="B884" s="30">
        <v>47.19</v>
      </c>
      <c r="C884" s="30">
        <v>45.54</v>
      </c>
    </row>
    <row r="885" spans="1:3" x14ac:dyDescent="0.15">
      <c r="A885" s="30" t="s">
        <v>3220</v>
      </c>
      <c r="B885" s="30">
        <v>5.83</v>
      </c>
      <c r="C885" s="30">
        <v>5.86</v>
      </c>
    </row>
    <row r="886" spans="1:3" x14ac:dyDescent="0.15">
      <c r="A886" s="30" t="s">
        <v>880</v>
      </c>
      <c r="B886" s="30">
        <v>5.41</v>
      </c>
      <c r="C886" s="30">
        <v>5.45</v>
      </c>
    </row>
    <row r="887" spans="1:3" x14ac:dyDescent="0.15">
      <c r="A887" s="30" t="s">
        <v>1050</v>
      </c>
      <c r="B887" s="30">
        <v>18.399999999999999</v>
      </c>
      <c r="C887" s="30">
        <v>18.27</v>
      </c>
    </row>
    <row r="888" spans="1:3" x14ac:dyDescent="0.15">
      <c r="A888" s="30" t="s">
        <v>4687</v>
      </c>
      <c r="B888" s="30">
        <v>13.17</v>
      </c>
      <c r="C888" s="30">
        <v>13.17</v>
      </c>
    </row>
    <row r="889" spans="1:3" x14ac:dyDescent="0.15">
      <c r="A889" s="30" t="s">
        <v>634</v>
      </c>
      <c r="B889" s="30">
        <v>5.14</v>
      </c>
      <c r="C889" s="30">
        <v>5.14</v>
      </c>
    </row>
    <row r="890" spans="1:3" x14ac:dyDescent="0.15">
      <c r="A890" s="30" t="s">
        <v>4688</v>
      </c>
      <c r="B890" s="30">
        <v>26.83</v>
      </c>
      <c r="C890" s="30">
        <v>27.74</v>
      </c>
    </row>
    <row r="891" spans="1:3" x14ac:dyDescent="0.15">
      <c r="A891" s="30" t="s">
        <v>250</v>
      </c>
      <c r="B891" s="30">
        <v>101.32</v>
      </c>
      <c r="C891" s="30">
        <v>101.5</v>
      </c>
    </row>
    <row r="892" spans="1:3" x14ac:dyDescent="0.15">
      <c r="A892" s="30" t="s">
        <v>610</v>
      </c>
      <c r="B892" s="30">
        <v>44.18</v>
      </c>
      <c r="C892" s="30">
        <v>43.18</v>
      </c>
    </row>
    <row r="893" spans="1:3" x14ac:dyDescent="0.15">
      <c r="A893" s="30" t="s">
        <v>578</v>
      </c>
      <c r="B893" s="30">
        <v>5.59</v>
      </c>
      <c r="C893" s="30">
        <v>5.68</v>
      </c>
    </row>
    <row r="894" spans="1:3" x14ac:dyDescent="0.15">
      <c r="A894" s="30" t="s">
        <v>4689</v>
      </c>
      <c r="B894" s="30">
        <v>17.829999999999998</v>
      </c>
      <c r="C894" s="30">
        <v>18.47</v>
      </c>
    </row>
    <row r="895" spans="1:3" x14ac:dyDescent="0.15">
      <c r="A895" s="30" t="s">
        <v>3286</v>
      </c>
      <c r="B895" s="30">
        <v>6.33</v>
      </c>
      <c r="C895" s="30">
        <v>6.4</v>
      </c>
    </row>
    <row r="896" spans="1:3" x14ac:dyDescent="0.15">
      <c r="A896" s="30" t="s">
        <v>756</v>
      </c>
      <c r="B896" s="30">
        <v>9.9600000000000009</v>
      </c>
      <c r="C896" s="30">
        <v>10</v>
      </c>
    </row>
    <row r="897" spans="1:3" x14ac:dyDescent="0.15">
      <c r="A897" s="30" t="s">
        <v>4690</v>
      </c>
      <c r="B897" s="30">
        <v>15.23</v>
      </c>
      <c r="C897" s="30">
        <v>15.1</v>
      </c>
    </row>
    <row r="898" spans="1:3" x14ac:dyDescent="0.15">
      <c r="A898" s="30" t="s">
        <v>192</v>
      </c>
      <c r="B898" s="30">
        <v>42.32</v>
      </c>
      <c r="C898" s="30">
        <v>40.83</v>
      </c>
    </row>
    <row r="899" spans="1:3" x14ac:dyDescent="0.15">
      <c r="A899" s="30" t="s">
        <v>120</v>
      </c>
      <c r="B899" s="30">
        <v>6.76</v>
      </c>
      <c r="C899" s="30">
        <v>6.88</v>
      </c>
    </row>
    <row r="900" spans="1:3" x14ac:dyDescent="0.15">
      <c r="A900" s="30" t="s">
        <v>4691</v>
      </c>
      <c r="B900" s="30">
        <v>46.93</v>
      </c>
      <c r="C900" s="30">
        <v>47.36</v>
      </c>
    </row>
    <row r="901" spans="1:3" x14ac:dyDescent="0.15">
      <c r="A901" s="30" t="s">
        <v>1054</v>
      </c>
      <c r="B901" s="30">
        <v>14.59</v>
      </c>
      <c r="C901" s="30">
        <v>14.59</v>
      </c>
    </row>
    <row r="902" spans="1:3" x14ac:dyDescent="0.15">
      <c r="A902" s="30" t="s">
        <v>154</v>
      </c>
      <c r="B902" s="30">
        <v>6.74</v>
      </c>
      <c r="C902" s="30">
        <v>6.86</v>
      </c>
    </row>
    <row r="903" spans="1:3" x14ac:dyDescent="0.15">
      <c r="A903" s="30" t="s">
        <v>134</v>
      </c>
      <c r="B903" s="30">
        <v>2.65</v>
      </c>
      <c r="C903" s="30">
        <v>2.66</v>
      </c>
    </row>
    <row r="904" spans="1:3" x14ac:dyDescent="0.15">
      <c r="A904" s="30" t="s">
        <v>3190</v>
      </c>
      <c r="B904" s="30">
        <v>4.18</v>
      </c>
      <c r="C904" s="30">
        <v>4.2</v>
      </c>
    </row>
    <row r="905" spans="1:3" x14ac:dyDescent="0.15">
      <c r="A905" s="30" t="s">
        <v>3424</v>
      </c>
      <c r="B905" s="30">
        <v>7.64</v>
      </c>
      <c r="C905" s="30">
        <v>7.52</v>
      </c>
    </row>
    <row r="906" spans="1:3" x14ac:dyDescent="0.15">
      <c r="A906" s="30" t="s">
        <v>4692</v>
      </c>
      <c r="B906" s="30">
        <v>5.71</v>
      </c>
      <c r="C906" s="30">
        <v>5.71</v>
      </c>
    </row>
    <row r="907" spans="1:3" x14ac:dyDescent="0.15">
      <c r="A907" s="30" t="s">
        <v>4693</v>
      </c>
      <c r="B907" s="30">
        <v>11.11</v>
      </c>
      <c r="C907" s="30">
        <v>11.1</v>
      </c>
    </row>
    <row r="908" spans="1:3" x14ac:dyDescent="0.15">
      <c r="A908" s="30" t="s">
        <v>916</v>
      </c>
      <c r="B908" s="30">
        <v>3.86</v>
      </c>
      <c r="C908" s="30">
        <v>3.91</v>
      </c>
    </row>
    <row r="909" spans="1:3" x14ac:dyDescent="0.15">
      <c r="A909" s="30" t="s">
        <v>4694</v>
      </c>
      <c r="B909" s="30">
        <v>10.08</v>
      </c>
      <c r="C909" s="30">
        <v>10.36</v>
      </c>
    </row>
    <row r="910" spans="1:3" x14ac:dyDescent="0.15">
      <c r="A910" s="30" t="s">
        <v>4695</v>
      </c>
      <c r="B910" s="30">
        <v>4.5</v>
      </c>
      <c r="C910" s="30">
        <v>4.55</v>
      </c>
    </row>
    <row r="911" spans="1:3" x14ac:dyDescent="0.15">
      <c r="A911" s="30" t="s">
        <v>1064</v>
      </c>
      <c r="B911" s="30">
        <v>9.02</v>
      </c>
      <c r="C911" s="30">
        <v>9</v>
      </c>
    </row>
    <row r="912" spans="1:3" x14ac:dyDescent="0.15">
      <c r="A912" s="30" t="s">
        <v>638</v>
      </c>
      <c r="B912" s="30">
        <v>7.35</v>
      </c>
      <c r="C912" s="30">
        <v>7.35</v>
      </c>
    </row>
    <row r="913" spans="1:3" x14ac:dyDescent="0.15">
      <c r="A913" s="30" t="s">
        <v>254</v>
      </c>
      <c r="B913" s="30">
        <v>10.83</v>
      </c>
      <c r="C913" s="30">
        <v>10.83</v>
      </c>
    </row>
    <row r="914" spans="1:3" x14ac:dyDescent="0.15">
      <c r="A914" s="30" t="s">
        <v>2826</v>
      </c>
      <c r="B914" s="30">
        <v>22.57</v>
      </c>
      <c r="C914" s="30">
        <v>21.72</v>
      </c>
    </row>
    <row r="915" spans="1:3" x14ac:dyDescent="0.15">
      <c r="A915" s="30" t="s">
        <v>136</v>
      </c>
      <c r="B915" s="30">
        <v>8.34</v>
      </c>
      <c r="C915" s="30">
        <v>8.2899999999999991</v>
      </c>
    </row>
    <row r="916" spans="1:3" x14ac:dyDescent="0.15">
      <c r="A916" s="30" t="s">
        <v>564</v>
      </c>
      <c r="B916" s="30">
        <v>7.5</v>
      </c>
      <c r="C916" s="30">
        <v>7.52</v>
      </c>
    </row>
    <row r="917" spans="1:3" x14ac:dyDescent="0.15">
      <c r="A917" s="30" t="s">
        <v>3038</v>
      </c>
      <c r="B917" s="30">
        <v>4.0999999999999996</v>
      </c>
      <c r="C917" s="30">
        <v>4.1399999999999997</v>
      </c>
    </row>
    <row r="918" spans="1:3" x14ac:dyDescent="0.15">
      <c r="A918" s="30" t="s">
        <v>3064</v>
      </c>
      <c r="B918" s="30">
        <v>39.43</v>
      </c>
      <c r="C918" s="30">
        <v>39.9</v>
      </c>
    </row>
    <row r="919" spans="1:3" x14ac:dyDescent="0.15">
      <c r="A919" s="30" t="s">
        <v>520</v>
      </c>
      <c r="B919" s="30">
        <v>8.41</v>
      </c>
      <c r="C919" s="30">
        <v>8.3699999999999992</v>
      </c>
    </row>
    <row r="920" spans="1:3" x14ac:dyDescent="0.15">
      <c r="A920" s="30" t="s">
        <v>4696</v>
      </c>
      <c r="B920" s="30">
        <v>31.59</v>
      </c>
      <c r="C920" s="30">
        <v>31.3</v>
      </c>
    </row>
    <row r="921" spans="1:3" x14ac:dyDescent="0.15">
      <c r="A921" s="30" t="s">
        <v>982</v>
      </c>
      <c r="B921" s="30">
        <v>8.9700000000000006</v>
      </c>
      <c r="C921" s="30">
        <v>9.0399999999999991</v>
      </c>
    </row>
    <row r="922" spans="1:3" x14ac:dyDescent="0.15">
      <c r="A922" s="30" t="s">
        <v>3310</v>
      </c>
      <c r="B922" s="30">
        <v>13.78</v>
      </c>
      <c r="C922" s="30">
        <v>13.61</v>
      </c>
    </row>
    <row r="923" spans="1:3" x14ac:dyDescent="0.15">
      <c r="A923" s="30" t="s">
        <v>632</v>
      </c>
      <c r="B923" s="30">
        <v>37.049999999999997</v>
      </c>
      <c r="C923" s="30">
        <v>35.909999999999997</v>
      </c>
    </row>
    <row r="924" spans="1:3" x14ac:dyDescent="0.15">
      <c r="A924" s="30" t="s">
        <v>802</v>
      </c>
      <c r="B924" s="30">
        <v>4.29</v>
      </c>
      <c r="C924" s="30">
        <v>4.3499999999999996</v>
      </c>
    </row>
    <row r="925" spans="1:3" x14ac:dyDescent="0.15">
      <c r="A925" s="30" t="s">
        <v>104</v>
      </c>
      <c r="B925" s="30">
        <v>6.91</v>
      </c>
      <c r="C925" s="30">
        <v>6.97</v>
      </c>
    </row>
    <row r="926" spans="1:3" x14ac:dyDescent="0.15">
      <c r="A926" s="30" t="s">
        <v>357</v>
      </c>
      <c r="B926" s="30">
        <v>13.9</v>
      </c>
      <c r="C926" s="30">
        <v>13.89</v>
      </c>
    </row>
    <row r="927" spans="1:3" x14ac:dyDescent="0.15">
      <c r="A927" s="30" t="s">
        <v>4697</v>
      </c>
      <c r="B927" s="30">
        <v>29.03</v>
      </c>
      <c r="C927" s="30">
        <v>28.47</v>
      </c>
    </row>
    <row r="928" spans="1:3" x14ac:dyDescent="0.15">
      <c r="A928" s="30" t="s">
        <v>3022</v>
      </c>
      <c r="B928" s="30">
        <v>21.83</v>
      </c>
      <c r="C928" s="30">
        <v>21.78</v>
      </c>
    </row>
    <row r="929" spans="1:3" x14ac:dyDescent="0.15">
      <c r="A929" s="30" t="s">
        <v>754</v>
      </c>
      <c r="B929" s="30">
        <v>38.25</v>
      </c>
      <c r="C929" s="30">
        <v>37.5</v>
      </c>
    </row>
    <row r="930" spans="1:3" x14ac:dyDescent="0.15">
      <c r="A930" s="30" t="s">
        <v>942</v>
      </c>
      <c r="B930" s="30">
        <v>4.5999999999999996</v>
      </c>
      <c r="C930" s="30">
        <v>4.5599999999999996</v>
      </c>
    </row>
    <row r="931" spans="1:3" x14ac:dyDescent="0.15">
      <c r="A931" s="30" t="s">
        <v>2866</v>
      </c>
      <c r="B931" s="30">
        <v>9.58</v>
      </c>
      <c r="C931" s="30">
        <v>9.6</v>
      </c>
    </row>
    <row r="932" spans="1:3" x14ac:dyDescent="0.15">
      <c r="A932" s="30" t="s">
        <v>786</v>
      </c>
      <c r="B932" s="30">
        <v>14.08</v>
      </c>
      <c r="C932" s="30">
        <v>14.11</v>
      </c>
    </row>
    <row r="933" spans="1:3" x14ac:dyDescent="0.15">
      <c r="A933" s="30" t="s">
        <v>1038</v>
      </c>
      <c r="B933" s="30">
        <v>17.05</v>
      </c>
      <c r="C933" s="30">
        <v>17.2</v>
      </c>
    </row>
    <row r="934" spans="1:3" x14ac:dyDescent="0.15">
      <c r="A934" s="30" t="s">
        <v>3272</v>
      </c>
      <c r="B934" s="30">
        <v>36.57</v>
      </c>
      <c r="C934" s="30">
        <v>36.82</v>
      </c>
    </row>
    <row r="935" spans="1:3" x14ac:dyDescent="0.15">
      <c r="A935" s="30" t="s">
        <v>2902</v>
      </c>
      <c r="B935" s="30">
        <v>20.79</v>
      </c>
      <c r="C935" s="30">
        <v>21.08</v>
      </c>
    </row>
    <row r="936" spans="1:3" x14ac:dyDescent="0.15">
      <c r="A936" s="30" t="s">
        <v>170</v>
      </c>
      <c r="B936" s="30">
        <v>22.3</v>
      </c>
      <c r="C936" s="30">
        <v>22.22</v>
      </c>
    </row>
    <row r="937" spans="1:3" x14ac:dyDescent="0.15">
      <c r="A937" s="30" t="s">
        <v>453</v>
      </c>
      <c r="B937" s="30">
        <v>8.02</v>
      </c>
      <c r="C937" s="30">
        <v>7.77</v>
      </c>
    </row>
    <row r="938" spans="1:3" x14ac:dyDescent="0.15">
      <c r="A938" s="30" t="s">
        <v>762</v>
      </c>
      <c r="B938" s="30">
        <v>14.6</v>
      </c>
      <c r="C938" s="30">
        <v>14.18</v>
      </c>
    </row>
    <row r="939" spans="1:3" x14ac:dyDescent="0.15">
      <c r="A939" s="30" t="s">
        <v>1066</v>
      </c>
      <c r="B939" s="30">
        <v>5.69</v>
      </c>
      <c r="C939" s="30">
        <v>5.69</v>
      </c>
    </row>
    <row r="940" spans="1:3" x14ac:dyDescent="0.15">
      <c r="A940" s="30" t="s">
        <v>4698</v>
      </c>
      <c r="B940" s="30">
        <v>13.29</v>
      </c>
      <c r="C940" s="30">
        <v>13.24</v>
      </c>
    </row>
    <row r="941" spans="1:3" x14ac:dyDescent="0.15">
      <c r="A941" s="30" t="s">
        <v>264</v>
      </c>
      <c r="B941" s="30">
        <v>20.18</v>
      </c>
      <c r="C941" s="30">
        <v>20.13</v>
      </c>
    </row>
    <row r="942" spans="1:3" x14ac:dyDescent="0.15">
      <c r="A942" s="30" t="s">
        <v>3296</v>
      </c>
      <c r="B942" s="30">
        <v>21.35</v>
      </c>
      <c r="C942" s="30">
        <v>20.81</v>
      </c>
    </row>
    <row r="943" spans="1:3" x14ac:dyDescent="0.15">
      <c r="A943" s="30" t="s">
        <v>3158</v>
      </c>
      <c r="B943" s="30">
        <v>16.05</v>
      </c>
      <c r="C943" s="30">
        <v>16.39</v>
      </c>
    </row>
    <row r="944" spans="1:3" x14ac:dyDescent="0.15">
      <c r="A944" s="30" t="s">
        <v>4699</v>
      </c>
      <c r="B944" s="30">
        <v>60.32</v>
      </c>
      <c r="C944" s="30">
        <v>59.96</v>
      </c>
    </row>
    <row r="945" spans="1:3" x14ac:dyDescent="0.15">
      <c r="A945" s="30" t="s">
        <v>526</v>
      </c>
      <c r="B945" s="30">
        <v>67.650000000000006</v>
      </c>
      <c r="C945" s="30">
        <v>67.989999999999995</v>
      </c>
    </row>
    <row r="946" spans="1:3" x14ac:dyDescent="0.15">
      <c r="A946" s="30" t="s">
        <v>4700</v>
      </c>
      <c r="B946" s="30">
        <v>15.66</v>
      </c>
      <c r="C946" s="30">
        <v>15.66</v>
      </c>
    </row>
    <row r="947" spans="1:3" x14ac:dyDescent="0.15">
      <c r="A947" s="30" t="s">
        <v>3314</v>
      </c>
      <c r="B947" s="30">
        <v>15.85</v>
      </c>
      <c r="C947" s="30">
        <v>15.45</v>
      </c>
    </row>
    <row r="948" spans="1:3" x14ac:dyDescent="0.15">
      <c r="A948" s="30" t="s">
        <v>4701</v>
      </c>
      <c r="B948" s="30">
        <v>24.62</v>
      </c>
      <c r="C948" s="30">
        <v>23.9</v>
      </c>
    </row>
    <row r="949" spans="1:3" x14ac:dyDescent="0.15">
      <c r="A949" s="30" t="s">
        <v>4702</v>
      </c>
      <c r="B949" s="30">
        <v>21.7</v>
      </c>
      <c r="C949" s="30">
        <v>21.9</v>
      </c>
    </row>
    <row r="950" spans="1:3" x14ac:dyDescent="0.15">
      <c r="A950" s="30" t="s">
        <v>4703</v>
      </c>
      <c r="B950" s="30">
        <v>22.88</v>
      </c>
      <c r="C950" s="30">
        <v>23.08</v>
      </c>
    </row>
    <row r="951" spans="1:3" x14ac:dyDescent="0.15">
      <c r="A951" s="30" t="s">
        <v>4704</v>
      </c>
      <c r="B951" s="30">
        <v>10.14</v>
      </c>
      <c r="C951" s="30">
        <v>9.9</v>
      </c>
    </row>
    <row r="952" spans="1:3" x14ac:dyDescent="0.15">
      <c r="A952" s="30" t="s">
        <v>4705</v>
      </c>
      <c r="B952" s="30">
        <v>46.91</v>
      </c>
      <c r="C952" s="30">
        <v>47.95</v>
      </c>
    </row>
    <row r="953" spans="1:3" x14ac:dyDescent="0.15">
      <c r="A953" s="30" t="s">
        <v>4706</v>
      </c>
      <c r="B953" s="30">
        <v>15.35</v>
      </c>
      <c r="C953" s="30">
        <v>15.4</v>
      </c>
    </row>
    <row r="954" spans="1:3" x14ac:dyDescent="0.15">
      <c r="A954" s="30" t="s">
        <v>283</v>
      </c>
      <c r="B954" s="30">
        <v>30.64</v>
      </c>
      <c r="C954" s="30">
        <v>28.86</v>
      </c>
    </row>
    <row r="955" spans="1:3" x14ac:dyDescent="0.15">
      <c r="A955" s="30" t="s">
        <v>258</v>
      </c>
      <c r="B955" s="30">
        <v>8.24</v>
      </c>
      <c r="C955" s="30">
        <v>8.24</v>
      </c>
    </row>
    <row r="956" spans="1:3" x14ac:dyDescent="0.15">
      <c r="A956" s="30" t="s">
        <v>3548</v>
      </c>
      <c r="B956" s="30">
        <v>11.42</v>
      </c>
      <c r="C956" s="30">
        <v>11.6</v>
      </c>
    </row>
    <row r="957" spans="1:3" x14ac:dyDescent="0.15">
      <c r="A957" s="30" t="s">
        <v>210</v>
      </c>
      <c r="B957" s="30">
        <v>110.57</v>
      </c>
      <c r="C957" s="30">
        <v>114.93</v>
      </c>
    </row>
    <row r="958" spans="1:3" x14ac:dyDescent="0.15">
      <c r="A958" s="30" t="s">
        <v>686</v>
      </c>
      <c r="B958" s="30">
        <v>5.82</v>
      </c>
      <c r="C958" s="30">
        <v>5.94</v>
      </c>
    </row>
    <row r="959" spans="1:3" x14ac:dyDescent="0.15">
      <c r="A959" s="30" t="s">
        <v>321</v>
      </c>
      <c r="B959" s="30">
        <v>26.35</v>
      </c>
      <c r="C959" s="30">
        <v>25.66</v>
      </c>
    </row>
    <row r="960" spans="1:3" x14ac:dyDescent="0.15">
      <c r="A960" s="30" t="s">
        <v>726</v>
      </c>
      <c r="B960" s="30">
        <v>6.72</v>
      </c>
      <c r="C960" s="30">
        <v>6.75</v>
      </c>
    </row>
    <row r="961" spans="1:3" x14ac:dyDescent="0.15">
      <c r="A961" s="30" t="s">
        <v>2960</v>
      </c>
      <c r="B961" s="30">
        <v>22.53</v>
      </c>
      <c r="C961" s="30">
        <v>22.24</v>
      </c>
    </row>
    <row r="962" spans="1:3" x14ac:dyDescent="0.15">
      <c r="A962" s="30" t="s">
        <v>4707</v>
      </c>
      <c r="B962" s="30">
        <v>25.5</v>
      </c>
      <c r="C962" s="30">
        <v>25.67</v>
      </c>
    </row>
    <row r="963" spans="1:3" x14ac:dyDescent="0.15">
      <c r="A963" s="30" t="s">
        <v>992</v>
      </c>
      <c r="B963" s="30">
        <v>15</v>
      </c>
      <c r="C963" s="30">
        <v>14.99</v>
      </c>
    </row>
    <row r="964" spans="1:3" x14ac:dyDescent="0.15">
      <c r="A964" s="30" t="s">
        <v>906</v>
      </c>
      <c r="B964" s="30">
        <v>14.98</v>
      </c>
      <c r="C964" s="30">
        <v>15</v>
      </c>
    </row>
    <row r="965" spans="1:3" x14ac:dyDescent="0.15">
      <c r="A965" s="30" t="s">
        <v>4708</v>
      </c>
      <c r="B965" s="30">
        <v>6.77</v>
      </c>
      <c r="C965" s="30">
        <v>6.37</v>
      </c>
    </row>
    <row r="966" spans="1:3" x14ac:dyDescent="0.15">
      <c r="A966" s="30" t="s">
        <v>2990</v>
      </c>
      <c r="B966" s="30">
        <v>5.77</v>
      </c>
      <c r="C966" s="30">
        <v>5.78</v>
      </c>
    </row>
    <row r="967" spans="1:3" x14ac:dyDescent="0.15">
      <c r="A967" s="30" t="s">
        <v>307</v>
      </c>
      <c r="B967" s="30">
        <v>73.459999999999994</v>
      </c>
      <c r="C967" s="30">
        <v>73.09</v>
      </c>
    </row>
    <row r="968" spans="1:3" x14ac:dyDescent="0.15">
      <c r="A968" s="30" t="s">
        <v>409</v>
      </c>
      <c r="B968" s="30">
        <v>67.09</v>
      </c>
      <c r="C968" s="30">
        <v>67.13</v>
      </c>
    </row>
    <row r="969" spans="1:3" x14ac:dyDescent="0.15">
      <c r="A969" s="30" t="s">
        <v>4709</v>
      </c>
      <c r="B969" s="30">
        <v>10.72</v>
      </c>
      <c r="C969" s="30">
        <v>10.66</v>
      </c>
    </row>
    <row r="970" spans="1:3" x14ac:dyDescent="0.15">
      <c r="A970" s="30" t="s">
        <v>994</v>
      </c>
      <c r="B970" s="30">
        <v>8.8000000000000007</v>
      </c>
      <c r="C970" s="30">
        <v>9.0500000000000007</v>
      </c>
    </row>
    <row r="971" spans="1:3" x14ac:dyDescent="0.15">
      <c r="A971" s="30" t="s">
        <v>838</v>
      </c>
      <c r="B971" s="30">
        <v>9.15</v>
      </c>
      <c r="C971" s="30">
        <v>9.36</v>
      </c>
    </row>
    <row r="972" spans="1:3" x14ac:dyDescent="0.15">
      <c r="A972" s="30" t="s">
        <v>429</v>
      </c>
      <c r="B972" s="30">
        <v>21.69</v>
      </c>
      <c r="C972" s="30">
        <v>21.65</v>
      </c>
    </row>
    <row r="973" spans="1:3" x14ac:dyDescent="0.15">
      <c r="A973" s="30" t="s">
        <v>3210</v>
      </c>
      <c r="B973" s="30">
        <v>8.02</v>
      </c>
      <c r="C973" s="30">
        <v>8.1</v>
      </c>
    </row>
    <row r="974" spans="1:3" x14ac:dyDescent="0.15">
      <c r="A974" s="30" t="s">
        <v>574</v>
      </c>
      <c r="B974" s="30">
        <v>7.28</v>
      </c>
      <c r="C974" s="30">
        <v>7.31</v>
      </c>
    </row>
    <row r="975" spans="1:3" x14ac:dyDescent="0.15">
      <c r="A975" s="30" t="s">
        <v>505</v>
      </c>
      <c r="B975" s="30">
        <v>52.82</v>
      </c>
      <c r="C975" s="30">
        <v>52.65</v>
      </c>
    </row>
    <row r="976" spans="1:3" x14ac:dyDescent="0.15">
      <c r="A976" s="30" t="s">
        <v>365</v>
      </c>
      <c r="B976" s="30">
        <v>10.39</v>
      </c>
      <c r="C976" s="30">
        <v>10.39</v>
      </c>
    </row>
    <row r="977" spans="1:3" x14ac:dyDescent="0.15">
      <c r="A977" s="30" t="s">
        <v>4710</v>
      </c>
      <c r="B977" s="30">
        <v>15.81</v>
      </c>
      <c r="C977" s="30">
        <v>15.94</v>
      </c>
    </row>
    <row r="978" spans="1:3" x14ac:dyDescent="0.15">
      <c r="A978" s="30" t="s">
        <v>4711</v>
      </c>
      <c r="B978" s="30">
        <v>9.5299999999999994</v>
      </c>
      <c r="C978" s="30">
        <v>9.52</v>
      </c>
    </row>
    <row r="979" spans="1:3" x14ac:dyDescent="0.15">
      <c r="A979" s="30" t="s">
        <v>4712</v>
      </c>
      <c r="B979" s="30">
        <v>8.26</v>
      </c>
      <c r="C979" s="30">
        <v>8.16</v>
      </c>
    </row>
    <row r="980" spans="1:3" x14ac:dyDescent="0.15">
      <c r="A980" s="30" t="s">
        <v>4713</v>
      </c>
      <c r="B980" s="30">
        <v>16.260000000000002</v>
      </c>
      <c r="C980" s="30">
        <v>16.46</v>
      </c>
    </row>
    <row r="981" spans="1:3" x14ac:dyDescent="0.15">
      <c r="A981" s="30" t="s">
        <v>4714</v>
      </c>
      <c r="B981" s="30">
        <v>8.68</v>
      </c>
      <c r="C981" s="30">
        <v>8.68</v>
      </c>
    </row>
    <row r="982" spans="1:3" x14ac:dyDescent="0.15">
      <c r="A982" s="30" t="s">
        <v>479</v>
      </c>
      <c r="B982" s="30">
        <v>115.9</v>
      </c>
      <c r="C982" s="30">
        <v>112.98</v>
      </c>
    </row>
    <row r="983" spans="1:3" x14ac:dyDescent="0.15">
      <c r="A983" s="30" t="s">
        <v>3366</v>
      </c>
      <c r="B983" s="30">
        <v>13.24</v>
      </c>
      <c r="C983" s="30">
        <v>13.08</v>
      </c>
    </row>
    <row r="984" spans="1:3" x14ac:dyDescent="0.15">
      <c r="A984" s="30" t="s">
        <v>421</v>
      </c>
      <c r="B984" s="30">
        <v>23.24</v>
      </c>
      <c r="C984" s="30">
        <v>23.31</v>
      </c>
    </row>
    <row r="985" spans="1:3" x14ac:dyDescent="0.15">
      <c r="A985" s="30" t="s">
        <v>190</v>
      </c>
      <c r="B985" s="30">
        <v>20.18</v>
      </c>
      <c r="C985" s="30">
        <v>19.97</v>
      </c>
    </row>
    <row r="986" spans="1:3" x14ac:dyDescent="0.15">
      <c r="A986" s="30" t="s">
        <v>658</v>
      </c>
      <c r="B986" s="30">
        <v>16.95</v>
      </c>
      <c r="C986" s="30">
        <v>17.05</v>
      </c>
    </row>
    <row r="987" spans="1:3" x14ac:dyDescent="0.15">
      <c r="A987" s="30" t="s">
        <v>818</v>
      </c>
      <c r="B987" s="30">
        <v>5.04</v>
      </c>
      <c r="C987" s="30">
        <v>5.03</v>
      </c>
    </row>
    <row r="988" spans="1:3" x14ac:dyDescent="0.15">
      <c r="A988" s="30" t="s">
        <v>3550</v>
      </c>
      <c r="B988" s="30">
        <v>10.94</v>
      </c>
      <c r="C988" s="30">
        <v>10.91</v>
      </c>
    </row>
    <row r="989" spans="1:3" x14ac:dyDescent="0.15">
      <c r="A989" s="30" t="s">
        <v>920</v>
      </c>
      <c r="B989" s="30">
        <v>34.25</v>
      </c>
      <c r="C989" s="30">
        <v>34.119999999999997</v>
      </c>
    </row>
    <row r="990" spans="1:3" x14ac:dyDescent="0.15">
      <c r="A990" s="30" t="s">
        <v>457</v>
      </c>
      <c r="B990" s="30">
        <v>20.27</v>
      </c>
      <c r="C990" s="30">
        <v>20.79</v>
      </c>
    </row>
    <row r="991" spans="1:3" x14ac:dyDescent="0.15">
      <c r="A991" s="30" t="s">
        <v>184</v>
      </c>
      <c r="B991" s="30">
        <v>22.56</v>
      </c>
      <c r="C991" s="30">
        <v>23.37</v>
      </c>
    </row>
    <row r="992" spans="1:3" x14ac:dyDescent="0.15">
      <c r="A992" s="30" t="s">
        <v>1070</v>
      </c>
      <c r="B992" s="30">
        <v>11.44</v>
      </c>
      <c r="C992" s="30">
        <v>11.34</v>
      </c>
    </row>
    <row r="993" spans="1:3" x14ac:dyDescent="0.15">
      <c r="A993" s="30" t="s">
        <v>558</v>
      </c>
      <c r="B993" s="30">
        <v>20.13</v>
      </c>
      <c r="C993" s="30">
        <v>19.510000000000002</v>
      </c>
    </row>
    <row r="994" spans="1:3" x14ac:dyDescent="0.15">
      <c r="A994" s="30" t="s">
        <v>212</v>
      </c>
      <c r="B994" s="30">
        <v>43.92</v>
      </c>
      <c r="C994" s="30">
        <v>43.73</v>
      </c>
    </row>
    <row r="995" spans="1:3" x14ac:dyDescent="0.15">
      <c r="A995" s="30" t="s">
        <v>2824</v>
      </c>
      <c r="B995" s="30">
        <v>48.27</v>
      </c>
      <c r="C995" s="30">
        <v>48.98</v>
      </c>
    </row>
    <row r="996" spans="1:3" x14ac:dyDescent="0.15">
      <c r="A996" s="30" t="s">
        <v>4715</v>
      </c>
      <c r="B996" s="30">
        <v>25.54</v>
      </c>
      <c r="C996" s="30">
        <v>25.85</v>
      </c>
    </row>
    <row r="997" spans="1:3" x14ac:dyDescent="0.15">
      <c r="A997" s="30" t="s">
        <v>856</v>
      </c>
      <c r="B997" s="30">
        <v>11.12</v>
      </c>
      <c r="C997" s="30">
        <v>10.51</v>
      </c>
    </row>
    <row r="998" spans="1:3" x14ac:dyDescent="0.15">
      <c r="A998" s="30" t="s">
        <v>295</v>
      </c>
      <c r="B998" s="30">
        <v>7.13</v>
      </c>
      <c r="C998" s="30">
        <v>7.15</v>
      </c>
    </row>
    <row r="999" spans="1:3" x14ac:dyDescent="0.15">
      <c r="A999" s="30" t="s">
        <v>3232</v>
      </c>
      <c r="B999" s="30">
        <v>16.28</v>
      </c>
      <c r="C999" s="30">
        <v>15.78</v>
      </c>
    </row>
    <row r="1000" spans="1:3" x14ac:dyDescent="0.15">
      <c r="A1000" s="30" t="s">
        <v>708</v>
      </c>
      <c r="B1000" s="30">
        <v>7.68</v>
      </c>
      <c r="C1000" s="30">
        <v>7.7</v>
      </c>
    </row>
    <row r="1001" spans="1:3" x14ac:dyDescent="0.15">
      <c r="A1001" s="30" t="s">
        <v>532</v>
      </c>
      <c r="B1001" s="30">
        <v>7.36</v>
      </c>
      <c r="C1001" s="30">
        <v>7.29</v>
      </c>
    </row>
    <row r="1002" spans="1:3" x14ac:dyDescent="0.15">
      <c r="A1002" s="30" t="s">
        <v>4716</v>
      </c>
      <c r="B1002" s="30">
        <v>11.54</v>
      </c>
      <c r="C1002" s="30">
        <v>11.66</v>
      </c>
    </row>
    <row r="1003" spans="1:3" x14ac:dyDescent="0.15">
      <c r="A1003" s="30" t="s">
        <v>4717</v>
      </c>
      <c r="B1003" s="30">
        <v>9.7100000000000009</v>
      </c>
      <c r="C1003" s="30">
        <v>9.64</v>
      </c>
    </row>
    <row r="1004" spans="1:3" x14ac:dyDescent="0.15">
      <c r="A1004" s="30" t="s">
        <v>1062</v>
      </c>
      <c r="B1004" s="30">
        <v>15.9</v>
      </c>
      <c r="C1004" s="30">
        <v>16.16</v>
      </c>
    </row>
    <row r="1005" spans="1:3" x14ac:dyDescent="0.15">
      <c r="A1005" s="30" t="s">
        <v>926</v>
      </c>
      <c r="B1005" s="30">
        <v>11.86</v>
      </c>
      <c r="C1005" s="30">
        <v>12.2</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2" activePane="bottomRight" state="frozen"/>
      <selection pane="topRight" activeCell="B1" sqref="B1"/>
      <selection pane="bottomLeft" activeCell="A2" sqref="A2"/>
      <selection pane="bottomRight" activeCell="C2" sqref="C2"/>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2863.0222200010903</v>
      </c>
      <c r="C3" s="20">
        <f>SUMIF('Asset Line A share'!B:B,weekday!A3,'Asset Line A share'!H:H)</f>
        <v>-23008</v>
      </c>
      <c r="D3" s="20">
        <f>SUMIF('Asset Line A share'!B:B,weekday!A3,'Asset Line A share'!I:I)</f>
        <v>9612.67</v>
      </c>
      <c r="E3" s="20">
        <f>SUMIF('Asset Line A share'!B:B,weekday!A3,'Asset Line A share'!G:G)</f>
        <v>-13159.54</v>
      </c>
      <c r="F3" s="20">
        <f>SUMIF('Asset Line A share'!B:B,weekday!A3,'Asset Line A share'!J:J)</f>
        <v>5745.330000000009</v>
      </c>
      <c r="G3" s="20"/>
      <c r="H3" s="20">
        <f ca="1">AVERAGEIF('Asset Line A share'!B:B,weekday!A3,'Asset Line A share'!S:S)</f>
        <v>904412.28294761688</v>
      </c>
      <c r="I3" s="20">
        <f ca="1">AVERAGEIF('Asset Line A share'!B:B,weekday!A3,'Asset Line A share'!O:O)</f>
        <v>209425.73616595744</v>
      </c>
      <c r="J3" s="20">
        <f ca="1">AVERAGEIF('Asset Line A share'!B:B,weekday!A3,'Asset Line A share'!P:P)</f>
        <v>107123.73617021275</v>
      </c>
      <c r="K3" s="20">
        <f ca="1">I3-J3</f>
        <v>102301.99999574469</v>
      </c>
      <c r="L3" s="17" t="s">
        <v>4314</v>
      </c>
    </row>
    <row r="4" spans="1:12" x14ac:dyDescent="0.15">
      <c r="A4">
        <v>2</v>
      </c>
      <c r="B4" s="20">
        <f>SUMIF('Asset Line A share'!B:B,weekday!A4,'Asset Line A share'!M:M)</f>
        <v>213117.03999999911</v>
      </c>
      <c r="C4" s="20">
        <f>SUMIF('Asset Line A share'!B:B,weekday!A4,'Asset Line A share'!H:H)</f>
        <v>56985.38</v>
      </c>
      <c r="D4" s="20">
        <f>SUMIF('Asset Line A share'!B:B,weekday!A4,'Asset Line A share'!I:I)</f>
        <v>-80854.833999999988</v>
      </c>
      <c r="E4" s="20">
        <f>SUMIF('Asset Line A share'!B:B,weekday!A4,'Asset Line A share'!G:G)</f>
        <v>-24517.465000000004</v>
      </c>
      <c r="F4" s="61">
        <f>SUMIF('Asset Line A share'!B:B,weekday!A4,'Asset Line A share'!J:J)</f>
        <v>229991.80000000002</v>
      </c>
      <c r="G4" s="20"/>
      <c r="H4" s="20">
        <f ca="1">AVERAGEIF('Asset Line A share'!B:B,weekday!A4,'Asset Line A share'!S:S)</f>
        <v>940357.03118749312</v>
      </c>
      <c r="I4" s="61">
        <f ca="1">AVERAGEIF('Asset Line A share'!B:B,weekday!A4,'Asset Line A share'!O:O)</f>
        <v>255671.79387755107</v>
      </c>
      <c r="J4" s="20">
        <f ca="1">AVERAGEIF('Asset Line A share'!B:B,weekday!A4,'Asset Line A share'!P:P)</f>
        <v>181840.04081632631</v>
      </c>
      <c r="K4" s="20">
        <f t="shared" ref="K4:K7" ca="1" si="0">I4-J4</f>
        <v>73831.753061224765</v>
      </c>
      <c r="L4" s="17" t="s">
        <v>4310</v>
      </c>
    </row>
    <row r="5" spans="1:12" x14ac:dyDescent="0.15">
      <c r="A5">
        <v>3</v>
      </c>
      <c r="B5" s="20">
        <f>SUMIF('Asset Line A share'!B:B,weekday!A5,'Asset Line A share'!M:M)</f>
        <v>99918.988888889318</v>
      </c>
      <c r="C5" s="20">
        <f>SUMIF('Asset Line A share'!B:B,weekday!A5,'Asset Line A share'!H:H)</f>
        <v>652.54999999999984</v>
      </c>
      <c r="D5" s="20">
        <f>SUMIF('Asset Line A share'!B:B,weekday!A5,'Asset Line A share'!I:I)</f>
        <v>-21958.790000000005</v>
      </c>
      <c r="E5" s="20">
        <f>SUMIF('Asset Line A share'!B:B,weekday!A5,'Asset Line A share'!G:G)</f>
        <v>-21297.74</v>
      </c>
      <c r="F5" s="20">
        <f>SUMIF('Asset Line A share'!B:B,weekday!A5,'Asset Line A share'!J:J)</f>
        <v>107956.6</v>
      </c>
      <c r="G5" s="20"/>
      <c r="H5" s="20">
        <f ca="1">AVERAGEIF('Asset Line A share'!B:B,weekday!A5,'Asset Line A share'!S:S)</f>
        <v>889928.77212131862</v>
      </c>
      <c r="I5" s="20">
        <f ca="1">AVERAGEIF('Asset Line A share'!B:B,weekday!A5,'Asset Line A share'!O:O)</f>
        <v>166519.96862745099</v>
      </c>
      <c r="J5" s="20">
        <f ca="1">AVERAGEIF('Asset Line A share'!B:B,weekday!A5,'Asset Line A share'!P:P)</f>
        <v>239101.88921568429</v>
      </c>
      <c r="K5" s="20">
        <f t="shared" ca="1" si="0"/>
        <v>-72581.920588233304</v>
      </c>
      <c r="L5" s="17" t="s">
        <v>4311</v>
      </c>
    </row>
    <row r="6" spans="1:12" ht="40.5" x14ac:dyDescent="0.15">
      <c r="A6">
        <v>4</v>
      </c>
      <c r="B6" s="20">
        <f>SUMIF('Asset Line A share'!B:B,weekday!A6,'Asset Line A share'!M:M)</f>
        <v>49121.425552221714</v>
      </c>
      <c r="C6" s="20">
        <f>SUMIF('Asset Line A share'!B:B,weekday!A6,'Asset Line A share'!H:H)</f>
        <v>-8072.758560000002</v>
      </c>
      <c r="D6" s="20">
        <f>SUMIF('Asset Line A share'!B:B,weekday!A6,'Asset Line A share'!I:I)</f>
        <v>-8577.9339999999993</v>
      </c>
      <c r="E6" s="20">
        <f>SUMIF('Asset Line A share'!B:B,weekday!A6,'Asset Line A share'!G:G)</f>
        <v>-19808.761040000001</v>
      </c>
      <c r="F6" s="20">
        <f>SUMIF('Asset Line A share'!B:B,weekday!A6,'Asset Line A share'!J:J)</f>
        <v>60587.45</v>
      </c>
      <c r="G6" s="20"/>
      <c r="H6" s="20">
        <f ca="1">AVERAGEIF('Asset Line A share'!B:B,weekday!A6,'Asset Line A share'!S:S)</f>
        <v>956129.71918018523</v>
      </c>
      <c r="I6" s="20">
        <f ca="1">AVERAGEIF('Asset Line A share'!B:B,weekday!A6,'Asset Line A share'!O:O)</f>
        <v>198152.56862741569</v>
      </c>
      <c r="J6" s="20">
        <f ca="1">AVERAGEIF('Asset Line A share'!B:B,weekday!A6,'Asset Line A share'!P:P)</f>
        <v>131951.62156854902</v>
      </c>
      <c r="K6" s="20">
        <f t="shared" ca="1" si="0"/>
        <v>66200.947058866674</v>
      </c>
      <c r="L6" s="17" t="s">
        <v>4312</v>
      </c>
    </row>
    <row r="7" spans="1:12" ht="14.1" x14ac:dyDescent="0.25">
      <c r="A7">
        <v>5</v>
      </c>
      <c r="B7" s="20">
        <f>SUMIF('Asset Line A share'!B:B,weekday!A7,'Asset Line A share'!M:M)</f>
        <v>76726.693338888697</v>
      </c>
      <c r="C7" s="20">
        <f>SUMIF('Asset Line A share'!B:B,weekday!A7,'Asset Line A share'!H:H)</f>
        <v>23713.739999999991</v>
      </c>
      <c r="D7" s="20">
        <f>SUMIF('Asset Line A share'!B:B,weekday!A7,'Asset Line A share'!I:I)</f>
        <v>-14033.179999999989</v>
      </c>
      <c r="E7" s="20">
        <f>SUMIF('Asset Line A share'!B:B,weekday!A7,'Asset Line A share'!G:G)</f>
        <v>9024.6300000000101</v>
      </c>
      <c r="F7" s="20">
        <f>SUMIF('Asset Line A share'!B:B,weekday!A7,'Asset Line A share'!J:J)</f>
        <v>47203.55</v>
      </c>
      <c r="G7" s="20"/>
      <c r="H7" s="20">
        <f ca="1">AVERAGEIF('Asset Line A share'!B:B,weekday!A7,'Asset Line A share'!S:S)</f>
        <v>816619.74453827611</v>
      </c>
      <c r="I7" s="20">
        <f ca="1">AVERAGEIF('Asset Line A share'!B:B,weekday!A7,'Asset Line A share'!O:O)</f>
        <v>134119.53730383652</v>
      </c>
      <c r="J7" s="20">
        <f ca="1">AVERAGEIF('Asset Line A share'!B:B,weekday!A7,'Asset Line A share'!P:P)</f>
        <v>269164.20196151151</v>
      </c>
      <c r="K7" s="20">
        <f t="shared" ca="1" si="0"/>
        <v>-135044.66465767499</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-13159.54</v>
      </c>
      <c r="C2" s="30">
        <f>SUMIF('Asset Line A share'!$B:$B,$A2,'Asset Line A share'!H:H)</f>
        <v>-23008</v>
      </c>
      <c r="D2" s="30">
        <f>SUMIF('Asset Line A share'!$B:$B,$A2,'Asset Line A share'!I:I)</f>
        <v>9612.67</v>
      </c>
      <c r="E2" s="30">
        <f>SUMIF('Asset Line A share'!$B:$B,$A2,'Asset Line A share'!J:J)</f>
        <v>5745.330000000009</v>
      </c>
      <c r="F2" s="30">
        <f>+B2+E2</f>
        <v>-7414.2099999999919</v>
      </c>
    </row>
    <row r="3" spans="1:6" x14ac:dyDescent="0.15">
      <c r="A3" s="30">
        <v>2</v>
      </c>
      <c r="B3" s="30">
        <f>SUMIF('Asset Line A share'!$B:$B,$A3,'Asset Line A share'!G:G)</f>
        <v>-24517.465000000004</v>
      </c>
      <c r="C3" s="30">
        <f>SUMIF('Asset Line A share'!$B:$B,$A3,'Asset Line A share'!H:H)</f>
        <v>56985.38</v>
      </c>
      <c r="D3" s="30">
        <f>SUMIF('Asset Line A share'!$B:$B,$A3,'Asset Line A share'!I:I)</f>
        <v>-80854.833999999988</v>
      </c>
      <c r="E3" s="30">
        <f>SUMIF('Asset Line A share'!$B:$B,$A3,'Asset Line A share'!J:J)</f>
        <v>229991.80000000002</v>
      </c>
      <c r="F3" s="30">
        <f>+B3+E3</f>
        <v>205474.33500000002</v>
      </c>
    </row>
    <row r="4" spans="1:6" x14ac:dyDescent="0.15">
      <c r="A4" s="30">
        <v>3</v>
      </c>
      <c r="B4" s="30">
        <f>SUMIF('Asset Line A share'!$B:$B,$A4,'Asset Line A share'!G:G)</f>
        <v>-21297.74</v>
      </c>
      <c r="C4" s="30">
        <f>SUMIF('Asset Line A share'!$B:$B,$A4,'Asset Line A share'!H:H)</f>
        <v>652.54999999999984</v>
      </c>
      <c r="D4" s="30">
        <f>SUMIF('Asset Line A share'!$B:$B,$A4,'Asset Line A share'!I:I)</f>
        <v>-21958.790000000005</v>
      </c>
      <c r="E4" s="30">
        <f>SUMIF('Asset Line A share'!$B:$B,$A4,'Asset Line A share'!J:J)</f>
        <v>107956.6</v>
      </c>
      <c r="F4" s="30">
        <f>+B4+E4</f>
        <v>86658.86</v>
      </c>
    </row>
    <row r="5" spans="1:6" x14ac:dyDescent="0.15">
      <c r="A5" s="30">
        <v>4</v>
      </c>
      <c r="B5" s="30">
        <f>SUMIF('Asset Line A share'!$B:$B,$A5,'Asset Line A share'!G:G)</f>
        <v>-19808.761040000001</v>
      </c>
      <c r="C5" s="30">
        <f>SUMIF('Asset Line A share'!$B:$B,$A5,'Asset Line A share'!H:H)</f>
        <v>-8072.758560000002</v>
      </c>
      <c r="D5" s="30">
        <f>SUMIF('Asset Line A share'!$B:$B,$A5,'Asset Line A share'!I:I)</f>
        <v>-8577.9339999999993</v>
      </c>
      <c r="E5" s="30">
        <f>SUMIF('Asset Line A share'!$B:$B,$A5,'Asset Line A share'!J:J)</f>
        <v>60587.45</v>
      </c>
      <c r="F5" s="30">
        <f>+B5+E5</f>
        <v>40778.688959999999</v>
      </c>
    </row>
    <row r="6" spans="1:6" x14ac:dyDescent="0.15">
      <c r="A6" s="30">
        <v>5</v>
      </c>
      <c r="B6" s="30">
        <f>SUMIF('Asset Line A share'!$B:$B,$A6,'Asset Line A share'!G:G)</f>
        <v>9024.6300000000101</v>
      </c>
      <c r="C6" s="30">
        <f>SUMIF('Asset Line A share'!$B:$B,$A6,'Asset Line A share'!H:H)</f>
        <v>23713.739999999991</v>
      </c>
      <c r="D6" s="30">
        <f>SUMIF('Asset Line A share'!$B:$B,$A6,'Asset Line A share'!I:I)</f>
        <v>-14033.179999999989</v>
      </c>
      <c r="E6" s="30">
        <f>SUMIF('Asset Line A share'!$B:$B,$A6,'Asset Line A share'!J:J)</f>
        <v>47203.55</v>
      </c>
      <c r="F6" s="30">
        <f>+B6+E6</f>
        <v>56228.180000000015</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43049.960044328705</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ht="14.1" x14ac:dyDescent="0.2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ht="14.1" x14ac:dyDescent="0.2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2017-11-10T15:02:28Z</dcterms:modified>
</cp:coreProperties>
</file>