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205"/>
  </bookViews>
  <sheets>
    <sheet name="ProcessOpenPos" sheetId="1" r:id="rId1"/>
  </sheets>
  <calcPr calcId="145621"/>
</workbook>
</file>

<file path=xl/calcChain.xml><?xml version="1.0" encoding="utf-8"?>
<calcChain xmlns="http://schemas.openxmlformats.org/spreadsheetml/2006/main">
  <c r="P16" i="1" l="1"/>
  <c r="O16" i="1"/>
  <c r="F32" i="1" l="1"/>
  <c r="A32" i="1"/>
  <c r="G31" i="1"/>
  <c r="F31" i="1"/>
  <c r="E31" i="1"/>
  <c r="D31" i="1"/>
  <c r="C31" i="1"/>
  <c r="B31" i="1"/>
  <c r="A31" i="1"/>
  <c r="E13" i="1"/>
  <c r="E32" i="1" s="1"/>
  <c r="C30" i="1"/>
  <c r="D30" i="1" s="1"/>
  <c r="E30" i="1" s="1"/>
  <c r="F30" i="1" s="1"/>
  <c r="G30" i="1" s="1"/>
  <c r="H30" i="1" s="1"/>
  <c r="I30" i="1" s="1"/>
  <c r="J30" i="1" s="1"/>
  <c r="I39" i="1"/>
  <c r="D17" i="1"/>
  <c r="D18" i="1"/>
  <c r="D19" i="1"/>
  <c r="D20" i="1"/>
  <c r="D21" i="1"/>
  <c r="D22" i="1"/>
  <c r="D23" i="1"/>
  <c r="D24" i="1"/>
  <c r="D25" i="1"/>
  <c r="D26" i="1"/>
  <c r="D27" i="1"/>
  <c r="D28" i="1"/>
  <c r="D16" i="1"/>
  <c r="D15" i="1"/>
  <c r="D36" i="1"/>
  <c r="D37" i="1"/>
  <c r="D38" i="1"/>
  <c r="D39" i="1"/>
  <c r="D40" i="1"/>
  <c r="D41" i="1"/>
  <c r="D42" i="1"/>
  <c r="D43" i="1"/>
  <c r="D44" i="1"/>
  <c r="D45" i="1"/>
  <c r="D46" i="1"/>
  <c r="D47" i="1"/>
  <c r="D35" i="1"/>
  <c r="B41" i="1"/>
  <c r="B45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1" i="1"/>
  <c r="I36" i="1" s="1"/>
  <c r="B1" i="1"/>
  <c r="C1" i="1"/>
  <c r="D1" i="1"/>
  <c r="E1" i="1"/>
  <c r="F1" i="1"/>
  <c r="G1" i="1"/>
  <c r="A2" i="1"/>
  <c r="B2" i="1"/>
  <c r="B32" i="1" s="1"/>
  <c r="C2" i="1"/>
  <c r="C32" i="1" s="1"/>
  <c r="D2" i="1"/>
  <c r="D32" i="1" s="1"/>
  <c r="G2" i="1"/>
  <c r="G32" i="1" s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A5" i="1"/>
  <c r="D5" i="1"/>
  <c r="M5" i="1"/>
  <c r="N5" i="1"/>
  <c r="O5" i="1"/>
  <c r="A6" i="1"/>
  <c r="D6" i="1"/>
  <c r="M6" i="1"/>
  <c r="N6" i="1"/>
  <c r="O6" i="1"/>
  <c r="A7" i="1"/>
  <c r="D7" i="1"/>
  <c r="M7" i="1"/>
  <c r="N7" i="1"/>
  <c r="O7" i="1"/>
  <c r="A8" i="1"/>
  <c r="D8" i="1"/>
  <c r="M8" i="1"/>
  <c r="N8" i="1"/>
  <c r="O8" i="1"/>
  <c r="A9" i="1"/>
  <c r="D9" i="1"/>
  <c r="M9" i="1"/>
  <c r="N9" i="1"/>
  <c r="O9" i="1"/>
  <c r="A10" i="1"/>
  <c r="D10" i="1"/>
  <c r="M10" i="1"/>
  <c r="N10" i="1"/>
  <c r="O10" i="1"/>
  <c r="K30" i="1" l="1"/>
  <c r="L30" i="1" s="1"/>
  <c r="M30" i="1" s="1"/>
  <c r="J39" i="1"/>
  <c r="J43" i="1"/>
  <c r="J47" i="1"/>
  <c r="E47" i="1" s="1"/>
  <c r="O47" i="1" s="1"/>
  <c r="J36" i="1"/>
  <c r="J40" i="1"/>
  <c r="E40" i="1" s="1"/>
  <c r="O40" i="1" s="1"/>
  <c r="J44" i="1"/>
  <c r="J35" i="1"/>
  <c r="E35" i="1" s="1"/>
  <c r="O35" i="1" s="1"/>
  <c r="J37" i="1"/>
  <c r="J41" i="1"/>
  <c r="E41" i="1" s="1"/>
  <c r="O41" i="1" s="1"/>
  <c r="J45" i="1"/>
  <c r="E45" i="1" s="1"/>
  <c r="O45" i="1" s="1"/>
  <c r="J38" i="1"/>
  <c r="E38" i="1" s="1"/>
  <c r="O38" i="1" s="1"/>
  <c r="J42" i="1"/>
  <c r="J46" i="1"/>
  <c r="E46" i="1" s="1"/>
  <c r="O46" i="1" s="1"/>
  <c r="B37" i="1"/>
  <c r="C36" i="1"/>
  <c r="I47" i="1"/>
  <c r="I43" i="1"/>
  <c r="B35" i="1"/>
  <c r="B44" i="1"/>
  <c r="B40" i="1"/>
  <c r="B36" i="1"/>
  <c r="C41" i="1"/>
  <c r="C45" i="1"/>
  <c r="C37" i="1"/>
  <c r="F44" i="1"/>
  <c r="F40" i="1"/>
  <c r="F35" i="1"/>
  <c r="I46" i="1"/>
  <c r="I42" i="1"/>
  <c r="I38" i="1"/>
  <c r="C40" i="1"/>
  <c r="F45" i="1"/>
  <c r="F37" i="1"/>
  <c r="B47" i="1"/>
  <c r="B43" i="1"/>
  <c r="B39" i="1"/>
  <c r="C35" i="1"/>
  <c r="C42" i="1"/>
  <c r="C46" i="1"/>
  <c r="C38" i="1"/>
  <c r="F47" i="1"/>
  <c r="G47" i="1" s="1"/>
  <c r="F43" i="1"/>
  <c r="G43" i="1" s="1"/>
  <c r="F39" i="1"/>
  <c r="G39" i="1" s="1"/>
  <c r="F36" i="1"/>
  <c r="G36" i="1" s="1"/>
  <c r="I45" i="1"/>
  <c r="I41" i="1"/>
  <c r="I37" i="1"/>
  <c r="C44" i="1"/>
  <c r="F41" i="1"/>
  <c r="B46" i="1"/>
  <c r="B42" i="1"/>
  <c r="B38" i="1"/>
  <c r="C39" i="1"/>
  <c r="C43" i="1"/>
  <c r="C47" i="1"/>
  <c r="F46" i="1"/>
  <c r="F42" i="1"/>
  <c r="F38" i="1"/>
  <c r="G38" i="1" s="1"/>
  <c r="I35" i="1"/>
  <c r="I44" i="1"/>
  <c r="I40" i="1"/>
  <c r="G46" i="1"/>
  <c r="G42" i="1"/>
  <c r="E43" i="1"/>
  <c r="O43" i="1" s="1"/>
  <c r="E37" i="1"/>
  <c r="O37" i="1" s="1"/>
  <c r="G45" i="1"/>
  <c r="G41" i="1"/>
  <c r="E36" i="1"/>
  <c r="O36" i="1" s="1"/>
  <c r="E42" i="1" l="1"/>
  <c r="O42" i="1" s="1"/>
  <c r="E44" i="1"/>
  <c r="O44" i="1" s="1"/>
  <c r="G40" i="1"/>
  <c r="G35" i="1"/>
  <c r="E39" i="1"/>
  <c r="O39" i="1" s="1"/>
  <c r="G37" i="1"/>
  <c r="G44" i="1"/>
  <c r="N30" i="1"/>
  <c r="M36" i="1"/>
  <c r="M40" i="1"/>
  <c r="M44" i="1"/>
  <c r="M35" i="1"/>
  <c r="M37" i="1"/>
  <c r="M41" i="1"/>
  <c r="M45" i="1"/>
  <c r="M38" i="1"/>
  <c r="M42" i="1"/>
  <c r="M46" i="1"/>
  <c r="M39" i="1"/>
  <c r="M43" i="1"/>
  <c r="M47" i="1"/>
  <c r="N35" i="1" l="1"/>
  <c r="N40" i="1"/>
  <c r="N44" i="1"/>
  <c r="N37" i="1"/>
  <c r="N41" i="1"/>
  <c r="N45" i="1"/>
  <c r="N38" i="1"/>
  <c r="N42" i="1"/>
  <c r="N46" i="1"/>
  <c r="N36" i="1"/>
  <c r="N39" i="1"/>
  <c r="N43" i="1"/>
  <c r="N47" i="1"/>
</calcChain>
</file>

<file path=xl/sharedStrings.xml><?xml version="1.0" encoding="utf-8"?>
<sst xmlns="http://schemas.openxmlformats.org/spreadsheetml/2006/main" count="93" uniqueCount="50">
  <si>
    <t>币种</t>
  </si>
  <si>
    <t>余额</t>
  </si>
  <si>
    <t>可用</t>
  </si>
  <si>
    <t>参考市值</t>
  </si>
  <si>
    <t>资产</t>
  </si>
  <si>
    <t>盈亏</t>
  </si>
  <si>
    <t>人民币</t>
  </si>
  <si>
    <t>586.00</t>
  </si>
  <si>
    <t>3052.60</t>
  </si>
  <si>
    <t>证券名称</t>
  </si>
  <si>
    <t>证券数量</t>
  </si>
  <si>
    <t>可卖数量</t>
  </si>
  <si>
    <t>成本价</t>
  </si>
  <si>
    <t>浮动盈亏</t>
  </si>
  <si>
    <t>盈亏比例(%)</t>
  </si>
  <si>
    <t>最新市值</t>
  </si>
  <si>
    <t>当前价</t>
  </si>
  <si>
    <t>今买数量</t>
  </si>
  <si>
    <t>今卖数量</t>
  </si>
  <si>
    <t>证券代码</t>
  </si>
  <si>
    <t>股东代码</t>
  </si>
  <si>
    <t>格力电器</t>
  </si>
  <si>
    <t>000651</t>
  </si>
  <si>
    <t>0604689138</t>
  </si>
  <si>
    <t>海康威视</t>
  </si>
  <si>
    <t>002415</t>
  </si>
  <si>
    <t>50ETF</t>
  </si>
  <si>
    <t>510050</t>
  </si>
  <si>
    <t>E046935023</t>
  </si>
  <si>
    <t>招商银行</t>
  </si>
  <si>
    <t>600036</t>
  </si>
  <si>
    <t>保利地产</t>
  </si>
  <si>
    <t>600048</t>
  </si>
  <si>
    <t>中国联通</t>
  </si>
  <si>
    <t>600050</t>
  </si>
  <si>
    <t>上汽集团</t>
  </si>
  <si>
    <t>600104</t>
  </si>
  <si>
    <t>贵州茅台</t>
  </si>
  <si>
    <t>600519</t>
  </si>
  <si>
    <t>长江电力</t>
  </si>
  <si>
    <t>600900</t>
  </si>
  <si>
    <t>东方证券</t>
  </si>
  <si>
    <t>600958</t>
  </si>
  <si>
    <t>广汽集团</t>
  </si>
  <si>
    <t>601238</t>
  </si>
  <si>
    <t>中国平安</t>
  </si>
  <si>
    <t>601318</t>
  </si>
  <si>
    <t>中国建筑</t>
  </si>
  <si>
    <t>601668</t>
  </si>
  <si>
    <t>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</si>
</sst>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0000000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F14" sqref="F14"/>
    </sheetView>
  </sheetViews>
  <sheetFormatPr defaultRowHeight="13.5" x14ac:dyDescent="0.15"/>
  <cols>
    <col min="2" max="3" width="10.5" bestFit="1" customWidth="1"/>
    <col min="4" max="4" width="11.625" bestFit="1" customWidth="1"/>
    <col min="5" max="5" width="12.75" bestFit="1" customWidth="1"/>
    <col min="6" max="7" width="12.25" bestFit="1" customWidth="1"/>
    <col min="10" max="10" width="9" bestFit="1" customWidth="1"/>
    <col min="12" max="12" width="11.625" bestFit="1" customWidth="1"/>
    <col min="14" max="14" width="11.625" bestFit="1" customWidth="1"/>
    <col min="15" max="15" width="19.375" bestFit="1" customWidth="1"/>
    <col min="16" max="16" width="5.5" bestFit="1" customWidth="1"/>
  </cols>
  <sheetData>
    <row r="1" spans="1:16" x14ac:dyDescent="0.15">
      <c r="A1" t="str">
        <f>"币种"</f>
        <v>币种</v>
      </c>
      <c r="B1" t="str">
        <f>"余额"</f>
        <v>余额</v>
      </c>
      <c r="C1" t="str">
        <f>"可用"</f>
        <v>可用</v>
      </c>
      <c r="D1" t="str">
        <f>"可取"</f>
        <v>可取</v>
      </c>
      <c r="E1" t="str">
        <f>"参考市值"</f>
        <v>参考市值</v>
      </c>
      <c r="F1" t="str">
        <f>"资产"</f>
        <v>资产</v>
      </c>
      <c r="G1" t="str">
        <f>"盈亏"</f>
        <v>盈亏</v>
      </c>
    </row>
    <row r="2" spans="1:16" x14ac:dyDescent="0.15">
      <c r="A2" t="str">
        <f>"人民币"</f>
        <v>人民币</v>
      </c>
      <c r="B2" t="str">
        <f>"159759.72"</f>
        <v>159759.72</v>
      </c>
      <c r="C2" t="str">
        <f>"159759.72"</f>
        <v>159759.72</v>
      </c>
      <c r="D2" t="str">
        <f>"159759.72"</f>
        <v>159759.72</v>
      </c>
      <c r="E2">
        <v>607581</v>
      </c>
      <c r="F2">
        <v>767341.74</v>
      </c>
      <c r="G2" t="str">
        <f>"82950.01"</f>
        <v>82950.01</v>
      </c>
    </row>
    <row r="4" spans="1:16" x14ac:dyDescent="0.15">
      <c r="A4" t="str">
        <f>"证券名称"</f>
        <v>证券名称</v>
      </c>
      <c r="B4" t="str">
        <f>"证券数量"</f>
        <v>证券数量</v>
      </c>
      <c r="C4" t="str">
        <f>"可卖数量"</f>
        <v>可卖数量</v>
      </c>
      <c r="D4" t="str">
        <f>"价格币种"</f>
        <v>价格币种</v>
      </c>
      <c r="E4" t="str">
        <f>"成本价"</f>
        <v>成本价</v>
      </c>
      <c r="F4" t="str">
        <f>"浮动盈亏"</f>
        <v>浮动盈亏</v>
      </c>
      <c r="G4" t="str">
        <f>"盈亏比例(%)"</f>
        <v>盈亏比例(%)</v>
      </c>
      <c r="H4" t="str">
        <f>"折算汇率"</f>
        <v>折算汇率</v>
      </c>
      <c r="I4" t="str">
        <f>"最新市值"</f>
        <v>最新市值</v>
      </c>
      <c r="J4" t="str">
        <f>"当前价"</f>
        <v>当前价</v>
      </c>
      <c r="K4" t="str">
        <f>"今买数量"</f>
        <v>今买数量</v>
      </c>
      <c r="L4" t="str">
        <f>"今卖数量"</f>
        <v>今卖数量</v>
      </c>
      <c r="M4" t="str">
        <f>"证券代码"</f>
        <v>证券代码</v>
      </c>
      <c r="N4" t="str">
        <f>"股东代码"</f>
        <v>股东代码</v>
      </c>
      <c r="O4" t="str">
        <f>"成本金额"</f>
        <v>成本金额</v>
      </c>
      <c r="P4" t="str">
        <f>"备注"</f>
        <v>备注</v>
      </c>
    </row>
    <row r="5" spans="1:16" x14ac:dyDescent="0.15">
      <c r="A5" t="str">
        <f>"保利地产"</f>
        <v>保利地产</v>
      </c>
      <c r="B5">
        <v>3700</v>
      </c>
      <c r="C5">
        <v>3700</v>
      </c>
      <c r="D5" t="str">
        <f t="shared" ref="D5:D10" si="0">"人民币"</f>
        <v>人民币</v>
      </c>
      <c r="E5">
        <v>10.728999999999999</v>
      </c>
      <c r="F5">
        <v>-549.52</v>
      </c>
      <c r="G5">
        <v>-1.39</v>
      </c>
      <c r="I5">
        <v>39146</v>
      </c>
      <c r="J5">
        <v>10.58</v>
      </c>
      <c r="K5">
        <v>0</v>
      </c>
      <c r="L5">
        <v>0</v>
      </c>
      <c r="M5" t="str">
        <f>"600048"</f>
        <v>600048</v>
      </c>
      <c r="N5" t="str">
        <f>"A153608419"</f>
        <v>A153608419</v>
      </c>
      <c r="O5" t="str">
        <f>"39695.52"</f>
        <v>39695.52</v>
      </c>
    </row>
    <row r="6" spans="1:16" x14ac:dyDescent="0.15">
      <c r="A6" t="str">
        <f>"上汽集团"</f>
        <v>上汽集团</v>
      </c>
      <c r="B6">
        <v>6100</v>
      </c>
      <c r="C6">
        <v>6100</v>
      </c>
      <c r="D6" t="str">
        <f t="shared" si="0"/>
        <v>人民币</v>
      </c>
      <c r="E6">
        <v>25.3</v>
      </c>
      <c r="F6">
        <v>29583.64</v>
      </c>
      <c r="G6">
        <v>19.170000000000002</v>
      </c>
      <c r="I6">
        <v>183915</v>
      </c>
      <c r="J6">
        <v>30.15</v>
      </c>
      <c r="K6">
        <v>0</v>
      </c>
      <c r="L6">
        <v>0</v>
      </c>
      <c r="M6" t="str">
        <f>"600104"</f>
        <v>600104</v>
      </c>
      <c r="N6" t="str">
        <f>"A153608419"</f>
        <v>A153608419</v>
      </c>
      <c r="O6" t="str">
        <f>"154331.36"</f>
        <v>154331.36</v>
      </c>
    </row>
    <row r="7" spans="1:16" x14ac:dyDescent="0.15">
      <c r="A7" t="str">
        <f>"贵州茅台"</f>
        <v>贵州茅台</v>
      </c>
      <c r="B7">
        <v>200</v>
      </c>
      <c r="C7">
        <v>200</v>
      </c>
      <c r="D7" t="str">
        <f t="shared" si="0"/>
        <v>人民币</v>
      </c>
      <c r="E7">
        <v>369.88600000000002</v>
      </c>
      <c r="F7">
        <v>22070.78</v>
      </c>
      <c r="G7">
        <v>29.84</v>
      </c>
      <c r="I7">
        <v>96048</v>
      </c>
      <c r="J7">
        <v>480.24</v>
      </c>
      <c r="K7">
        <v>0</v>
      </c>
      <c r="L7">
        <v>0</v>
      </c>
      <c r="M7" t="str">
        <f>"600519"</f>
        <v>600519</v>
      </c>
      <c r="N7" t="str">
        <f>"A153608419"</f>
        <v>A153608419</v>
      </c>
      <c r="O7" t="str">
        <f>"73977.22"</f>
        <v>73977.22</v>
      </c>
    </row>
    <row r="8" spans="1:16" x14ac:dyDescent="0.15">
      <c r="A8" t="str">
        <f>"东方证券"</f>
        <v>东方证券</v>
      </c>
      <c r="B8">
        <v>2000</v>
      </c>
      <c r="C8">
        <v>2000</v>
      </c>
      <c r="D8" t="str">
        <f t="shared" si="0"/>
        <v>人民币</v>
      </c>
      <c r="E8">
        <v>15.685</v>
      </c>
      <c r="F8">
        <v>1310.3599999999999</v>
      </c>
      <c r="G8">
        <v>4.18</v>
      </c>
      <c r="I8">
        <v>32680</v>
      </c>
      <c r="J8">
        <v>16.34</v>
      </c>
      <c r="K8">
        <v>0</v>
      </c>
      <c r="L8">
        <v>0</v>
      </c>
      <c r="M8" t="str">
        <f>"600958"</f>
        <v>600958</v>
      </c>
      <c r="N8" t="str">
        <f>"A153608419"</f>
        <v>A153608419</v>
      </c>
      <c r="O8" t="str">
        <f>"31369.64"</f>
        <v>31369.64</v>
      </c>
    </row>
    <row r="9" spans="1:16" x14ac:dyDescent="0.15">
      <c r="A9" t="str">
        <f>"中国建筑"</f>
        <v>中国建筑</v>
      </c>
      <c r="B9">
        <v>3800</v>
      </c>
      <c r="C9">
        <v>3800</v>
      </c>
      <c r="D9" t="str">
        <f t="shared" si="0"/>
        <v>人民币</v>
      </c>
      <c r="E9">
        <v>10.532999999999999</v>
      </c>
      <c r="F9">
        <v>-163.37</v>
      </c>
      <c r="G9">
        <v>-0.41</v>
      </c>
      <c r="I9">
        <v>39862</v>
      </c>
      <c r="J9">
        <v>10.49</v>
      </c>
      <c r="K9">
        <v>0</v>
      </c>
      <c r="L9">
        <v>0</v>
      </c>
      <c r="M9" t="str">
        <f>"601668"</f>
        <v>601668</v>
      </c>
      <c r="N9" t="str">
        <f>"A153608419"</f>
        <v>A153608419</v>
      </c>
      <c r="O9" t="str">
        <f>"40025.37"</f>
        <v>40025.37</v>
      </c>
    </row>
    <row r="10" spans="1:16" x14ac:dyDescent="0.15">
      <c r="A10" t="str">
        <f>"格力电器"</f>
        <v>格力电器</v>
      </c>
      <c r="B10">
        <v>5500</v>
      </c>
      <c r="C10">
        <v>5500</v>
      </c>
      <c r="D10" t="str">
        <f t="shared" si="0"/>
        <v>人民币</v>
      </c>
      <c r="E10">
        <v>33.679000000000002</v>
      </c>
      <c r="F10">
        <v>30698.12</v>
      </c>
      <c r="G10">
        <v>16.57</v>
      </c>
      <c r="I10">
        <v>215930</v>
      </c>
      <c r="J10">
        <v>39.26</v>
      </c>
      <c r="K10">
        <v>0</v>
      </c>
      <c r="L10">
        <v>0</v>
      </c>
      <c r="M10" t="str">
        <f>"000651"</f>
        <v>000651</v>
      </c>
      <c r="N10" t="str">
        <f>"0174291408"</f>
        <v>0174291408</v>
      </c>
      <c r="O10" t="str">
        <f>"185231.88"</f>
        <v>185231.88</v>
      </c>
    </row>
    <row r="12" spans="1:16" x14ac:dyDescent="0.15">
      <c r="A12" s="2" t="s">
        <v>0</v>
      </c>
      <c r="B12" s="2" t="s">
        <v>1</v>
      </c>
      <c r="C12" s="2" t="s">
        <v>2</v>
      </c>
      <c r="E12" s="2" t="s">
        <v>3</v>
      </c>
      <c r="F12" s="2" t="s">
        <v>4</v>
      </c>
      <c r="G12" s="2" t="s">
        <v>5</v>
      </c>
      <c r="H12" s="2"/>
      <c r="I12" s="2"/>
      <c r="J12" s="2"/>
      <c r="K12" s="2"/>
      <c r="L12" s="2"/>
    </row>
    <row r="13" spans="1:16" x14ac:dyDescent="0.15">
      <c r="A13" s="2" t="s">
        <v>6</v>
      </c>
      <c r="B13" s="2" t="s">
        <v>7</v>
      </c>
      <c r="C13" s="2" t="s">
        <v>7</v>
      </c>
      <c r="E13" s="2">
        <f>1377172.05+0</f>
        <v>1377172.05</v>
      </c>
      <c r="F13" s="2">
        <v>1377758.05</v>
      </c>
      <c r="G13" s="2" t="s">
        <v>8</v>
      </c>
      <c r="H13" s="2"/>
      <c r="I13" s="2"/>
      <c r="J13" s="2"/>
      <c r="K13" s="2"/>
      <c r="L13" s="2"/>
    </row>
    <row r="15" spans="1:16" x14ac:dyDescent="0.15">
      <c r="A15" s="2" t="s">
        <v>9</v>
      </c>
      <c r="B15" s="2" t="s">
        <v>10</v>
      </c>
      <c r="C15" s="2" t="s">
        <v>11</v>
      </c>
      <c r="D15" s="2" t="str">
        <f>"价格币种"</f>
        <v>价格币种</v>
      </c>
      <c r="E15" s="2" t="s">
        <v>12</v>
      </c>
      <c r="F15" s="2" t="s">
        <v>13</v>
      </c>
      <c r="G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  <c r="N15" s="2" t="s">
        <v>20</v>
      </c>
    </row>
    <row r="16" spans="1:16" x14ac:dyDescent="0.15">
      <c r="A16" s="2" t="s">
        <v>21</v>
      </c>
      <c r="B16" s="2">
        <v>1900</v>
      </c>
      <c r="C16" s="2">
        <v>1900</v>
      </c>
      <c r="D16" s="2" t="str">
        <f t="shared" ref="D16:D28" si="1">"人民币"</f>
        <v>人民币</v>
      </c>
      <c r="E16" s="2">
        <v>39.26</v>
      </c>
      <c r="F16" s="2">
        <v>0</v>
      </c>
      <c r="G16" s="2">
        <v>0</v>
      </c>
      <c r="I16" s="2">
        <v>74594</v>
      </c>
      <c r="J16" s="2">
        <v>39.26</v>
      </c>
      <c r="K16" s="2">
        <v>0</v>
      </c>
      <c r="L16" s="2">
        <v>0</v>
      </c>
      <c r="M16" s="2" t="s">
        <v>22</v>
      </c>
      <c r="N16" s="2" t="s">
        <v>23</v>
      </c>
      <c r="O16" s="3">
        <f>+J16-E35</f>
        <v>4.1483945945945919</v>
      </c>
      <c r="P16">
        <f>+O16*1900</f>
        <v>7881.9497297297248</v>
      </c>
    </row>
    <row r="17" spans="1:14" x14ac:dyDescent="0.15">
      <c r="A17" s="2" t="s">
        <v>24</v>
      </c>
      <c r="B17" s="2">
        <v>1000</v>
      </c>
      <c r="C17" s="2">
        <v>1000</v>
      </c>
      <c r="D17" s="2" t="str">
        <f t="shared" si="1"/>
        <v>人民币</v>
      </c>
      <c r="E17" s="2">
        <v>29.7</v>
      </c>
      <c r="F17" s="2">
        <v>0</v>
      </c>
      <c r="G17" s="2">
        <v>0</v>
      </c>
      <c r="I17" s="2">
        <v>29700</v>
      </c>
      <c r="J17" s="2">
        <v>29.7</v>
      </c>
      <c r="K17" s="2">
        <v>0</v>
      </c>
      <c r="L17" s="2">
        <v>0</v>
      </c>
      <c r="M17" s="2" t="s">
        <v>25</v>
      </c>
      <c r="N17" s="2" t="s">
        <v>23</v>
      </c>
    </row>
    <row r="18" spans="1:14" x14ac:dyDescent="0.15">
      <c r="A18" s="2" t="s">
        <v>26</v>
      </c>
      <c r="B18" s="2">
        <v>32000</v>
      </c>
      <c r="C18" s="2">
        <v>32000</v>
      </c>
      <c r="D18" s="2" t="str">
        <f t="shared" si="1"/>
        <v>人民币</v>
      </c>
      <c r="E18" s="2">
        <v>2.6819999999999999</v>
      </c>
      <c r="F18" s="2">
        <v>1344</v>
      </c>
      <c r="G18" s="2">
        <v>1.57</v>
      </c>
      <c r="I18" s="2">
        <v>87168</v>
      </c>
      <c r="J18" s="2">
        <v>2.7240000000000002</v>
      </c>
      <c r="K18" s="2">
        <v>0</v>
      </c>
      <c r="L18" s="2">
        <v>0</v>
      </c>
      <c r="M18" s="2" t="s">
        <v>27</v>
      </c>
      <c r="N18" s="2" t="s">
        <v>28</v>
      </c>
    </row>
    <row r="19" spans="1:14" x14ac:dyDescent="0.15">
      <c r="A19" s="2" t="s">
        <v>29</v>
      </c>
      <c r="B19" s="2">
        <v>5000</v>
      </c>
      <c r="C19" s="2">
        <v>5000</v>
      </c>
      <c r="D19" s="2" t="str">
        <f t="shared" si="1"/>
        <v>人民币</v>
      </c>
      <c r="E19" s="2">
        <v>26.14</v>
      </c>
      <c r="F19" s="2">
        <v>0</v>
      </c>
      <c r="G19" s="2">
        <v>0</v>
      </c>
      <c r="I19" s="2">
        <v>130700</v>
      </c>
      <c r="J19" s="2">
        <v>26.14</v>
      </c>
      <c r="K19" s="2">
        <v>0</v>
      </c>
      <c r="L19" s="2">
        <v>0</v>
      </c>
      <c r="M19" s="2" t="s">
        <v>30</v>
      </c>
      <c r="N19" s="2" t="s">
        <v>28</v>
      </c>
    </row>
    <row r="20" spans="1:14" x14ac:dyDescent="0.15">
      <c r="A20" s="2" t="s">
        <v>31</v>
      </c>
      <c r="B20" s="2">
        <v>8800</v>
      </c>
      <c r="C20" s="2">
        <v>8800</v>
      </c>
      <c r="D20" s="2" t="str">
        <f t="shared" si="1"/>
        <v>人民币</v>
      </c>
      <c r="E20" s="2">
        <v>10.58</v>
      </c>
      <c r="F20" s="2">
        <v>0</v>
      </c>
      <c r="G20" s="2">
        <v>0</v>
      </c>
      <c r="I20" s="2">
        <v>93104</v>
      </c>
      <c r="J20" s="2">
        <v>10.58</v>
      </c>
      <c r="K20" s="2">
        <v>0</v>
      </c>
      <c r="L20" s="2">
        <v>0</v>
      </c>
      <c r="M20" s="2" t="s">
        <v>32</v>
      </c>
      <c r="N20" s="2" t="s">
        <v>28</v>
      </c>
    </row>
    <row r="21" spans="1:14" x14ac:dyDescent="0.15">
      <c r="A21" s="2" t="s">
        <v>33</v>
      </c>
      <c r="B21" s="2">
        <v>15000</v>
      </c>
      <c r="C21" s="2">
        <v>15000</v>
      </c>
      <c r="D21" s="2" t="str">
        <f t="shared" si="1"/>
        <v>人民币</v>
      </c>
      <c r="E21" s="2">
        <v>7.47</v>
      </c>
      <c r="F21" s="2">
        <v>0</v>
      </c>
      <c r="G21" s="2">
        <v>0</v>
      </c>
      <c r="I21" s="2">
        <v>112050</v>
      </c>
      <c r="J21" s="2">
        <v>7.47</v>
      </c>
      <c r="K21" s="2">
        <v>0</v>
      </c>
      <c r="L21" s="2">
        <v>0</v>
      </c>
      <c r="M21" s="2" t="s">
        <v>34</v>
      </c>
      <c r="N21" s="2" t="s">
        <v>28</v>
      </c>
    </row>
    <row r="22" spans="1:14" x14ac:dyDescent="0.15">
      <c r="A22" s="2" t="s">
        <v>35</v>
      </c>
      <c r="B22" s="2">
        <v>5300</v>
      </c>
      <c r="C22" s="2">
        <v>5300</v>
      </c>
      <c r="D22" s="2" t="str">
        <f t="shared" si="1"/>
        <v>人民币</v>
      </c>
      <c r="E22" s="2">
        <v>30.15</v>
      </c>
      <c r="F22" s="2">
        <v>0</v>
      </c>
      <c r="G22" s="2">
        <v>0</v>
      </c>
      <c r="I22" s="2">
        <v>159795</v>
      </c>
      <c r="J22" s="2">
        <v>30.15</v>
      </c>
      <c r="K22" s="2">
        <v>0</v>
      </c>
      <c r="L22" s="2">
        <v>0</v>
      </c>
      <c r="M22" s="2" t="s">
        <v>36</v>
      </c>
      <c r="N22" s="2" t="s">
        <v>28</v>
      </c>
    </row>
    <row r="23" spans="1:14" x14ac:dyDescent="0.15">
      <c r="A23" s="2" t="s">
        <v>37</v>
      </c>
      <c r="B23" s="2">
        <v>200</v>
      </c>
      <c r="C23" s="2">
        <v>200</v>
      </c>
      <c r="D23" s="2" t="str">
        <f t="shared" si="1"/>
        <v>人民币</v>
      </c>
      <c r="E23" s="2">
        <v>480.24</v>
      </c>
      <c r="F23" s="2">
        <v>0</v>
      </c>
      <c r="G23" s="2">
        <v>0</v>
      </c>
      <c r="I23" s="2">
        <v>96048</v>
      </c>
      <c r="J23" s="2">
        <v>480.24</v>
      </c>
      <c r="K23" s="2">
        <v>0</v>
      </c>
      <c r="L23" s="2">
        <v>0</v>
      </c>
      <c r="M23" s="2" t="s">
        <v>38</v>
      </c>
      <c r="N23" s="2" t="s">
        <v>28</v>
      </c>
    </row>
    <row r="24" spans="1:14" x14ac:dyDescent="0.15">
      <c r="A24" s="2" t="s">
        <v>39</v>
      </c>
      <c r="B24" s="2">
        <v>14045</v>
      </c>
      <c r="C24" s="2">
        <v>14045</v>
      </c>
      <c r="D24" s="2" t="str">
        <f t="shared" si="1"/>
        <v>人民币</v>
      </c>
      <c r="E24" s="2">
        <v>15.21</v>
      </c>
      <c r="F24" s="2">
        <v>1123.5999999999999</v>
      </c>
      <c r="G24" s="2">
        <v>0.53</v>
      </c>
      <c r="I24" s="2">
        <v>214748.05</v>
      </c>
      <c r="J24" s="2">
        <v>15.29</v>
      </c>
      <c r="K24" s="2">
        <v>0</v>
      </c>
      <c r="L24" s="2">
        <v>0</v>
      </c>
      <c r="M24" s="2" t="s">
        <v>40</v>
      </c>
      <c r="N24" s="2" t="s">
        <v>28</v>
      </c>
    </row>
    <row r="25" spans="1:14" x14ac:dyDescent="0.15">
      <c r="A25" s="2" t="s">
        <v>41</v>
      </c>
      <c r="B25" s="2">
        <v>3900</v>
      </c>
      <c r="C25" s="2">
        <v>3900</v>
      </c>
      <c r="D25" s="2" t="str">
        <f t="shared" si="1"/>
        <v>人民币</v>
      </c>
      <c r="E25" s="2">
        <v>16.190000000000001</v>
      </c>
      <c r="F25" s="2">
        <v>585</v>
      </c>
      <c r="G25" s="2">
        <v>0.93</v>
      </c>
      <c r="I25" s="2">
        <v>63726</v>
      </c>
      <c r="J25" s="2">
        <v>16.34</v>
      </c>
      <c r="K25" s="2">
        <v>0</v>
      </c>
      <c r="L25" s="2">
        <v>0</v>
      </c>
      <c r="M25" s="2" t="s">
        <v>42</v>
      </c>
      <c r="N25" s="2" t="s">
        <v>28</v>
      </c>
    </row>
    <row r="26" spans="1:14" x14ac:dyDescent="0.15">
      <c r="A26" s="2" t="s">
        <v>43</v>
      </c>
      <c r="B26" s="2">
        <v>2400</v>
      </c>
      <c r="C26" s="2">
        <v>2400</v>
      </c>
      <c r="D26" s="2" t="str">
        <f t="shared" si="1"/>
        <v>人民币</v>
      </c>
      <c r="E26" s="2">
        <v>26.46</v>
      </c>
      <c r="F26" s="2">
        <v>0</v>
      </c>
      <c r="G26" s="2">
        <v>0</v>
      </c>
      <c r="I26" s="2">
        <v>63504</v>
      </c>
      <c r="J26" s="2">
        <v>26.46</v>
      </c>
      <c r="K26" s="2">
        <v>0</v>
      </c>
      <c r="L26" s="2">
        <v>0</v>
      </c>
      <c r="M26" s="2" t="s">
        <v>44</v>
      </c>
      <c r="N26" s="2" t="s">
        <v>28</v>
      </c>
    </row>
    <row r="27" spans="1:14" x14ac:dyDescent="0.15">
      <c r="A27" s="2" t="s">
        <v>45</v>
      </c>
      <c r="B27" s="2">
        <v>2300</v>
      </c>
      <c r="C27" s="2">
        <v>2300</v>
      </c>
      <c r="D27" s="2" t="str">
        <f t="shared" si="1"/>
        <v>人民币</v>
      </c>
      <c r="E27" s="2">
        <v>54.85</v>
      </c>
      <c r="F27" s="2">
        <v>0</v>
      </c>
      <c r="G27" s="2">
        <v>0</v>
      </c>
      <c r="I27" s="2">
        <v>126155</v>
      </c>
      <c r="J27" s="2">
        <v>54.85</v>
      </c>
      <c r="K27" s="2">
        <v>0</v>
      </c>
      <c r="L27" s="2">
        <v>0</v>
      </c>
      <c r="M27" s="2" t="s">
        <v>46</v>
      </c>
      <c r="N27" s="2" t="s">
        <v>28</v>
      </c>
    </row>
    <row r="28" spans="1:14" x14ac:dyDescent="0.15">
      <c r="A28" s="2" t="s">
        <v>47</v>
      </c>
      <c r="B28" s="2">
        <v>12000</v>
      </c>
      <c r="C28" s="2">
        <v>12000</v>
      </c>
      <c r="D28" s="2" t="str">
        <f t="shared" si="1"/>
        <v>人民币</v>
      </c>
      <c r="E28" s="2">
        <v>10.49</v>
      </c>
      <c r="F28" s="2">
        <v>0</v>
      </c>
      <c r="G28" s="2">
        <v>0</v>
      </c>
      <c r="I28" s="2">
        <v>125880</v>
      </c>
      <c r="J28" s="2">
        <v>10.49</v>
      </c>
      <c r="K28" s="2">
        <v>0</v>
      </c>
      <c r="L28" s="2">
        <v>0</v>
      </c>
      <c r="M28" s="2" t="s">
        <v>48</v>
      </c>
      <c r="N28" s="2" t="s">
        <v>28</v>
      </c>
    </row>
    <row r="30" spans="1:14" x14ac:dyDescent="0.15">
      <c r="A30">
        <v>1</v>
      </c>
      <c r="B30">
        <v>2</v>
      </c>
      <c r="C30">
        <f>+B30+1</f>
        <v>3</v>
      </c>
      <c r="D30" s="2">
        <f t="shared" ref="D30:N30" si="2">+C30+1</f>
        <v>4</v>
      </c>
      <c r="E30" s="2">
        <f t="shared" si="2"/>
        <v>5</v>
      </c>
      <c r="F30" s="2">
        <f t="shared" si="2"/>
        <v>6</v>
      </c>
      <c r="G30" s="2">
        <f t="shared" si="2"/>
        <v>7</v>
      </c>
      <c r="H30" s="2">
        <f t="shared" si="2"/>
        <v>8</v>
      </c>
      <c r="I30" s="2">
        <f t="shared" si="2"/>
        <v>9</v>
      </c>
      <c r="J30" s="2">
        <f t="shared" si="2"/>
        <v>10</v>
      </c>
      <c r="K30" s="2">
        <f t="shared" si="2"/>
        <v>11</v>
      </c>
      <c r="L30" s="2">
        <f t="shared" si="2"/>
        <v>12</v>
      </c>
      <c r="M30" s="2">
        <f t="shared" si="2"/>
        <v>13</v>
      </c>
      <c r="N30" s="2">
        <f t="shared" si="2"/>
        <v>14</v>
      </c>
    </row>
    <row r="31" spans="1:14" s="2" customFormat="1" x14ac:dyDescent="0.15">
      <c r="A31" s="2" t="str">
        <f>"币种"</f>
        <v>币种</v>
      </c>
      <c r="B31" s="2" t="str">
        <f>"余额"</f>
        <v>余额</v>
      </c>
      <c r="C31" s="2" t="str">
        <f>"可用"</f>
        <v>可用</v>
      </c>
      <c r="D31" s="2" t="str">
        <f>"可取"</f>
        <v>可取</v>
      </c>
      <c r="E31" s="2" t="str">
        <f>"参考市值"</f>
        <v>参考市值</v>
      </c>
      <c r="F31" s="2" t="str">
        <f>"资产"</f>
        <v>资产</v>
      </c>
      <c r="G31" s="2" t="str">
        <f>"盈亏"</f>
        <v>盈亏</v>
      </c>
    </row>
    <row r="32" spans="1:14" s="2" customFormat="1" x14ac:dyDescent="0.15">
      <c r="A32" s="2" t="str">
        <f>"人民币"</f>
        <v>人民币</v>
      </c>
      <c r="B32" s="2">
        <f>+B13+B2</f>
        <v>160345.72</v>
      </c>
      <c r="C32" s="2">
        <f t="shared" ref="C32:G32" si="3">+C13+C2</f>
        <v>160345.72</v>
      </c>
      <c r="D32" s="2">
        <f t="shared" si="3"/>
        <v>159759.72</v>
      </c>
      <c r="E32" s="2">
        <f t="shared" si="3"/>
        <v>1984753.05</v>
      </c>
      <c r="F32" s="2">
        <f t="shared" si="3"/>
        <v>2145099.79</v>
      </c>
      <c r="G32" s="2">
        <f t="shared" si="3"/>
        <v>86002.61</v>
      </c>
    </row>
    <row r="34" spans="1:16" s="2" customFormat="1" x14ac:dyDescent="0.15">
      <c r="A34" s="2" t="str">
        <f>"证券名称"</f>
        <v>证券名称</v>
      </c>
      <c r="B34" s="2" t="str">
        <f>"证券数量"</f>
        <v>证券数量</v>
      </c>
      <c r="C34" s="2" t="str">
        <f>"可卖数量"</f>
        <v>可卖数量</v>
      </c>
      <c r="D34" s="2" t="str">
        <f>"价格币种"</f>
        <v>价格币种</v>
      </c>
      <c r="E34" s="2" t="str">
        <f>"成本价"</f>
        <v>成本价</v>
      </c>
      <c r="F34" s="2" t="str">
        <f>"浮动盈亏"</f>
        <v>浮动盈亏</v>
      </c>
      <c r="G34" s="2" t="str">
        <f>"盈亏比例(%)"</f>
        <v>盈亏比例(%)</v>
      </c>
      <c r="H34" s="2" t="str">
        <f>"折算汇率"</f>
        <v>折算汇率</v>
      </c>
      <c r="I34" s="2" t="str">
        <f>"最新市值"</f>
        <v>最新市值</v>
      </c>
      <c r="J34" s="2" t="str">
        <f>"当前价"</f>
        <v>当前价</v>
      </c>
      <c r="K34" s="2" t="str">
        <f>"今买数量"</f>
        <v>今买数量</v>
      </c>
      <c r="L34" s="2" t="str">
        <f>"今卖数量"</f>
        <v>今卖数量</v>
      </c>
      <c r="M34" s="2" t="str">
        <f>"证券代码"</f>
        <v>证券代码</v>
      </c>
      <c r="N34" s="2" t="str">
        <f>"股东代码"</f>
        <v>股东代码</v>
      </c>
      <c r="O34" s="2" t="str">
        <f>"成本金额"</f>
        <v>成本金额</v>
      </c>
      <c r="P34" s="2" t="str">
        <f>"备注"</f>
        <v>备注</v>
      </c>
    </row>
    <row r="35" spans="1:16" x14ac:dyDescent="0.15">
      <c r="A35" s="2" t="s">
        <v>21</v>
      </c>
      <c r="B35">
        <f>SUMIF($A$1:$A$28,$A35,B$1:B$28)</f>
        <v>7400</v>
      </c>
      <c r="C35" s="2">
        <f>SUMIF($A$1:$A$28,$A35,C$1:C$28)</f>
        <v>7400</v>
      </c>
      <c r="D35" s="2" t="str">
        <f t="shared" ref="D35:D47" si="4">"人民币"</f>
        <v>人民币</v>
      </c>
      <c r="E35" s="1">
        <f>J35-F35/B35</f>
        <v>35.111605405405406</v>
      </c>
      <c r="F35" s="2">
        <f>SUMIF($A$1:$A$28,$A35,F$1:F$28)</f>
        <v>30698.12</v>
      </c>
      <c r="G35" s="1">
        <f>+F35/I35*100</f>
        <v>10.566466109512467</v>
      </c>
      <c r="I35" s="2">
        <f>SUMIF($A$1:$A$28,$A35,I$1:I$28)</f>
        <v>290524</v>
      </c>
      <c r="J35">
        <f>VLOOKUP($A35,$A$15:$N$28,J$30,0)</f>
        <v>39.26</v>
      </c>
      <c r="K35" s="2">
        <v>0</v>
      </c>
      <c r="L35">
        <v>0</v>
      </c>
      <c r="M35" s="2" t="str">
        <f>VLOOKUP($A35,$A$15:$N$28,M$30,0)</f>
        <v>000651</v>
      </c>
      <c r="N35" s="2" t="str">
        <f>VLOOKUP($A35,$A$15:$N$28,N$30,0)</f>
        <v>0604689138</v>
      </c>
      <c r="O35">
        <f>+E35*B35</f>
        <v>259825.88</v>
      </c>
    </row>
    <row r="36" spans="1:16" x14ac:dyDescent="0.15">
      <c r="A36" s="2" t="s">
        <v>24</v>
      </c>
      <c r="B36" s="2">
        <f t="shared" ref="B36:C47" si="5">SUMIF($A$1:$A$28,$A36,B$1:B$28)</f>
        <v>1000</v>
      </c>
      <c r="C36" s="2">
        <f>SUMIF($A$1:$A$28,$A36,C$1:C$28)</f>
        <v>1000</v>
      </c>
      <c r="D36" s="2" t="str">
        <f t="shared" si="4"/>
        <v>人民币</v>
      </c>
      <c r="E36" s="1">
        <f>J36-F36/B36</f>
        <v>29.7</v>
      </c>
      <c r="F36" s="2">
        <f>SUMIF($A$1:$A$28,$A36,F$1:F$28)</f>
        <v>0</v>
      </c>
      <c r="G36" s="1">
        <f t="shared" ref="G36:G47" si="6">+F36/I36*100</f>
        <v>0</v>
      </c>
      <c r="I36" s="2">
        <f t="shared" ref="I36:I47" si="7">SUMIF($A$1:$A$28,$A36,I$1:I$28)</f>
        <v>29700</v>
      </c>
      <c r="J36" s="2">
        <f t="shared" ref="J36:J47" si="8">VLOOKUP($A36,$A$15:$N$28,J$30,0)</f>
        <v>29.7</v>
      </c>
      <c r="K36" s="2">
        <v>0</v>
      </c>
      <c r="L36" s="2">
        <v>0</v>
      </c>
      <c r="M36" s="2" t="str">
        <f t="shared" ref="M36:N47" si="9">VLOOKUP($A36,$A$15:$N$28,M$30,0)</f>
        <v>002415</v>
      </c>
      <c r="N36" s="2" t="str">
        <f>VLOOKUP($A36,$A$15:$N$28,N$30,0)</f>
        <v>0604689138</v>
      </c>
      <c r="O36" s="2">
        <f t="shared" ref="O36:O47" si="10">+E36*B36</f>
        <v>29700</v>
      </c>
    </row>
    <row r="37" spans="1:16" x14ac:dyDescent="0.15">
      <c r="A37" s="2" t="s">
        <v>26</v>
      </c>
      <c r="B37" s="2">
        <f t="shared" si="5"/>
        <v>32000</v>
      </c>
      <c r="C37" s="2">
        <f>SUMIF($A$1:$A$28,$A37,C$1:C$28)</f>
        <v>32000</v>
      </c>
      <c r="D37" s="2" t="str">
        <f t="shared" si="4"/>
        <v>人民币</v>
      </c>
      <c r="E37" s="1">
        <f>J37-F37/B37</f>
        <v>2.6820000000000004</v>
      </c>
      <c r="F37" s="2">
        <f t="shared" ref="F37:F47" si="11">SUMIF($A$1:$A$28,$A37,F$1:F$28)</f>
        <v>1344</v>
      </c>
      <c r="G37" s="1">
        <f t="shared" si="6"/>
        <v>1.5418502202643172</v>
      </c>
      <c r="I37" s="2">
        <f t="shared" si="7"/>
        <v>87168</v>
      </c>
      <c r="J37" s="2">
        <f t="shared" si="8"/>
        <v>2.7240000000000002</v>
      </c>
      <c r="K37" s="2">
        <v>0</v>
      </c>
      <c r="L37" s="2">
        <v>0</v>
      </c>
      <c r="M37" s="2" t="str">
        <f t="shared" si="9"/>
        <v>510050</v>
      </c>
      <c r="N37" s="2" t="str">
        <f t="shared" si="9"/>
        <v>E046935023</v>
      </c>
      <c r="O37" s="2">
        <f t="shared" si="10"/>
        <v>85824.000000000015</v>
      </c>
    </row>
    <row r="38" spans="1:16" x14ac:dyDescent="0.15">
      <c r="A38" s="2" t="s">
        <v>29</v>
      </c>
      <c r="B38" s="2">
        <f t="shared" si="5"/>
        <v>5000</v>
      </c>
      <c r="C38" s="2">
        <f>SUMIF($A$1:$A$28,$A38,C$1:C$28)</f>
        <v>5000</v>
      </c>
      <c r="D38" s="2" t="str">
        <f t="shared" si="4"/>
        <v>人民币</v>
      </c>
      <c r="E38" s="1">
        <f>J38-F38/B38</f>
        <v>26.14</v>
      </c>
      <c r="F38" s="2">
        <f t="shared" si="11"/>
        <v>0</v>
      </c>
      <c r="G38" s="1">
        <f t="shared" si="6"/>
        <v>0</v>
      </c>
      <c r="I38" s="2">
        <f t="shared" si="7"/>
        <v>130700</v>
      </c>
      <c r="J38" s="2">
        <f t="shared" si="8"/>
        <v>26.14</v>
      </c>
      <c r="K38" s="2">
        <v>0</v>
      </c>
      <c r="L38" s="2">
        <v>0</v>
      </c>
      <c r="M38" s="2" t="str">
        <f t="shared" si="9"/>
        <v>600036</v>
      </c>
      <c r="N38" s="2" t="str">
        <f t="shared" si="9"/>
        <v>E046935023</v>
      </c>
      <c r="O38" s="2">
        <f t="shared" si="10"/>
        <v>130700</v>
      </c>
    </row>
    <row r="39" spans="1:16" x14ac:dyDescent="0.15">
      <c r="A39" s="2" t="s">
        <v>31</v>
      </c>
      <c r="B39" s="2">
        <f t="shared" si="5"/>
        <v>12500</v>
      </c>
      <c r="C39" s="2">
        <f t="shared" si="5"/>
        <v>12500</v>
      </c>
      <c r="D39" s="2" t="str">
        <f t="shared" si="4"/>
        <v>人民币</v>
      </c>
      <c r="E39" s="1">
        <f t="shared" ref="E39:E47" si="12">J39-F39/B39</f>
        <v>10.623961599999999</v>
      </c>
      <c r="F39" s="2">
        <f t="shared" si="11"/>
        <v>-549.52</v>
      </c>
      <c r="G39" s="1">
        <f t="shared" si="6"/>
        <v>-0.41551606805293001</v>
      </c>
      <c r="I39" s="2">
        <f t="shared" si="7"/>
        <v>132250</v>
      </c>
      <c r="J39" s="2">
        <f t="shared" si="8"/>
        <v>10.58</v>
      </c>
      <c r="K39" s="2">
        <v>0</v>
      </c>
      <c r="L39" s="2">
        <v>0</v>
      </c>
      <c r="M39" s="2" t="str">
        <f t="shared" si="9"/>
        <v>600048</v>
      </c>
      <c r="N39" s="2" t="str">
        <f t="shared" si="9"/>
        <v>E046935023</v>
      </c>
      <c r="O39" s="2">
        <f t="shared" si="10"/>
        <v>132799.51999999999</v>
      </c>
    </row>
    <row r="40" spans="1:16" x14ac:dyDescent="0.15">
      <c r="A40" s="2" t="s">
        <v>33</v>
      </c>
      <c r="B40" s="2">
        <f t="shared" si="5"/>
        <v>15000</v>
      </c>
      <c r="C40" s="2">
        <f t="shared" si="5"/>
        <v>15000</v>
      </c>
      <c r="D40" s="2" t="str">
        <f t="shared" si="4"/>
        <v>人民币</v>
      </c>
      <c r="E40" s="1">
        <f t="shared" si="12"/>
        <v>7.47</v>
      </c>
      <c r="F40" s="2">
        <f t="shared" si="11"/>
        <v>0</v>
      </c>
      <c r="G40" s="1">
        <f t="shared" si="6"/>
        <v>0</v>
      </c>
      <c r="I40" s="2">
        <f t="shared" si="7"/>
        <v>112050</v>
      </c>
      <c r="J40" s="2">
        <f t="shared" si="8"/>
        <v>7.47</v>
      </c>
      <c r="K40" s="2">
        <v>0</v>
      </c>
      <c r="L40" s="2">
        <v>0</v>
      </c>
      <c r="M40" s="2" t="str">
        <f t="shared" si="9"/>
        <v>600050</v>
      </c>
      <c r="N40" s="2" t="str">
        <f t="shared" si="9"/>
        <v>E046935023</v>
      </c>
      <c r="O40" s="2">
        <f t="shared" si="10"/>
        <v>112050</v>
      </c>
    </row>
    <row r="41" spans="1:16" x14ac:dyDescent="0.15">
      <c r="A41" s="2" t="s">
        <v>35</v>
      </c>
      <c r="B41" s="2">
        <f t="shared" si="5"/>
        <v>11400</v>
      </c>
      <c r="C41" s="2">
        <f t="shared" si="5"/>
        <v>11400</v>
      </c>
      <c r="D41" s="2" t="str">
        <f t="shared" si="4"/>
        <v>人民币</v>
      </c>
      <c r="E41" s="1">
        <f t="shared" si="12"/>
        <v>27.554943859649121</v>
      </c>
      <c r="F41" s="2">
        <f t="shared" si="11"/>
        <v>29583.64</v>
      </c>
      <c r="G41" s="1">
        <f t="shared" si="6"/>
        <v>8.6071513776148496</v>
      </c>
      <c r="I41" s="2">
        <f t="shared" si="7"/>
        <v>343710</v>
      </c>
      <c r="J41" s="2">
        <f t="shared" si="8"/>
        <v>30.15</v>
      </c>
      <c r="K41" s="2">
        <v>0</v>
      </c>
      <c r="L41" s="2">
        <v>0</v>
      </c>
      <c r="M41" s="2" t="str">
        <f t="shared" si="9"/>
        <v>600104</v>
      </c>
      <c r="N41" s="2" t="str">
        <f t="shared" si="9"/>
        <v>E046935023</v>
      </c>
      <c r="O41" s="2">
        <f t="shared" si="10"/>
        <v>314126.36</v>
      </c>
    </row>
    <row r="42" spans="1:16" x14ac:dyDescent="0.15">
      <c r="A42" s="2" t="s">
        <v>37</v>
      </c>
      <c r="B42" s="2">
        <f t="shared" si="5"/>
        <v>400</v>
      </c>
      <c r="C42" s="2">
        <f t="shared" si="5"/>
        <v>400</v>
      </c>
      <c r="D42" s="2" t="str">
        <f t="shared" si="4"/>
        <v>人民币</v>
      </c>
      <c r="E42" s="1">
        <f t="shared" si="12"/>
        <v>425.06305000000003</v>
      </c>
      <c r="F42" s="2">
        <f t="shared" si="11"/>
        <v>22070.78</v>
      </c>
      <c r="G42" s="1">
        <f t="shared" si="6"/>
        <v>11.489453190071631</v>
      </c>
      <c r="I42" s="2">
        <f t="shared" si="7"/>
        <v>192096</v>
      </c>
      <c r="J42" s="2">
        <f t="shared" si="8"/>
        <v>480.24</v>
      </c>
      <c r="K42" s="2">
        <v>0</v>
      </c>
      <c r="L42" s="2">
        <v>0</v>
      </c>
      <c r="M42" s="2" t="str">
        <f t="shared" si="9"/>
        <v>600519</v>
      </c>
      <c r="N42" s="2" t="str">
        <f t="shared" si="9"/>
        <v>E046935023</v>
      </c>
      <c r="O42" s="2">
        <f t="shared" si="10"/>
        <v>170025.22</v>
      </c>
    </row>
    <row r="43" spans="1:16" x14ac:dyDescent="0.15">
      <c r="A43" s="2" t="s">
        <v>39</v>
      </c>
      <c r="B43" s="2">
        <f t="shared" si="5"/>
        <v>14045</v>
      </c>
      <c r="C43" s="2">
        <f t="shared" si="5"/>
        <v>14045</v>
      </c>
      <c r="D43" s="2" t="str">
        <f t="shared" si="4"/>
        <v>人民币</v>
      </c>
      <c r="E43" s="1">
        <f t="shared" si="12"/>
        <v>15.209999999999999</v>
      </c>
      <c r="F43" s="2">
        <f t="shared" si="11"/>
        <v>1123.5999999999999</v>
      </c>
      <c r="G43" s="1">
        <f t="shared" si="6"/>
        <v>0.52321778940483976</v>
      </c>
      <c r="I43" s="2">
        <f t="shared" si="7"/>
        <v>214748.05</v>
      </c>
      <c r="J43" s="2">
        <f t="shared" si="8"/>
        <v>15.29</v>
      </c>
      <c r="K43" s="2">
        <v>0</v>
      </c>
      <c r="L43" s="2">
        <v>0</v>
      </c>
      <c r="M43" s="2" t="str">
        <f t="shared" si="9"/>
        <v>600900</v>
      </c>
      <c r="N43" s="2" t="str">
        <f t="shared" si="9"/>
        <v>E046935023</v>
      </c>
      <c r="O43" s="2">
        <f t="shared" si="10"/>
        <v>213624.44999999998</v>
      </c>
    </row>
    <row r="44" spans="1:16" x14ac:dyDescent="0.15">
      <c r="A44" s="2" t="s">
        <v>41</v>
      </c>
      <c r="B44" s="2">
        <f t="shared" si="5"/>
        <v>5900</v>
      </c>
      <c r="C44" s="2">
        <f t="shared" si="5"/>
        <v>5900</v>
      </c>
      <c r="D44" s="2" t="str">
        <f t="shared" si="4"/>
        <v>人民币</v>
      </c>
      <c r="E44" s="1">
        <f t="shared" si="12"/>
        <v>16.01875254237288</v>
      </c>
      <c r="F44" s="2">
        <f t="shared" si="11"/>
        <v>1895.36</v>
      </c>
      <c r="G44" s="1">
        <f t="shared" si="6"/>
        <v>1.9660187125282658</v>
      </c>
      <c r="I44" s="2">
        <f t="shared" si="7"/>
        <v>96406</v>
      </c>
      <c r="J44" s="2">
        <f t="shared" si="8"/>
        <v>16.34</v>
      </c>
      <c r="K44" s="2">
        <v>0</v>
      </c>
      <c r="L44" s="2">
        <v>0</v>
      </c>
      <c r="M44" s="2" t="str">
        <f t="shared" si="9"/>
        <v>600958</v>
      </c>
      <c r="N44" s="2" t="str">
        <f t="shared" si="9"/>
        <v>E046935023</v>
      </c>
      <c r="O44" s="2">
        <f t="shared" si="10"/>
        <v>94510.64</v>
      </c>
    </row>
    <row r="45" spans="1:16" x14ac:dyDescent="0.15">
      <c r="A45" s="2" t="s">
        <v>43</v>
      </c>
      <c r="B45" s="2">
        <f t="shared" si="5"/>
        <v>2400</v>
      </c>
      <c r="C45" s="2">
        <f t="shared" si="5"/>
        <v>2400</v>
      </c>
      <c r="D45" s="2" t="str">
        <f t="shared" si="4"/>
        <v>人民币</v>
      </c>
      <c r="E45" s="1">
        <f t="shared" si="12"/>
        <v>26.46</v>
      </c>
      <c r="F45" s="2">
        <f t="shared" si="11"/>
        <v>0</v>
      </c>
      <c r="G45" s="1">
        <f t="shared" si="6"/>
        <v>0</v>
      </c>
      <c r="I45" s="2">
        <f t="shared" si="7"/>
        <v>63504</v>
      </c>
      <c r="J45" s="2">
        <f t="shared" si="8"/>
        <v>26.46</v>
      </c>
      <c r="K45" s="2">
        <v>0</v>
      </c>
      <c r="L45" s="2">
        <v>0</v>
      </c>
      <c r="M45" s="2" t="str">
        <f t="shared" si="9"/>
        <v>601238</v>
      </c>
      <c r="N45" s="2" t="str">
        <f t="shared" si="9"/>
        <v>E046935023</v>
      </c>
      <c r="O45" s="2">
        <f t="shared" si="10"/>
        <v>63504</v>
      </c>
    </row>
    <row r="46" spans="1:16" x14ac:dyDescent="0.15">
      <c r="A46" s="2" t="s">
        <v>45</v>
      </c>
      <c r="B46" s="2">
        <f t="shared" si="5"/>
        <v>2300</v>
      </c>
      <c r="C46" s="2">
        <f t="shared" si="5"/>
        <v>2300</v>
      </c>
      <c r="D46" s="2" t="str">
        <f t="shared" si="4"/>
        <v>人民币</v>
      </c>
      <c r="E46" s="1">
        <f t="shared" si="12"/>
        <v>54.85</v>
      </c>
      <c r="F46" s="2">
        <f t="shared" si="11"/>
        <v>0</v>
      </c>
      <c r="G46" s="1">
        <f t="shared" si="6"/>
        <v>0</v>
      </c>
      <c r="I46" s="2">
        <f t="shared" si="7"/>
        <v>126155</v>
      </c>
      <c r="J46" s="2">
        <f t="shared" si="8"/>
        <v>54.85</v>
      </c>
      <c r="K46" s="2">
        <v>0</v>
      </c>
      <c r="L46" s="2">
        <v>0</v>
      </c>
      <c r="M46" s="2" t="str">
        <f t="shared" si="9"/>
        <v>601318</v>
      </c>
      <c r="N46" s="2" t="str">
        <f t="shared" si="9"/>
        <v>E046935023</v>
      </c>
      <c r="O46" s="2">
        <f t="shared" si="10"/>
        <v>126155</v>
      </c>
    </row>
    <row r="47" spans="1:16" x14ac:dyDescent="0.15">
      <c r="A47" s="2" t="s">
        <v>47</v>
      </c>
      <c r="B47" s="2">
        <f t="shared" si="5"/>
        <v>15800</v>
      </c>
      <c r="C47" s="2">
        <f t="shared" si="5"/>
        <v>15800</v>
      </c>
      <c r="D47" s="2" t="str">
        <f t="shared" si="4"/>
        <v>人民币</v>
      </c>
      <c r="E47" s="1">
        <f t="shared" si="12"/>
        <v>10.500339873417722</v>
      </c>
      <c r="F47" s="2">
        <f t="shared" si="11"/>
        <v>-163.37</v>
      </c>
      <c r="G47" s="1">
        <f t="shared" si="6"/>
        <v>-9.8568860035476824E-2</v>
      </c>
      <c r="I47" s="2">
        <f t="shared" si="7"/>
        <v>165742</v>
      </c>
      <c r="J47" s="2">
        <f t="shared" si="8"/>
        <v>10.49</v>
      </c>
      <c r="K47" s="2">
        <v>0</v>
      </c>
      <c r="L47" s="2">
        <v>0</v>
      </c>
      <c r="M47" s="2" t="str">
        <f t="shared" si="9"/>
        <v>601668</v>
      </c>
      <c r="N47" s="2" t="str">
        <f t="shared" si="9"/>
        <v>E046935023</v>
      </c>
      <c r="O47" s="2">
        <f t="shared" si="10"/>
        <v>165905.37000000002</v>
      </c>
    </row>
    <row r="50" spans="1:19" x14ac:dyDescent="0.15">
      <c r="A50" t="s">
        <v>49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ProcessOpenPos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Shi</dc:creator>
  <cp:lastModifiedBy>LUke</cp:lastModifiedBy>
  <dcterms:created xsi:type="dcterms:W3CDTF">2017-08-01T22:57:05Z</dcterms:created>
  <dcterms:modified xsi:type="dcterms:W3CDTF">2017-08-02T00:25:53Z</dcterms:modified>
</cp:coreProperties>
</file>