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AA259" i="7" l="1"/>
  <c r="Z259" i="7"/>
  <c r="W259" i="7"/>
  <c r="X259" i="7"/>
  <c r="U259" i="7"/>
  <c r="K260" i="7"/>
  <c r="K259" i="7"/>
  <c r="L259" i="7" s="1"/>
  <c r="F259" i="7"/>
  <c r="E259" i="7"/>
  <c r="M259" i="7" s="1"/>
  <c r="AA257" i="7" l="1"/>
  <c r="AA256" i="7"/>
  <c r="AA258" i="7"/>
  <c r="AA27" i="7"/>
  <c r="AA28" i="7"/>
  <c r="AA29" i="7"/>
  <c r="AA30" i="7"/>
  <c r="AA31" i="7"/>
  <c r="AA32" i="7"/>
  <c r="AA33" i="7"/>
  <c r="AA34" i="7"/>
  <c r="AA35" i="7"/>
  <c r="AA36" i="7"/>
  <c r="AA37" i="7"/>
  <c r="AA38" i="7"/>
  <c r="AA39" i="7"/>
  <c r="AA40" i="7"/>
  <c r="AA41" i="7"/>
  <c r="AA42" i="7"/>
  <c r="AA43" i="7"/>
  <c r="AA44" i="7"/>
  <c r="AA45" i="7"/>
  <c r="AA46" i="7"/>
  <c r="AA47" i="7"/>
  <c r="AA48" i="7"/>
  <c r="AA49" i="7"/>
  <c r="AA50" i="7"/>
  <c r="AA51" i="7"/>
  <c r="AA52" i="7"/>
  <c r="AA53" i="7"/>
  <c r="AA54" i="7"/>
  <c r="AA55" i="7"/>
  <c r="AA56" i="7"/>
  <c r="AA57" i="7"/>
  <c r="AA58" i="7"/>
  <c r="AA59" i="7"/>
  <c r="AA60" i="7"/>
  <c r="AA61" i="7"/>
  <c r="AA62" i="7"/>
  <c r="AA63" i="7"/>
  <c r="AA64" i="7"/>
  <c r="AA65" i="7"/>
  <c r="AA66" i="7"/>
  <c r="AA67" i="7"/>
  <c r="AA68" i="7"/>
  <c r="AA69" i="7"/>
  <c r="AA70" i="7"/>
  <c r="AA71" i="7"/>
  <c r="AA72" i="7"/>
  <c r="AA73" i="7"/>
  <c r="AA74" i="7"/>
  <c r="AA75" i="7"/>
  <c r="AA76" i="7"/>
  <c r="AA77" i="7"/>
  <c r="AA78" i="7"/>
  <c r="AA79" i="7"/>
  <c r="AA80" i="7"/>
  <c r="AA81" i="7"/>
  <c r="AA82" i="7"/>
  <c r="AA83" i="7"/>
  <c r="AA84" i="7"/>
  <c r="AA85" i="7"/>
  <c r="AA86" i="7"/>
  <c r="AA87" i="7"/>
  <c r="AA88" i="7"/>
  <c r="AA89" i="7"/>
  <c r="AA90" i="7"/>
  <c r="AA91" i="7"/>
  <c r="AA92" i="7"/>
  <c r="AA93" i="7"/>
  <c r="AA94" i="7"/>
  <c r="AA95" i="7"/>
  <c r="AA96" i="7"/>
  <c r="AA97" i="7"/>
  <c r="AA98" i="7"/>
  <c r="AA99" i="7"/>
  <c r="AA100" i="7"/>
  <c r="AA101" i="7"/>
  <c r="AA102" i="7"/>
  <c r="AA103" i="7"/>
  <c r="AA104" i="7"/>
  <c r="AA105" i="7"/>
  <c r="AA106" i="7"/>
  <c r="AA107" i="7"/>
  <c r="AA108" i="7"/>
  <c r="AA109" i="7"/>
  <c r="AA110" i="7"/>
  <c r="AA111" i="7"/>
  <c r="AA112" i="7"/>
  <c r="AA113" i="7"/>
  <c r="AA114" i="7"/>
  <c r="AA115" i="7"/>
  <c r="AA116" i="7"/>
  <c r="AA117" i="7"/>
  <c r="AA118" i="7"/>
  <c r="AA119" i="7"/>
  <c r="AA120" i="7"/>
  <c r="AA121" i="7"/>
  <c r="AA122" i="7"/>
  <c r="AA123" i="7"/>
  <c r="AA124" i="7"/>
  <c r="AA125" i="7"/>
  <c r="AA126" i="7"/>
  <c r="AA127" i="7"/>
  <c r="AA128" i="7"/>
  <c r="AA129" i="7"/>
  <c r="AA130" i="7"/>
  <c r="AA131" i="7"/>
  <c r="AA132" i="7"/>
  <c r="AA133" i="7"/>
  <c r="AA134" i="7"/>
  <c r="AA135" i="7"/>
  <c r="AA136" i="7"/>
  <c r="AA137" i="7"/>
  <c r="AA138" i="7"/>
  <c r="AA139" i="7"/>
  <c r="AA140" i="7"/>
  <c r="AA141" i="7"/>
  <c r="AA142" i="7"/>
  <c r="AA143" i="7"/>
  <c r="AA144" i="7"/>
  <c r="AA145" i="7"/>
  <c r="AA146" i="7"/>
  <c r="AA147" i="7"/>
  <c r="AA148" i="7"/>
  <c r="AA149" i="7"/>
  <c r="AA150" i="7"/>
  <c r="AA151" i="7"/>
  <c r="AA152" i="7"/>
  <c r="AA153" i="7"/>
  <c r="AA154" i="7"/>
  <c r="AA155" i="7"/>
  <c r="AA156" i="7"/>
  <c r="AA157" i="7"/>
  <c r="AA158" i="7"/>
  <c r="AA159" i="7"/>
  <c r="AA160" i="7"/>
  <c r="AA161" i="7"/>
  <c r="AA162" i="7"/>
  <c r="AA163" i="7"/>
  <c r="AA164" i="7"/>
  <c r="AA165" i="7"/>
  <c r="AA166" i="7"/>
  <c r="AA167" i="7"/>
  <c r="AA168" i="7"/>
  <c r="AA169" i="7"/>
  <c r="AA170" i="7"/>
  <c r="AA171" i="7"/>
  <c r="AA172" i="7"/>
  <c r="AA173" i="7"/>
  <c r="AA174" i="7"/>
  <c r="AA175" i="7"/>
  <c r="AA176" i="7"/>
  <c r="AA177" i="7"/>
  <c r="AA178" i="7"/>
  <c r="AA179" i="7"/>
  <c r="AA180" i="7"/>
  <c r="AA181" i="7"/>
  <c r="AA182" i="7"/>
  <c r="AA183" i="7"/>
  <c r="AA184" i="7"/>
  <c r="AA185" i="7"/>
  <c r="AA186" i="7"/>
  <c r="AA187" i="7"/>
  <c r="AA188" i="7"/>
  <c r="AA189" i="7"/>
  <c r="AA190" i="7"/>
  <c r="AA191" i="7"/>
  <c r="AA192" i="7"/>
  <c r="AA193" i="7"/>
  <c r="AA194" i="7"/>
  <c r="AA195" i="7"/>
  <c r="AA196" i="7"/>
  <c r="AA197" i="7"/>
  <c r="AA198" i="7"/>
  <c r="AA199" i="7"/>
  <c r="AA200" i="7"/>
  <c r="AA201" i="7"/>
  <c r="AA202" i="7"/>
  <c r="AA203" i="7"/>
  <c r="AA204" i="7"/>
  <c r="AA205" i="7"/>
  <c r="AA206" i="7"/>
  <c r="AA207" i="7"/>
  <c r="AA208" i="7"/>
  <c r="AA209" i="7"/>
  <c r="AA210" i="7"/>
  <c r="AA211" i="7"/>
  <c r="AA212" i="7"/>
  <c r="AA213" i="7"/>
  <c r="AA214" i="7"/>
  <c r="AA215" i="7"/>
  <c r="AA216" i="7"/>
  <c r="AA217" i="7"/>
  <c r="AA218" i="7"/>
  <c r="AA219" i="7"/>
  <c r="AA220" i="7"/>
  <c r="AA221" i="7"/>
  <c r="AA222" i="7"/>
  <c r="AA223" i="7"/>
  <c r="AA224" i="7"/>
  <c r="AA225" i="7"/>
  <c r="AA226" i="7"/>
  <c r="AA227" i="7"/>
  <c r="AA228" i="7"/>
  <c r="AA229" i="7"/>
  <c r="AA230" i="7"/>
  <c r="AA231" i="7"/>
  <c r="AA232" i="7"/>
  <c r="AA233" i="7"/>
  <c r="AA234" i="7"/>
  <c r="AA235" i="7"/>
  <c r="AA236" i="7"/>
  <c r="AA237" i="7"/>
  <c r="AA238" i="7"/>
  <c r="AA239" i="7"/>
  <c r="AA240" i="7"/>
  <c r="AA241" i="7"/>
  <c r="AA242" i="7"/>
  <c r="AA243" i="7"/>
  <c r="AA244" i="7"/>
  <c r="AA245" i="7"/>
  <c r="AA246" i="7"/>
  <c r="AA247" i="7"/>
  <c r="AA248" i="7"/>
  <c r="AA249" i="7"/>
  <c r="AA250" i="7"/>
  <c r="AA251" i="7"/>
  <c r="AA252" i="7"/>
  <c r="AA253" i="7"/>
  <c r="AA254" i="7"/>
  <c r="AA255" i="7"/>
  <c r="AA26" i="7"/>
  <c r="K258" i="7" l="1"/>
  <c r="L258" i="7"/>
  <c r="M258" i="7"/>
  <c r="B263" i="7" l="1"/>
  <c r="B262" i="7"/>
  <c r="B261" i="7"/>
  <c r="B260" i="7"/>
  <c r="B259" i="7"/>
  <c r="Z258" i="7"/>
  <c r="W258" i="7"/>
  <c r="X258" i="7"/>
  <c r="U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N2289" i="1"/>
  <c r="O2289" i="1" s="1"/>
  <c r="U2289" i="1"/>
  <c r="V2289" i="1"/>
  <c r="G2275" i="1"/>
  <c r="G2276" i="1"/>
  <c r="G2277" i="1"/>
  <c r="G2278" i="1"/>
  <c r="G2279" i="1"/>
  <c r="G2280" i="1"/>
  <c r="G2281" i="1"/>
  <c r="G2282" i="1"/>
  <c r="G2283" i="1"/>
  <c r="G2284" i="1"/>
  <c r="G2285" i="1"/>
  <c r="G2286" i="1"/>
  <c r="G2287" i="1"/>
  <c r="G2288" i="1"/>
  <c r="G2289" i="1"/>
  <c r="E258" i="7"/>
  <c r="R2287" i="1" l="1"/>
  <c r="Q2275" i="1"/>
  <c r="P2275" i="1"/>
  <c r="R2279" i="1"/>
  <c r="R2289" i="1"/>
  <c r="R2288" i="1"/>
  <c r="R2284" i="1"/>
  <c r="Q2288" i="1"/>
  <c r="Q2285" i="1"/>
  <c r="Q2282" i="1"/>
  <c r="S2282" i="1" s="1"/>
  <c r="T2282" i="1" s="1"/>
  <c r="Q2278" i="1"/>
  <c r="Q2277" i="1"/>
  <c r="Q2289" i="1"/>
  <c r="Q2283" i="1"/>
  <c r="Q2279" i="1"/>
  <c r="X228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9" i="1"/>
  <c r="P2288" i="1"/>
  <c r="X2287" i="1"/>
  <c r="X2286" i="1"/>
  <c r="P2284" i="1"/>
  <c r="S2285" i="1"/>
  <c r="T2285" i="1" s="1"/>
  <c r="W2285" i="1" s="1"/>
  <c r="X257" i="7"/>
  <c r="Z257" i="7"/>
  <c r="W257" i="7"/>
  <c r="U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9" i="1"/>
  <c r="T2289" i="1" s="1"/>
  <c r="S2280" i="1"/>
  <c r="T2280" i="1" s="1"/>
  <c r="K255" i="7"/>
  <c r="K256" i="7"/>
  <c r="W2288" i="1" l="1"/>
  <c r="Y2288" i="1" s="1"/>
  <c r="W2284" i="1"/>
  <c r="Y2284" i="1" s="1"/>
  <c r="W2286" i="1"/>
  <c r="Y2286" i="1" s="1"/>
  <c r="W2280" i="1"/>
  <c r="Y2280" i="1" s="1"/>
  <c r="W2289" i="1"/>
  <c r="Y2289" i="1" s="1"/>
  <c r="W2279" i="1"/>
  <c r="Y2279" i="1" s="1"/>
  <c r="L256" i="7"/>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Z255" i="7"/>
  <c r="U255" i="7"/>
  <c r="X255" i="7" s="1"/>
  <c r="M255" i="7"/>
  <c r="F255" i="7"/>
  <c r="E255" i="7"/>
  <c r="S2267" i="1" l="1"/>
  <c r="T2267" i="1" s="1"/>
  <c r="W2267" i="1" s="1"/>
  <c r="Y2267" i="1" s="1"/>
  <c r="S2268" i="1"/>
  <c r="T2268" i="1" s="1"/>
  <c r="W2268" i="1" s="1"/>
  <c r="Y2268" i="1" s="1"/>
  <c r="S2274" i="1"/>
  <c r="T2274" i="1" s="1"/>
  <c r="W2274" i="1" s="1"/>
  <c r="Y2274" i="1" s="1"/>
  <c r="W255" i="7"/>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59" i="7" l="1"/>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<sst xmlns="http://schemas.openxmlformats.org/spreadsheetml/2006/main" count="22820" uniqueCount="5063">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</sst>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9"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3012736"/>
        <c:axId val="158384128"/>
      </c:lineChart>
      <c:dateAx>
        <c:axId val="193012736"/>
        <c:scaling>
          <c:orientation val="minMax"/>
        </c:scaling>
        <c:delete val="0"/>
        <c:axPos val="b"/>
        <c:numFmt formatCode="m/d/yyyy" sourceLinked="1"/>
        <c:majorTickMark val="out"/>
        <c:minorTickMark val="none"/>
        <c:tickLblPos val="nextTo"/>
        <c:crossAx val="158384128"/>
        <c:crosses val="autoZero"/>
        <c:auto val="1"/>
        <c:lblOffset val="100"/>
        <c:baseTimeUnit val="days"/>
      </c:dateAx>
      <c:valAx>
        <c:axId val="158384128"/>
        <c:scaling>
          <c:orientation val="minMax"/>
        </c:scaling>
        <c:delete val="0"/>
        <c:axPos val="l"/>
        <c:majorGridlines/>
        <c:numFmt formatCode="General" sourceLinked="1"/>
        <c:majorTickMark val="out"/>
        <c:minorTickMark val="none"/>
        <c:tickLblPos val="nextTo"/>
        <c:crossAx val="193012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63"/>
  <sheetViews>
    <sheetView tabSelected="1" zoomScale="115" zoomScaleNormal="115" workbookViewId="0">
      <pane xSplit="1" ySplit="3" topLeftCell="S247" activePane="bottomRight" state="frozen"/>
      <selection pane="topRight" activeCell="B1" sqref="B1"/>
      <selection pane="bottomLeft" activeCell="A4" sqref="A4"/>
      <selection pane="bottomRight" activeCell="V255" sqref="V25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 min="26" max="26" width="12.75" bestFit="1" customWidth="1"/>
    <col min="27" max="27" width="9" customWidth="1"/>
  </cols>
  <sheetData>
    <row r="1" spans="1:27" x14ac:dyDescent="0.15">
      <c r="T1" t="s">
        <v>1380</v>
      </c>
      <c r="U1">
        <v>1.1100000000000001</v>
      </c>
    </row>
    <row r="2" spans="1:27" x14ac:dyDescent="0.15">
      <c r="O2" t="s">
        <v>1387</v>
      </c>
      <c r="P2" t="s">
        <v>1388</v>
      </c>
    </row>
    <row r="3" spans="1:27"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c r="AA3" t="s">
        <v>5060</v>
      </c>
    </row>
    <row r="4" spans="1:27"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7"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7"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7"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7"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7"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7"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7"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7"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7"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7"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7"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7"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30"/>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c r="AA26" s="18">
        <f>AVERAGE(W7:W26)/STDEV(W7:W26)*SQRT(252)</f>
        <v>0.89245259903515473</v>
      </c>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c r="AA27" s="18">
        <f t="shared" ref="AA27:AA90" si="11">AVERAGE(W8:W27)/STDEV(W8:W27)*SQRT(252)</f>
        <v>0.85649199410406551</v>
      </c>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c r="AA28" s="18">
        <f t="shared" si="11"/>
        <v>7.9875116255782048</v>
      </c>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c r="AA29" s="18">
        <f t="shared" si="11"/>
        <v>1.5277037075336906</v>
      </c>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2">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c r="AA30" s="18">
        <f t="shared" si="11"/>
        <v>5.3042963158994576</v>
      </c>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2"/>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c r="AA31" s="18">
        <f t="shared" si="11"/>
        <v>4.5700485364048431</v>
      </c>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2"/>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c r="AA32" s="18">
        <f t="shared" si="11"/>
        <v>1.906442630953185</v>
      </c>
    </row>
    <row r="33" spans="1:27"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2"/>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c r="AA33" s="18">
        <f t="shared" si="11"/>
        <v>1.9270852021026077</v>
      </c>
    </row>
    <row r="34" spans="1:27"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2"/>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c r="AA34" s="18">
        <f t="shared" si="11"/>
        <v>0.86586919444413279</v>
      </c>
    </row>
    <row r="35" spans="1:27"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2"/>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c r="AA35" s="18">
        <f t="shared" si="11"/>
        <v>0.4927283075671543</v>
      </c>
    </row>
    <row r="36" spans="1:27"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3">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4">IF(O36&lt;&gt;0,+H36/O36,"")</f>
        <v/>
      </c>
      <c r="R36" s="40">
        <f t="shared" ref="R36:R67" ca="1" si="15">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c r="AA36" s="18">
        <f t="shared" si="11"/>
        <v>5.8297654391909599E-2</v>
      </c>
    </row>
    <row r="37" spans="1:27"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3"/>
        <v>151.13999999999999</v>
      </c>
      <c r="M37" s="37">
        <f t="shared" si="6"/>
        <v>151.14000000013039</v>
      </c>
      <c r="N37" s="17" t="s">
        <v>1419</v>
      </c>
      <c r="O37" s="41">
        <f ca="1">SUMIFS(Stock!$O:$O,Stock!$A:$A,'Asset Line A share'!$A37,Stock!$I:$I,O$2)</f>
        <v>0</v>
      </c>
      <c r="P37" s="41">
        <f ca="1">SUMIFS(Stock!$O:$O,Stock!$A:$A,'Asset Line A share'!$A37,Stock!$I:$I,P$2)</f>
        <v>0</v>
      </c>
      <c r="Q37" s="40" t="str">
        <f t="shared" ca="1" si="14"/>
        <v/>
      </c>
      <c r="R37" s="40" t="str">
        <f t="shared" ca="1" si="15"/>
        <v/>
      </c>
      <c r="S37" s="41">
        <f t="shared" ca="1" si="3"/>
        <v>193573.45019998855</v>
      </c>
      <c r="T37" s="30">
        <v>863100</v>
      </c>
      <c r="U37" s="20">
        <f t="shared" si="8"/>
        <v>2178476.9679661016</v>
      </c>
      <c r="V37" s="20"/>
      <c r="W37" s="4">
        <f t="shared" si="9"/>
        <v>6.9383559640145975E-5</v>
      </c>
      <c r="X37" s="20">
        <f t="shared" si="10"/>
        <v>151.14000000013039</v>
      </c>
      <c r="Y37" s="17"/>
      <c r="AA37" s="18">
        <f t="shared" si="11"/>
        <v>7.3981603258609599E-2</v>
      </c>
    </row>
    <row r="38" spans="1:27"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3"/>
        <v>-4104.92</v>
      </c>
      <c r="M38" s="37">
        <f t="shared" si="6"/>
        <v>-4104.9299999999348</v>
      </c>
      <c r="N38" s="17" t="s">
        <v>1431</v>
      </c>
      <c r="O38" s="41">
        <f ca="1">SUMIFS(Stock!$O:$O,Stock!$A:$A,'Asset Line A share'!$A38,Stock!$I:$I,O$2)</f>
        <v>346127</v>
      </c>
      <c r="P38" s="41">
        <f ca="1">SUMIFS(Stock!$O:$O,Stock!$A:$A,'Asset Line A share'!$A38,Stock!$I:$I,P$2)</f>
        <v>0</v>
      </c>
      <c r="Q38" s="40">
        <f t="shared" ca="1" si="14"/>
        <v>-1.2594047849488772E-2</v>
      </c>
      <c r="R38" s="40" t="str">
        <f t="shared" ca="1" si="15"/>
        <v/>
      </c>
      <c r="S38" s="41">
        <f t="shared" ca="1" si="3"/>
        <v>539700.45019998855</v>
      </c>
      <c r="T38" s="30">
        <v>863100</v>
      </c>
      <c r="U38" s="20">
        <f t="shared" si="8"/>
        <v>2174372.0379661019</v>
      </c>
      <c r="V38" s="20"/>
      <c r="W38" s="4">
        <f t="shared" si="9"/>
        <v>-1.8843118657491109E-3</v>
      </c>
      <c r="X38" s="20">
        <f t="shared" si="10"/>
        <v>-4104.929999999702</v>
      </c>
      <c r="Y38" s="17"/>
      <c r="AA38" s="18">
        <f t="shared" si="11"/>
        <v>-0.39264918895510403</v>
      </c>
    </row>
    <row r="39" spans="1:27"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3"/>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4"/>
        <v/>
      </c>
      <c r="R39" s="40">
        <f t="shared" ca="1" si="15"/>
        <v>-5.1452987931739748E-3</v>
      </c>
      <c r="S39" s="41">
        <f t="shared" ca="1" si="3"/>
        <v>199883.45019998867</v>
      </c>
      <c r="T39" s="30">
        <v>863100</v>
      </c>
      <c r="U39" s="20">
        <f t="shared" si="8"/>
        <v>2172016.9079661015</v>
      </c>
      <c r="V39" s="20"/>
      <c r="W39" s="4">
        <v>0</v>
      </c>
      <c r="X39" s="20">
        <f t="shared" si="10"/>
        <v>-2355.1300000003539</v>
      </c>
      <c r="Y39" s="17"/>
      <c r="AA39" s="18">
        <f t="shared" si="11"/>
        <v>-0.38029821349512266</v>
      </c>
    </row>
    <row r="40" spans="1:27"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3"/>
        <v>142.51</v>
      </c>
      <c r="M40" s="37">
        <f t="shared" si="6"/>
        <v>142.51000000000931</v>
      </c>
      <c r="N40" s="17" t="s">
        <v>1435</v>
      </c>
      <c r="O40" s="41">
        <f ca="1">SUMIFS(Stock!$O:$O,Stock!$A:$A,'Asset Line A share'!$A40,Stock!$I:$I,O$2)</f>
        <v>0</v>
      </c>
      <c r="P40" s="41">
        <f ca="1">SUMIFS(Stock!$O:$O,Stock!$A:$A,'Asset Line A share'!$A40,Stock!$I:$I,P$2)</f>
        <v>0</v>
      </c>
      <c r="Q40" s="40" t="str">
        <f t="shared" ca="1" si="14"/>
        <v/>
      </c>
      <c r="R40" s="40" t="str">
        <f t="shared" ca="1" si="15"/>
        <v/>
      </c>
      <c r="S40" s="41">
        <f t="shared" ca="1" si="3"/>
        <v>199883.45019998867</v>
      </c>
      <c r="T40" s="30">
        <v>863100</v>
      </c>
      <c r="U40" s="20">
        <f t="shared" si="8"/>
        <v>2172159.4179661018</v>
      </c>
      <c r="V40" s="20"/>
      <c r="W40" s="4">
        <f t="shared" si="9"/>
        <v>6.5611828102163372E-5</v>
      </c>
      <c r="X40" s="20">
        <f t="shared" si="10"/>
        <v>142.51000000024214</v>
      </c>
      <c r="Y40" s="17"/>
      <c r="AA40" s="18">
        <f t="shared" si="11"/>
        <v>-0.35384961579560203</v>
      </c>
    </row>
    <row r="41" spans="1:27"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3"/>
        <v>-75.789999999999992</v>
      </c>
      <c r="M41" s="37">
        <f>+E41-E40-400000</f>
        <v>-75.790000000037253</v>
      </c>
      <c r="N41" s="17" t="s">
        <v>1437</v>
      </c>
      <c r="O41" s="41">
        <f ca="1">SUMIFS(Stock!$O:$O,Stock!$A:$A,'Asset Line A share'!$A41,Stock!$I:$I,O$2)</f>
        <v>34152</v>
      </c>
      <c r="P41" s="41">
        <f ca="1">SUMIFS(Stock!$O:$O,Stock!$A:$A,'Asset Line A share'!$A41,Stock!$I:$I,P$2)</f>
        <v>0</v>
      </c>
      <c r="Q41" s="40">
        <f t="shared" ca="1" si="14"/>
        <v>-7.0859686109159053E-3</v>
      </c>
      <c r="R41" s="40" t="str">
        <f t="shared" ca="1" si="15"/>
        <v/>
      </c>
      <c r="S41" s="41">
        <f t="shared" ca="1" si="3"/>
        <v>234035.45019998867</v>
      </c>
      <c r="T41" s="30">
        <v>863100</v>
      </c>
      <c r="U41" s="20">
        <f t="shared" si="8"/>
        <v>2572083.6279661017</v>
      </c>
      <c r="V41" s="20">
        <v>400000</v>
      </c>
      <c r="W41" s="4">
        <v>0</v>
      </c>
      <c r="X41" s="20">
        <f t="shared" si="10"/>
        <v>-75.790000000037253</v>
      </c>
      <c r="Y41" s="17"/>
      <c r="AA41" s="18">
        <f t="shared" si="11"/>
        <v>-0.34395163785705279</v>
      </c>
    </row>
    <row r="42" spans="1:27" ht="27" x14ac:dyDescent="0.15">
      <c r="A42" s="1">
        <v>42733</v>
      </c>
      <c r="B42" s="30">
        <f t="shared" si="5"/>
        <v>4</v>
      </c>
      <c r="C42" s="30">
        <v>0</v>
      </c>
      <c r="D42" s="20">
        <v>1840695.37</v>
      </c>
      <c r="E42" s="20">
        <v>1840695.37</v>
      </c>
      <c r="F42" s="4">
        <f t="shared" ref="F42:F61" si="16">+E42/(E41)-1</f>
        <v>2.8479178973972452E-5</v>
      </c>
      <c r="G42" s="30">
        <v>19.37</v>
      </c>
      <c r="H42" s="30">
        <v>-210.23</v>
      </c>
      <c r="I42" s="30">
        <v>229.6</v>
      </c>
      <c r="J42" s="30">
        <v>-367</v>
      </c>
      <c r="K42" s="30">
        <f>418.0555555-18</f>
        <v>400.05555550000003</v>
      </c>
      <c r="L42" s="18">
        <f t="shared" ref="L42:L47" si="17">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4"/>
        <v>-1.1885459068294888E-2</v>
      </c>
      <c r="R42" s="40">
        <f t="shared" ca="1" si="15"/>
        <v>1.3199195171026157E-2</v>
      </c>
      <c r="S42" s="41">
        <f t="shared" ca="1" si="3"/>
        <v>234328.45019998867</v>
      </c>
      <c r="T42" s="30">
        <v>863100</v>
      </c>
      <c r="U42" s="20">
        <f t="shared" si="8"/>
        <v>2572136.0479661017</v>
      </c>
      <c r="V42" s="20"/>
      <c r="W42" s="4">
        <f t="shared" si="9"/>
        <v>2.0380363775940324E-5</v>
      </c>
      <c r="X42" s="20">
        <f t="shared" si="10"/>
        <v>52.419999999925494</v>
      </c>
      <c r="Y42" s="17"/>
      <c r="AA42" s="18">
        <f t="shared" si="11"/>
        <v>-0.33037338609830919</v>
      </c>
    </row>
    <row r="43" spans="1:27" x14ac:dyDescent="0.15">
      <c r="A43" s="1">
        <v>42734</v>
      </c>
      <c r="B43" s="30">
        <f t="shared" si="5"/>
        <v>5</v>
      </c>
      <c r="C43" s="30">
        <v>0</v>
      </c>
      <c r="D43" s="20">
        <v>1841834.37</v>
      </c>
      <c r="E43" s="20">
        <v>1841834.37</v>
      </c>
      <c r="F43" s="4">
        <f t="shared" si="16"/>
        <v>6.1878788775349136E-4</v>
      </c>
      <c r="G43">
        <v>0</v>
      </c>
      <c r="H43">
        <v>0</v>
      </c>
      <c r="I43">
        <v>0</v>
      </c>
      <c r="J43">
        <v>-43</v>
      </c>
      <c r="K43" s="30">
        <f>1200-18</f>
        <v>1182</v>
      </c>
      <c r="L43" s="18">
        <f t="shared" si="17"/>
        <v>1139</v>
      </c>
      <c r="M43" s="37">
        <f t="shared" ref="M43:M73" si="18">+E43-E42</f>
        <v>1139</v>
      </c>
      <c r="N43" s="17" t="s">
        <v>1458</v>
      </c>
      <c r="O43" s="41">
        <f ca="1">SUMIFS(Stock!$O:$O,Stock!$A:$A,'Asset Line A share'!$A43,Stock!$I:$I,O$2)</f>
        <v>0</v>
      </c>
      <c r="P43" s="41">
        <f ca="1">SUMIFS(Stock!$O:$O,Stock!$A:$A,'Asset Line A share'!$A43,Stock!$I:$I,P$2)</f>
        <v>0</v>
      </c>
      <c r="Q43" s="40" t="str">
        <f t="shared" ca="1" si="14"/>
        <v/>
      </c>
      <c r="R43" s="40" t="str">
        <f t="shared" ca="1" si="15"/>
        <v/>
      </c>
      <c r="S43" s="41">
        <f t="shared" ca="1" si="3"/>
        <v>234328.45019998867</v>
      </c>
      <c r="T43" s="30">
        <v>863100</v>
      </c>
      <c r="U43" s="20">
        <f t="shared" si="8"/>
        <v>2573275.0479661017</v>
      </c>
      <c r="V43" s="20"/>
      <c r="W43" s="4">
        <f t="shared" si="9"/>
        <v>4.4282261076378227E-4</v>
      </c>
      <c r="X43" s="20">
        <f t="shared" si="10"/>
        <v>1139</v>
      </c>
      <c r="Y43" s="17"/>
      <c r="AA43" s="18">
        <f t="shared" si="11"/>
        <v>-0.22747572559702597</v>
      </c>
    </row>
    <row r="44" spans="1:27" x14ac:dyDescent="0.15">
      <c r="A44" s="1">
        <v>42738</v>
      </c>
      <c r="B44">
        <f t="shared" si="5"/>
        <v>2</v>
      </c>
      <c r="C44" s="30">
        <v>0</v>
      </c>
      <c r="D44" s="20">
        <v>1842078.32</v>
      </c>
      <c r="E44" s="20">
        <v>1842078.32</v>
      </c>
      <c r="F44" s="4">
        <f t="shared" si="16"/>
        <v>1.324494775281071E-4</v>
      </c>
      <c r="G44">
        <v>-9.2200000000000006</v>
      </c>
      <c r="H44">
        <v>0</v>
      </c>
      <c r="I44">
        <v>0</v>
      </c>
      <c r="J44">
        <v>87</v>
      </c>
      <c r="K44" s="30">
        <f>184.17-18</f>
        <v>166.17</v>
      </c>
      <c r="L44" s="18">
        <f t="shared" si="17"/>
        <v>243.95</v>
      </c>
      <c r="M44" s="37">
        <f t="shared" si="18"/>
        <v>243.94999999995343</v>
      </c>
      <c r="N44" s="17" t="s">
        <v>1457</v>
      </c>
      <c r="O44" s="41">
        <f ca="1">SUMIFS(Stock!$O:$O,Stock!$A:$A,'Asset Line A share'!$A44,Stock!$I:$I,O$2)</f>
        <v>4650</v>
      </c>
      <c r="P44" s="41">
        <f ca="1">SUMIFS(Stock!$O:$O,Stock!$A:$A,'Asset Line A share'!$A44,Stock!$I:$I,P$2)</f>
        <v>33992</v>
      </c>
      <c r="Q44" s="40">
        <f t="shared" ca="1" si="14"/>
        <v>0</v>
      </c>
      <c r="R44" s="40">
        <f t="shared" ca="1" si="15"/>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c r="AA44" s="18">
        <f t="shared" si="11"/>
        <v>-0.11997627899703028</v>
      </c>
    </row>
    <row r="45" spans="1:27" x14ac:dyDescent="0.15">
      <c r="A45" s="1">
        <v>42739</v>
      </c>
      <c r="B45">
        <f t="shared" si="5"/>
        <v>3</v>
      </c>
      <c r="C45" s="30">
        <v>0</v>
      </c>
      <c r="D45" s="20">
        <v>1844516.12</v>
      </c>
      <c r="E45" s="20">
        <v>1844516.12</v>
      </c>
      <c r="F45" s="4">
        <f t="shared" si="16"/>
        <v>1.3233964992325209E-3</v>
      </c>
      <c r="G45">
        <v>220.3</v>
      </c>
      <c r="H45" s="30">
        <v>220.3</v>
      </c>
      <c r="I45">
        <v>0</v>
      </c>
      <c r="J45">
        <v>2045</v>
      </c>
      <c r="K45" s="30">
        <v>172.5</v>
      </c>
      <c r="L45" s="18">
        <f t="shared" si="17"/>
        <v>2437.8000000000002</v>
      </c>
      <c r="M45" s="37">
        <f t="shared" si="18"/>
        <v>2437.8000000000466</v>
      </c>
      <c r="N45" s="17" t="s">
        <v>1466</v>
      </c>
      <c r="O45" s="41">
        <f ca="1">SUMIFS(Stock!$O:$O,Stock!$A:$A,'Asset Line A share'!$A45,Stock!$I:$I,O$2)</f>
        <v>141760</v>
      </c>
      <c r="P45" s="41">
        <f ca="1">SUMIFS(Stock!$O:$O,Stock!$A:$A,'Asset Line A share'!$A45,Stock!$I:$I,P$2)</f>
        <v>0</v>
      </c>
      <c r="Q45" s="40">
        <f t="shared" ca="1" si="14"/>
        <v>1.5540349887133184E-3</v>
      </c>
      <c r="R45" s="40" t="str">
        <f t="shared" ca="1" si="15"/>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c r="AA45" s="18">
        <f t="shared" si="11"/>
        <v>0.28845064519286501</v>
      </c>
    </row>
    <row r="46" spans="1:27" ht="27" x14ac:dyDescent="0.15">
      <c r="A46" s="1">
        <v>42740</v>
      </c>
      <c r="B46">
        <f t="shared" si="5"/>
        <v>4</v>
      </c>
      <c r="C46" s="30">
        <v>0</v>
      </c>
      <c r="D46" s="20">
        <v>1844666.85</v>
      </c>
      <c r="E46" s="20">
        <v>1844666.85</v>
      </c>
      <c r="F46" s="4">
        <f t="shared" si="16"/>
        <v>8.1717908759770808E-5</v>
      </c>
      <c r="G46">
        <v>551.63</v>
      </c>
      <c r="H46">
        <v>292.45999999999998</v>
      </c>
      <c r="I46">
        <v>259.17</v>
      </c>
      <c r="J46">
        <v>-550</v>
      </c>
      <c r="K46" s="30">
        <f>166.097222-17</f>
        <v>149.09722199999999</v>
      </c>
      <c r="L46" s="18">
        <f t="shared" si="17"/>
        <v>150.72722199999998</v>
      </c>
      <c r="M46" s="37">
        <f t="shared" si="18"/>
        <v>150.72999999998137</v>
      </c>
      <c r="N46" s="17" t="s">
        <v>1469</v>
      </c>
      <c r="O46" s="41">
        <f ca="1">SUMIFS(Stock!$O:$O,Stock!$A:$A,'Asset Line A share'!$A46,Stock!$I:$I,O$2)</f>
        <v>37700</v>
      </c>
      <c r="P46" s="41">
        <f ca="1">SUMIFS(Stock!$O:$O,Stock!$A:$A,'Asset Line A share'!$A46,Stock!$I:$I,P$2)</f>
        <v>141220</v>
      </c>
      <c r="Q46" s="40">
        <f t="shared" ca="1" si="14"/>
        <v>7.7575596816976122E-3</v>
      </c>
      <c r="R46" s="40">
        <f t="shared" ca="1" si="15"/>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9">Z45*(1+W46)</f>
        <v>1.0014959260400809</v>
      </c>
      <c r="AA46" s="18">
        <f t="shared" si="11"/>
        <v>5.2811360107029699E-2</v>
      </c>
    </row>
    <row r="47" spans="1:27" x14ac:dyDescent="0.15">
      <c r="A47" s="1">
        <v>42741</v>
      </c>
      <c r="B47">
        <f t="shared" si="5"/>
        <v>5</v>
      </c>
      <c r="C47" s="30">
        <v>0</v>
      </c>
      <c r="D47" s="20">
        <v>1846435.05</v>
      </c>
      <c r="E47" s="20">
        <v>1846435.05</v>
      </c>
      <c r="F47" s="4">
        <f t="shared" si="16"/>
        <v>9.5854706772668941E-4</v>
      </c>
      <c r="G47">
        <v>195.8</v>
      </c>
      <c r="H47">
        <v>641.64</v>
      </c>
      <c r="I47">
        <v>-445.84</v>
      </c>
      <c r="J47">
        <v>1335</v>
      </c>
      <c r="K47" s="30">
        <f>245.611111-14</f>
        <v>231.61111099999999</v>
      </c>
      <c r="L47" s="18">
        <f t="shared" si="17"/>
        <v>1762.4111109999999</v>
      </c>
      <c r="M47" s="37">
        <f t="shared" si="18"/>
        <v>1768.1999999999534</v>
      </c>
      <c r="O47" s="41">
        <f ca="1">SUMIFS(Stock!$O:$O,Stock!$A:$A,'Asset Line A share'!$A47,Stock!$I:$I,O$2)</f>
        <v>265890</v>
      </c>
      <c r="P47" s="41">
        <f ca="1">SUMIFS(Stock!$O:$O,Stock!$A:$A,'Asset Line A share'!$A47,Stock!$I:$I,P$2)</f>
        <v>38200</v>
      </c>
      <c r="Q47" s="40">
        <f t="shared" ca="1" si="14"/>
        <v>2.4131783820376847E-3</v>
      </c>
      <c r="R47" s="40">
        <f t="shared" ca="1" si="15"/>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9"/>
        <v>1.0022489320302315</v>
      </c>
      <c r="AA47" s="18">
        <f t="shared" si="11"/>
        <v>0.20877185464524614</v>
      </c>
    </row>
    <row r="48" spans="1:27" ht="27" x14ac:dyDescent="0.15">
      <c r="A48" s="1">
        <v>42744</v>
      </c>
      <c r="B48">
        <f t="shared" si="5"/>
        <v>1</v>
      </c>
      <c r="C48" s="30">
        <v>0</v>
      </c>
      <c r="D48" s="20">
        <v>1839518.25</v>
      </c>
      <c r="E48" s="20">
        <v>1839518.25</v>
      </c>
      <c r="F48" s="4">
        <f t="shared" si="16"/>
        <v>-3.7460294094828761E-3</v>
      </c>
      <c r="G48">
        <v>-7280.15</v>
      </c>
      <c r="H48">
        <v>-6001.5</v>
      </c>
      <c r="I48">
        <v>-1278.6500000000001</v>
      </c>
      <c r="J48">
        <v>270</v>
      </c>
      <c r="K48" s="30">
        <f>106.43055555-14</f>
        <v>92.430555549999994</v>
      </c>
      <c r="L48" s="18">
        <f t="shared" ref="L48:L55" si="20">G48+J48+K48</f>
        <v>-6917.7194444500001</v>
      </c>
      <c r="M48" s="37">
        <f t="shared" si="18"/>
        <v>-6916.8000000000466</v>
      </c>
      <c r="N48" s="17" t="s">
        <v>1479</v>
      </c>
      <c r="O48" s="41">
        <f ca="1">SUMIFS(Stock!$O:$O,Stock!$A:$A,'Asset Line A share'!$A48,Stock!$I:$I,O$2)</f>
        <v>299120</v>
      </c>
      <c r="P48" s="41">
        <f ca="1">SUMIFS(Stock!$O:$O,Stock!$A:$A,'Asset Line A share'!$A48,Stock!$I:$I,P$2)</f>
        <v>265090</v>
      </c>
      <c r="Q48" s="40">
        <f t="shared" ca="1" si="14"/>
        <v>-2.0063853971650173E-2</v>
      </c>
      <c r="R48" s="40">
        <f t="shared" ca="1" si="15"/>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9"/>
        <v>0.99956099550146171</v>
      </c>
      <c r="AA48" s="18">
        <f t="shared" si="11"/>
        <v>-2.6254984993566528</v>
      </c>
    </row>
    <row r="49" spans="1:27" x14ac:dyDescent="0.15">
      <c r="A49" s="1">
        <v>42745</v>
      </c>
      <c r="B49">
        <f t="shared" si="5"/>
        <v>2</v>
      </c>
      <c r="C49" s="30">
        <v>0</v>
      </c>
      <c r="D49" s="20">
        <v>1827904.77</v>
      </c>
      <c r="E49" s="20">
        <v>1827904.77</v>
      </c>
      <c r="F49" s="4">
        <f t="shared" si="16"/>
        <v>-6.3133268724026026E-3</v>
      </c>
      <c r="G49">
        <v>-638.79</v>
      </c>
      <c r="H49">
        <v>0</v>
      </c>
      <c r="I49">
        <v>0</v>
      </c>
      <c r="J49">
        <v>-11050</v>
      </c>
      <c r="K49" s="30">
        <v>74.638887999999994</v>
      </c>
      <c r="L49" s="18">
        <f t="shared" si="20"/>
        <v>-11614.151112000001</v>
      </c>
      <c r="M49" s="37">
        <f t="shared" si="18"/>
        <v>-11613.479999999981</v>
      </c>
      <c r="N49" s="17" t="s">
        <v>1480</v>
      </c>
      <c r="O49" s="41">
        <f ca="1">SUMIFS(Stock!$O:$O,Stock!$A:$A,'Asset Line A share'!$A49,Stock!$I:$I,O$2)</f>
        <v>0</v>
      </c>
      <c r="P49" s="41">
        <f ca="1">SUMIFS(Stock!$O:$O,Stock!$A:$A,'Asset Line A share'!$A49,Stock!$I:$I,P$2)</f>
        <v>280940</v>
      </c>
      <c r="Q49" s="40" t="str">
        <f t="shared" ca="1" si="14"/>
        <v/>
      </c>
      <c r="R49" s="40">
        <f t="shared" ca="1" si="15"/>
        <v>0</v>
      </c>
      <c r="S49" s="41">
        <f t="shared" ca="1" si="3"/>
        <v>224006.45019998867</v>
      </c>
      <c r="T49" s="30">
        <v>864500</v>
      </c>
      <c r="U49" s="20">
        <f t="shared" si="8"/>
        <v>2560531.8886440676</v>
      </c>
      <c r="V49" s="20"/>
      <c r="W49" s="4">
        <f t="shared" si="9"/>
        <v>-4.5150947304827271E-3</v>
      </c>
      <c r="X49" s="20">
        <f t="shared" si="10"/>
        <v>-11613.480000000447</v>
      </c>
      <c r="Y49" s="17"/>
      <c r="Z49" s="30">
        <f t="shared" si="19"/>
        <v>0.99504788291787705</v>
      </c>
      <c r="AA49" s="18">
        <f t="shared" si="11"/>
        <v>-2.2582415824677131</v>
      </c>
    </row>
    <row r="50" spans="1:27" x14ac:dyDescent="0.15">
      <c r="A50" s="1">
        <v>42746</v>
      </c>
      <c r="B50">
        <f t="shared" si="5"/>
        <v>3</v>
      </c>
      <c r="C50" s="30">
        <v>0</v>
      </c>
      <c r="D50" s="20">
        <v>1828975.41</v>
      </c>
      <c r="E50" s="20">
        <v>1828975.41</v>
      </c>
      <c r="F50" s="4">
        <f t="shared" si="16"/>
        <v>5.8571979108079653E-4</v>
      </c>
      <c r="G50" s="30">
        <v>0</v>
      </c>
      <c r="H50">
        <v>0</v>
      </c>
      <c r="I50">
        <v>0</v>
      </c>
      <c r="J50">
        <v>980</v>
      </c>
      <c r="K50" s="30">
        <f>108.63888-18</f>
        <v>90.63888</v>
      </c>
      <c r="L50" s="18">
        <f t="shared" si="20"/>
        <v>1070.63888</v>
      </c>
      <c r="M50" s="37">
        <f t="shared" si="18"/>
        <v>1070.6399999998976</v>
      </c>
      <c r="N50" s="17" t="s">
        <v>1481</v>
      </c>
      <c r="O50" s="41">
        <f ca="1">SUMIFS(Stock!$O:$O,Stock!$A:$A,'Asset Line A share'!$A50,Stock!$I:$I,O$2)</f>
        <v>0</v>
      </c>
      <c r="P50" s="41">
        <f ca="1">SUMIFS(Stock!$O:$O,Stock!$A:$A,'Asset Line A share'!$A50,Stock!$I:$I,P$2)</f>
        <v>0</v>
      </c>
      <c r="Q50" s="40" t="str">
        <f t="shared" ca="1" si="14"/>
        <v/>
      </c>
      <c r="R50" s="40" t="str">
        <f t="shared" ca="1" si="15"/>
        <v/>
      </c>
      <c r="S50" s="41">
        <f t="shared" ca="1" si="3"/>
        <v>224006.45019998867</v>
      </c>
      <c r="T50" s="30">
        <v>864500</v>
      </c>
      <c r="U50" s="20">
        <f t="shared" si="8"/>
        <v>2561602.5286440677</v>
      </c>
      <c r="V50" s="20"/>
      <c r="W50" s="4">
        <f t="shared" si="9"/>
        <v>4.1813187515771233E-4</v>
      </c>
      <c r="X50" s="20">
        <f t="shared" si="10"/>
        <v>1070.6400000001304</v>
      </c>
      <c r="Y50" s="17"/>
      <c r="Z50" s="30">
        <f t="shared" si="19"/>
        <v>0.99546394415503325</v>
      </c>
      <c r="AA50" s="18">
        <f t="shared" si="11"/>
        <v>-7.6804985723718744</v>
      </c>
    </row>
    <row r="51" spans="1:27" x14ac:dyDescent="0.15">
      <c r="A51" s="1">
        <v>42747</v>
      </c>
      <c r="B51">
        <f t="shared" si="5"/>
        <v>4</v>
      </c>
      <c r="C51" s="30">
        <v>0</v>
      </c>
      <c r="D51" s="20">
        <v>1818139.95</v>
      </c>
      <c r="E51" s="20">
        <v>1818139.95</v>
      </c>
      <c r="F51" s="4">
        <f t="shared" si="16"/>
        <v>-5.924333340271648E-3</v>
      </c>
      <c r="G51">
        <v>-12025.71</v>
      </c>
      <c r="H51">
        <v>-12025.71</v>
      </c>
      <c r="I51">
        <v>0</v>
      </c>
      <c r="J51">
        <v>1080</v>
      </c>
      <c r="K51" s="30">
        <f>119-9</f>
        <v>110</v>
      </c>
      <c r="L51" s="18">
        <f t="shared" si="20"/>
        <v>-10835.71</v>
      </c>
      <c r="M51" s="37">
        <f t="shared" si="18"/>
        <v>-10835.459999999963</v>
      </c>
      <c r="N51" s="17" t="s">
        <v>1489</v>
      </c>
      <c r="O51" s="41">
        <f ca="1">SUMIFS(Stock!$O:$O,Stock!$A:$A,'Asset Line A share'!$A51,Stock!$I:$I,O$2)</f>
        <v>864970</v>
      </c>
      <c r="P51" s="41">
        <f ca="1">SUMIFS(Stock!$O:$O,Stock!$A:$A,'Asset Line A share'!$A51,Stock!$I:$I,P$2)</f>
        <v>0</v>
      </c>
      <c r="Q51" s="40">
        <f t="shared" ca="1" si="14"/>
        <v>-1.3903037099552585E-2</v>
      </c>
      <c r="R51" s="40" t="str">
        <f t="shared" ca="1" si="15"/>
        <v/>
      </c>
      <c r="S51" s="41">
        <f t="shared" ca="1" si="3"/>
        <v>1088976.4501999887</v>
      </c>
      <c r="T51" s="30">
        <v>864500</v>
      </c>
      <c r="U51" s="20">
        <f t="shared" si="8"/>
        <v>2550767.0686440677</v>
      </c>
      <c r="V51" s="20"/>
      <c r="W51" s="4">
        <f t="shared" si="9"/>
        <v>-4.2299536633169099E-3</v>
      </c>
      <c r="X51" s="20">
        <f t="shared" si="10"/>
        <v>-10835.459999999963</v>
      </c>
      <c r="Y51" s="17"/>
      <c r="Z51" s="30">
        <f t="shared" si="19"/>
        <v>0.99125317779775479</v>
      </c>
      <c r="AA51" s="18">
        <f t="shared" si="11"/>
        <v>-8.4832482089623298</v>
      </c>
    </row>
    <row r="52" spans="1:27" x14ac:dyDescent="0.15">
      <c r="A52" s="1">
        <v>42748</v>
      </c>
      <c r="B52">
        <f t="shared" si="5"/>
        <v>5</v>
      </c>
      <c r="C52" s="30">
        <v>0</v>
      </c>
      <c r="D52" s="20">
        <v>1807516.47</v>
      </c>
      <c r="E52" s="20">
        <v>1807516.47</v>
      </c>
      <c r="F52" s="4">
        <f t="shared" si="16"/>
        <v>-5.8430485508005336E-3</v>
      </c>
      <c r="G52">
        <v>1428.79</v>
      </c>
      <c r="H52">
        <v>0</v>
      </c>
      <c r="I52">
        <v>1428.79</v>
      </c>
      <c r="J52">
        <v>-12135</v>
      </c>
      <c r="K52" s="30">
        <f>99.722222-17</f>
        <v>82.722222000000002</v>
      </c>
      <c r="L52" s="18">
        <f t="shared" si="20"/>
        <v>-10623.487777999999</v>
      </c>
      <c r="M52" s="37">
        <f t="shared" si="18"/>
        <v>-10623.479999999981</v>
      </c>
      <c r="N52" s="17" t="s">
        <v>1491</v>
      </c>
      <c r="O52" s="41">
        <f ca="1">SUMIFS(Stock!$O:$O,Stock!$A:$A,'Asset Line A share'!$A52,Stock!$I:$I,O$2)</f>
        <v>0</v>
      </c>
      <c r="P52" s="41">
        <f ca="1">SUMIFS(Stock!$O:$O,Stock!$A:$A,'Asset Line A share'!$A52,Stock!$I:$I,P$2)</f>
        <v>842270</v>
      </c>
      <c r="Q52" s="40" t="str">
        <f t="shared" ca="1" si="14"/>
        <v/>
      </c>
      <c r="R52" s="40">
        <f t="shared" ca="1" si="15"/>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9"/>
        <v>0.98712478895397504</v>
      </c>
      <c r="AA52" s="18">
        <f t="shared" si="11"/>
        <v>-8.6216157516851784</v>
      </c>
    </row>
    <row r="53" spans="1:27" x14ac:dyDescent="0.15">
      <c r="A53" s="1">
        <v>42751</v>
      </c>
      <c r="B53">
        <f t="shared" si="5"/>
        <v>1</v>
      </c>
      <c r="C53" s="30">
        <v>0</v>
      </c>
      <c r="D53" s="20">
        <v>1808932.58</v>
      </c>
      <c r="E53" s="20">
        <v>1808932.58</v>
      </c>
      <c r="F53" s="4">
        <f t="shared" si="16"/>
        <v>7.8345620828557117E-4</v>
      </c>
      <c r="G53">
        <v>0</v>
      </c>
      <c r="H53">
        <v>0</v>
      </c>
      <c r="I53">
        <v>0</v>
      </c>
      <c r="J53">
        <v>1305</v>
      </c>
      <c r="K53" s="30">
        <f>127.90277778-17</f>
        <v>110.90277777999999</v>
      </c>
      <c r="L53" s="18">
        <f t="shared" si="20"/>
        <v>1415.90277778</v>
      </c>
      <c r="M53" s="37">
        <f t="shared" si="18"/>
        <v>1416.1100000001024</v>
      </c>
      <c r="N53" s="17" t="s">
        <v>1492</v>
      </c>
      <c r="O53" s="41">
        <f ca="1">SUMIFS(Stock!$O:$O,Stock!$A:$A,'Asset Line A share'!$A53,Stock!$I:$I,O$2)</f>
        <v>0</v>
      </c>
      <c r="P53" s="41">
        <f ca="1">SUMIFS(Stock!$O:$O,Stock!$A:$A,'Asset Line A share'!$A53,Stock!$I:$I,P$2)</f>
        <v>0</v>
      </c>
      <c r="Q53" s="40" t="str">
        <f t="shared" ca="1" si="14"/>
        <v/>
      </c>
      <c r="R53" s="40" t="str">
        <f t="shared" ca="1" si="15"/>
        <v/>
      </c>
      <c r="S53" s="41">
        <f t="shared" ca="1" si="3"/>
        <v>246706.45019998867</v>
      </c>
      <c r="T53" s="30">
        <v>864500</v>
      </c>
      <c r="U53" s="20">
        <f t="shared" si="8"/>
        <v>2541559.6986440681</v>
      </c>
      <c r="V53" s="20"/>
      <c r="W53" s="4">
        <f t="shared" si="9"/>
        <v>5.574921064821492E-4</v>
      </c>
      <c r="X53" s="20">
        <f t="shared" si="10"/>
        <v>1416.1100000003353</v>
      </c>
      <c r="Y53" s="17"/>
      <c r="Z53" s="30">
        <f t="shared" si="19"/>
        <v>0.98767510323192975</v>
      </c>
      <c r="AA53" s="18">
        <f t="shared" si="11"/>
        <v>-8.503605198020276</v>
      </c>
    </row>
    <row r="54" spans="1:27" x14ac:dyDescent="0.15">
      <c r="A54" s="1">
        <v>42752</v>
      </c>
      <c r="B54">
        <f t="shared" si="5"/>
        <v>2</v>
      </c>
      <c r="C54" s="30">
        <v>0</v>
      </c>
      <c r="D54" s="20">
        <v>1810504.66</v>
      </c>
      <c r="E54" s="20">
        <v>1810504.66</v>
      </c>
      <c r="F54" s="4">
        <f t="shared" si="16"/>
        <v>8.6906500406991327E-4</v>
      </c>
      <c r="G54" s="30">
        <v>0</v>
      </c>
      <c r="H54" s="30">
        <v>0</v>
      </c>
      <c r="I54" s="30">
        <v>0</v>
      </c>
      <c r="J54">
        <v>1435</v>
      </c>
      <c r="K54" s="30">
        <f>153.5694-17</f>
        <v>136.5694</v>
      </c>
      <c r="L54" s="18">
        <f t="shared" si="20"/>
        <v>1571.5694000000001</v>
      </c>
      <c r="M54" s="37">
        <f t="shared" si="18"/>
        <v>1572.0799999998417</v>
      </c>
      <c r="O54" s="41">
        <f ca="1">SUMIFS(Stock!$O:$O,Stock!$A:$A,'Asset Line A share'!$A54,Stock!$I:$I,O$2)</f>
        <v>0</v>
      </c>
      <c r="P54" s="41">
        <f ca="1">SUMIFS(Stock!$O:$O,Stock!$A:$A,'Asset Line A share'!$A54,Stock!$I:$I,P$2)</f>
        <v>0</v>
      </c>
      <c r="Q54" s="40" t="str">
        <f t="shared" ca="1" si="14"/>
        <v/>
      </c>
      <c r="R54" s="40" t="str">
        <f t="shared" ca="1" si="15"/>
        <v/>
      </c>
      <c r="S54" s="41">
        <f t="shared" ca="1" si="3"/>
        <v>246706.45019998867</v>
      </c>
      <c r="T54" s="30">
        <v>864500</v>
      </c>
      <c r="U54" s="20">
        <f t="shared" si="8"/>
        <v>2543131.7786440677</v>
      </c>
      <c r="V54" s="20"/>
      <c r="W54" s="4">
        <f t="shared" si="9"/>
        <v>6.1854931081817277E-4</v>
      </c>
      <c r="X54" s="20">
        <f t="shared" si="10"/>
        <v>1572.0799999996088</v>
      </c>
      <c r="Y54" s="17"/>
      <c r="Z54" s="30">
        <f t="shared" si="19"/>
        <v>0.9882860289863461</v>
      </c>
      <c r="AA54" s="18">
        <f t="shared" si="11"/>
        <v>-7.0225583444513022</v>
      </c>
    </row>
    <row r="55" spans="1:27" x14ac:dyDescent="0.15">
      <c r="A55" s="1">
        <v>42753</v>
      </c>
      <c r="B55">
        <f t="shared" si="5"/>
        <v>3</v>
      </c>
      <c r="C55" s="30">
        <v>0</v>
      </c>
      <c r="D55" s="20">
        <v>1812314.63</v>
      </c>
      <c r="E55" s="20">
        <v>1812314.63</v>
      </c>
      <c r="F55" s="4">
        <f t="shared" si="16"/>
        <v>9.997046900724893E-4</v>
      </c>
      <c r="G55" s="30">
        <v>0</v>
      </c>
      <c r="H55" s="30">
        <v>0</v>
      </c>
      <c r="I55" s="30">
        <v>0</v>
      </c>
      <c r="J55">
        <v>1580</v>
      </c>
      <c r="K55" s="30">
        <v>229.97221999999999</v>
      </c>
      <c r="L55" s="18">
        <f t="shared" si="20"/>
        <v>1809.9722200000001</v>
      </c>
      <c r="M55" s="37">
        <f t="shared" si="18"/>
        <v>1809.9699999999721</v>
      </c>
      <c r="O55" s="41">
        <f ca="1">SUMIFS(Stock!$O:$O,Stock!$A:$A,'Asset Line A share'!$A55,Stock!$I:$I,O$2)</f>
        <v>0</v>
      </c>
      <c r="P55" s="41">
        <f ca="1">SUMIFS(Stock!$O:$O,Stock!$A:$A,'Asset Line A share'!$A55,Stock!$I:$I,P$2)</f>
        <v>0</v>
      </c>
      <c r="Q55" s="40" t="str">
        <f t="shared" ca="1" si="14"/>
        <v/>
      </c>
      <c r="R55" s="40" t="str">
        <f t="shared" ca="1" si="15"/>
        <v/>
      </c>
      <c r="S55" s="41">
        <f t="shared" ca="1" si="3"/>
        <v>246706.45019998867</v>
      </c>
      <c r="T55" s="30">
        <v>864500</v>
      </c>
      <c r="U55" s="20">
        <f t="shared" si="8"/>
        <v>2544941.7486440679</v>
      </c>
      <c r="V55" s="20"/>
      <c r="W55" s="4">
        <f t="shared" si="9"/>
        <v>7.1170908845519243E-4</v>
      </c>
      <c r="X55" s="20">
        <f t="shared" si="10"/>
        <v>1809.9700000002049</v>
      </c>
      <c r="Y55" s="17"/>
      <c r="Z55" s="30">
        <f t="shared" si="19"/>
        <v>0.98898940113516898</v>
      </c>
      <c r="AA55" s="18">
        <f t="shared" si="11"/>
        <v>-6.0769614957772369</v>
      </c>
    </row>
    <row r="56" spans="1:27" x14ac:dyDescent="0.15">
      <c r="A56" s="1">
        <v>42754</v>
      </c>
      <c r="B56">
        <f t="shared" si="5"/>
        <v>4</v>
      </c>
      <c r="C56" s="30">
        <v>0</v>
      </c>
      <c r="D56" s="20">
        <v>1811494.1</v>
      </c>
      <c r="E56" s="20">
        <v>1811494.1</v>
      </c>
      <c r="F56" s="4">
        <f t="shared" si="16"/>
        <v>-4.5275251130083571E-4</v>
      </c>
      <c r="G56" s="30">
        <v>253.72</v>
      </c>
      <c r="H56" s="30">
        <v>0</v>
      </c>
      <c r="I56" s="30">
        <v>253.72</v>
      </c>
      <c r="J56" s="30">
        <v>-1365</v>
      </c>
      <c r="K56" s="30">
        <f>308.75-18</f>
        <v>290.75</v>
      </c>
      <c r="L56" s="18">
        <f t="shared" ref="L56:L59" si="21">G56+J56+K56</f>
        <v>-820.53</v>
      </c>
      <c r="M56" s="37">
        <f t="shared" si="18"/>
        <v>-820.52999999979511</v>
      </c>
      <c r="N56" s="17" t="s">
        <v>1494</v>
      </c>
      <c r="O56" s="41">
        <f ca="1">SUMIFS(Stock!$O:$O,Stock!$A:$A,'Asset Line A share'!$A56,Stock!$I:$I,O$2)</f>
        <v>0</v>
      </c>
      <c r="P56" s="41">
        <f ca="1">SUMIFS(Stock!$O:$O,Stock!$A:$A,'Asset Line A share'!$A56,Stock!$I:$I,P$2)</f>
        <v>16274.999999999998</v>
      </c>
      <c r="Q56" s="40" t="str">
        <f t="shared" ca="1" si="14"/>
        <v/>
      </c>
      <c r="R56" s="40">
        <f t="shared" ca="1" si="15"/>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9"/>
        <v>0.98867053510464153</v>
      </c>
      <c r="AA56" s="18">
        <f t="shared" si="11"/>
        <v>-5.5678449453528236</v>
      </c>
    </row>
    <row r="57" spans="1:27" x14ac:dyDescent="0.15">
      <c r="A57" s="1">
        <v>42755</v>
      </c>
      <c r="B57">
        <f t="shared" si="5"/>
        <v>5</v>
      </c>
      <c r="C57" s="30">
        <v>0</v>
      </c>
      <c r="D57" s="20">
        <v>1811986.37778</v>
      </c>
      <c r="E57" s="20">
        <v>1811986.37778</v>
      </c>
      <c r="F57" s="4">
        <f t="shared" si="16"/>
        <v>2.7175235072518511E-4</v>
      </c>
      <c r="G57">
        <v>-156.02000000000001</v>
      </c>
      <c r="H57" s="30">
        <v>-156.02000000000001</v>
      </c>
      <c r="I57" s="30">
        <v>253.72</v>
      </c>
      <c r="J57">
        <v>0</v>
      </c>
      <c r="K57" s="30">
        <f>659.05-17</f>
        <v>642.04999999999995</v>
      </c>
      <c r="L57" s="18">
        <f t="shared" si="21"/>
        <v>486.03</v>
      </c>
      <c r="M57" s="37">
        <f t="shared" si="18"/>
        <v>492.27777999988757</v>
      </c>
      <c r="N57" s="17" t="s">
        <v>1496</v>
      </c>
      <c r="O57" s="41">
        <f ca="1">SUMIFS(Stock!$O:$O,Stock!$A:$A,'Asset Line A share'!$A57,Stock!$I:$I,O$2)</f>
        <v>27350</v>
      </c>
      <c r="P57" s="41">
        <f ca="1">SUMIFS(Stock!$O:$O,Stock!$A:$A,'Asset Line A share'!$A57,Stock!$I:$I,P$2)</f>
        <v>0</v>
      </c>
      <c r="Q57" s="40">
        <f t="shared" ca="1" si="14"/>
        <v>-5.7045703839122492E-3</v>
      </c>
      <c r="R57" s="40" t="str">
        <f t="shared" ca="1" si="15"/>
        <v/>
      </c>
      <c r="S57" s="41">
        <f t="shared" ca="1" si="3"/>
        <v>257781.45019998867</v>
      </c>
      <c r="T57" s="30">
        <v>864500</v>
      </c>
      <c r="U57" s="20">
        <f t="shared" si="8"/>
        <v>2544613.4964240678</v>
      </c>
      <c r="V57" s="20"/>
      <c r="W57" s="4">
        <f t="shared" si="9"/>
        <v>1.9349619679775998E-4</v>
      </c>
      <c r="X57" s="20">
        <f t="shared" si="10"/>
        <v>492.2777800001204</v>
      </c>
      <c r="Y57" s="17"/>
      <c r="Z57" s="30">
        <f t="shared" si="19"/>
        <v>0.98886183909307024</v>
      </c>
      <c r="AA57" s="18">
        <f t="shared" si="11"/>
        <v>-5.504796283339112</v>
      </c>
    </row>
    <row r="58" spans="1:27" s="30" customFormat="1" x14ac:dyDescent="0.15">
      <c r="A58" s="1">
        <v>42758</v>
      </c>
      <c r="B58" s="30">
        <f t="shared" si="5"/>
        <v>1</v>
      </c>
      <c r="C58" s="30">
        <v>0</v>
      </c>
      <c r="D58" s="20">
        <v>1813561.72</v>
      </c>
      <c r="E58" s="20">
        <v>1813561.72</v>
      </c>
      <c r="F58" s="4">
        <f t="shared" si="16"/>
        <v>8.6940069711238799E-4</v>
      </c>
      <c r="G58" s="30">
        <v>1102.6199999999999</v>
      </c>
      <c r="H58" s="30">
        <v>1102.6199999999999</v>
      </c>
      <c r="I58" s="30">
        <v>0</v>
      </c>
      <c r="J58" s="30">
        <v>150</v>
      </c>
      <c r="K58" s="30">
        <f>336.722222-14</f>
        <v>322.72222199999999</v>
      </c>
      <c r="L58" s="18">
        <f t="shared" si="21"/>
        <v>1575.3422219999998</v>
      </c>
      <c r="M58" s="37">
        <f t="shared" si="18"/>
        <v>1575.3422199999914</v>
      </c>
      <c r="N58" s="17"/>
      <c r="O58" s="41">
        <f ca="1">SUMIFS(Stock!$O:$O,Stock!$A:$A,'Asset Line A share'!$A58,Stock!$I:$I,O$2)</f>
        <v>362114</v>
      </c>
      <c r="P58" s="41">
        <f ca="1">SUMIFS(Stock!$O:$O,Stock!$A:$A,'Asset Line A share'!$A58,Stock!$I:$I,P$2)</f>
        <v>0</v>
      </c>
      <c r="Q58" s="40">
        <f t="shared" ca="1" si="14"/>
        <v>3.0449526944553371E-3</v>
      </c>
      <c r="R58" s="40" t="str">
        <f t="shared" ca="1" si="15"/>
        <v/>
      </c>
      <c r="S58" s="41">
        <f t="shared" ca="1" si="3"/>
        <v>619895.45019998867</v>
      </c>
      <c r="T58" s="30">
        <v>864500</v>
      </c>
      <c r="U58" s="20">
        <f t="shared" si="8"/>
        <v>2546188.8386440678</v>
      </c>
      <c r="V58" s="20"/>
      <c r="W58" s="4">
        <f t="shared" si="9"/>
        <v>6.1908899807927575E-4</v>
      </c>
      <c r="X58" s="20">
        <f t="shared" si="10"/>
        <v>1575.3422199999914</v>
      </c>
      <c r="Y58" s="17"/>
      <c r="Z58" s="30">
        <f t="shared" si="19"/>
        <v>0.98947403257827315</v>
      </c>
      <c r="AA58" s="18">
        <f t="shared" si="11"/>
        <v>-4.4167086888143059</v>
      </c>
    </row>
    <row r="59" spans="1:27" x14ac:dyDescent="0.15">
      <c r="A59" s="1">
        <v>42759</v>
      </c>
      <c r="B59" s="30">
        <f t="shared" si="5"/>
        <v>2</v>
      </c>
      <c r="C59" s="30">
        <v>0</v>
      </c>
      <c r="D59" s="20">
        <v>1813696.5</v>
      </c>
      <c r="E59" s="20">
        <v>1813696.5</v>
      </c>
      <c r="F59" s="4">
        <f t="shared" si="16"/>
        <v>7.431784565903321E-5</v>
      </c>
      <c r="G59">
        <v>-524.86</v>
      </c>
      <c r="H59">
        <v>38.229999999999997</v>
      </c>
      <c r="I59">
        <v>-563.09</v>
      </c>
      <c r="J59">
        <v>457</v>
      </c>
      <c r="K59" s="30">
        <f>222.5-20</f>
        <v>202.5</v>
      </c>
      <c r="L59" s="18">
        <f t="shared" si="21"/>
        <v>134.63999999999999</v>
      </c>
      <c r="M59" s="37">
        <f t="shared" si="18"/>
        <v>134.78000000002794</v>
      </c>
      <c r="N59" s="17" t="s">
        <v>1517</v>
      </c>
      <c r="O59" s="41">
        <f ca="1">SUMIFS(Stock!$O:$O,Stock!$A:$A,'Asset Line A share'!$A59,Stock!$I:$I,O$2)</f>
        <v>212161</v>
      </c>
      <c r="P59" s="41">
        <f ca="1">SUMIFS(Stock!$O:$O,Stock!$A:$A,'Asset Line A share'!$A59,Stock!$I:$I,P$2)</f>
        <v>226767</v>
      </c>
      <c r="Q59" s="40">
        <f t="shared" ca="1" si="14"/>
        <v>1.8019334373423955E-4</v>
      </c>
      <c r="R59" s="40">
        <f t="shared" ca="1" si="15"/>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9"/>
        <v>0.989526409412264</v>
      </c>
      <c r="AA59" s="18">
        <f t="shared" si="11"/>
        <v>-4.3913902692531295</v>
      </c>
    </row>
    <row r="60" spans="1:27" x14ac:dyDescent="0.15">
      <c r="A60" s="1">
        <v>42760</v>
      </c>
      <c r="B60" s="30">
        <f t="shared" si="5"/>
        <v>3</v>
      </c>
      <c r="C60" s="30">
        <v>0</v>
      </c>
      <c r="D60" s="20">
        <v>1812665.98</v>
      </c>
      <c r="E60" s="20">
        <v>1812665.98</v>
      </c>
      <c r="F60" s="4">
        <f t="shared" si="16"/>
        <v>-5.6818767638355805E-4</v>
      </c>
      <c r="G60">
        <v>-456.6</v>
      </c>
      <c r="H60">
        <v>-291.87</v>
      </c>
      <c r="I60">
        <v>-164.73</v>
      </c>
      <c r="J60">
        <v>-671</v>
      </c>
      <c r="K60" s="30">
        <f>108.0833333-11</f>
        <v>97.083333300000007</v>
      </c>
      <c r="L60" s="18">
        <f t="shared" ref="L60" si="22">G60+J60+K60</f>
        <v>-1030.5166666999999</v>
      </c>
      <c r="M60" s="37">
        <f t="shared" si="18"/>
        <v>-1030.5200000000186</v>
      </c>
      <c r="N60" s="45" t="s">
        <v>1516</v>
      </c>
      <c r="O60" s="41">
        <f ca="1">SUMIFS(Stock!$O:$O,Stock!$A:$A,'Asset Line A share'!$A60,Stock!$I:$I,O$2)</f>
        <v>78568</v>
      </c>
      <c r="P60" s="41">
        <f ca="1">SUMIFS(Stock!$O:$O,Stock!$A:$A,'Asset Line A share'!$A60,Stock!$I:$I,P$2)</f>
        <v>358606</v>
      </c>
      <c r="Q60" s="40">
        <f t="shared" ca="1" si="14"/>
        <v>-3.7148711943793913E-3</v>
      </c>
      <c r="R60" s="40">
        <f t="shared" ca="1" si="15"/>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9"/>
        <v>0.98912593920181557</v>
      </c>
      <c r="AA60" s="18">
        <f t="shared" si="11"/>
        <v>-4.6106084900246564</v>
      </c>
    </row>
    <row r="61" spans="1:27" x14ac:dyDescent="0.15">
      <c r="A61" s="1">
        <v>42761</v>
      </c>
      <c r="B61" s="30">
        <f t="shared" si="5"/>
        <v>4</v>
      </c>
      <c r="C61" s="30">
        <v>0</v>
      </c>
      <c r="D61" s="20">
        <v>1814117.05</v>
      </c>
      <c r="E61" s="20">
        <v>1814117.05</v>
      </c>
      <c r="F61" s="4">
        <f t="shared" si="16"/>
        <v>8.0051703734196344E-4</v>
      </c>
      <c r="G61" s="30">
        <v>-25.82</v>
      </c>
      <c r="H61">
        <v>0</v>
      </c>
      <c r="I61" s="30">
        <v>-25.82</v>
      </c>
      <c r="J61">
        <v>584</v>
      </c>
      <c r="K61" s="30">
        <f>907.875-15</f>
        <v>892.875</v>
      </c>
      <c r="L61" s="18">
        <f t="shared" ref="L61:L68" si="23">G61+J61+K61</f>
        <v>1451.0549999999998</v>
      </c>
      <c r="M61" s="37">
        <f t="shared" si="18"/>
        <v>1451.0700000000652</v>
      </c>
      <c r="N61" s="17" t="s">
        <v>1518</v>
      </c>
      <c r="O61" s="41">
        <f ca="1">SUMIFS(Stock!$O:$O,Stock!$A:$A,'Asset Line A share'!$A61,Stock!$I:$I,O$2)</f>
        <v>0</v>
      </c>
      <c r="P61" s="41">
        <f ca="1">SUMIFS(Stock!$O:$O,Stock!$A:$A,'Asset Line A share'!$A61,Stock!$I:$I,P$2)</f>
        <v>82754</v>
      </c>
      <c r="Q61" s="40" t="str">
        <f t="shared" ca="1" si="14"/>
        <v/>
      </c>
      <c r="R61" s="40">
        <f t="shared" ca="1" si="15"/>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9"/>
        <v>0.98968983927971332</v>
      </c>
      <c r="AA61" s="18">
        <f t="shared" si="11"/>
        <v>-4.3270032676538426</v>
      </c>
    </row>
    <row r="62" spans="1:27" ht="27" x14ac:dyDescent="0.15">
      <c r="A62" s="1">
        <v>42769</v>
      </c>
      <c r="B62">
        <f>WEEKDAY(A62,2)</f>
        <v>5</v>
      </c>
      <c r="C62" s="30">
        <v>0</v>
      </c>
      <c r="D62" s="20">
        <v>1813764.99</v>
      </c>
      <c r="E62" s="20">
        <v>1813764.99</v>
      </c>
      <c r="F62" s="4">
        <f t="shared" ref="F62:F73" si="24">+E62/(E61)-1</f>
        <v>-1.9406686023926145E-4</v>
      </c>
      <c r="G62" s="30">
        <v>-655.99</v>
      </c>
      <c r="H62" s="30">
        <v>-637.55999999999995</v>
      </c>
      <c r="I62" s="30">
        <v>-18.43</v>
      </c>
      <c r="J62" s="30">
        <v>-180</v>
      </c>
      <c r="K62" s="30">
        <f>499.93-16</f>
        <v>483.93</v>
      </c>
      <c r="L62" s="18">
        <f t="shared" si="23"/>
        <v>-352.06</v>
      </c>
      <c r="M62" s="37">
        <f t="shared" si="18"/>
        <v>-352.06000000005588</v>
      </c>
      <c r="N62" s="17" t="s">
        <v>1738</v>
      </c>
      <c r="O62" s="41">
        <f ca="1">SUMIFS(Stock!$O:$O,Stock!$A:$A,'Asset Line A share'!$A62,Stock!$I:$I,O$2)</f>
        <v>157345</v>
      </c>
      <c r="P62" s="41">
        <f ca="1">SUMIFS(Stock!$O:$O,Stock!$A:$A,'Asset Line A share'!$A62,Stock!$I:$I,P$2)</f>
        <v>13430</v>
      </c>
      <c r="Q62" s="40">
        <f t="shared" ca="1" si="14"/>
        <v>-4.0519876704057959E-3</v>
      </c>
      <c r="R62" s="40">
        <f t="shared" ca="1" si="15"/>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9"/>
        <v>0.98955302530008127</v>
      </c>
      <c r="AA62" s="18">
        <f t="shared" si="11"/>
        <v>-4.4014836782966151</v>
      </c>
    </row>
    <row r="63" spans="1:27" ht="27" x14ac:dyDescent="0.15">
      <c r="A63" s="1">
        <v>42772</v>
      </c>
      <c r="B63">
        <f t="shared" si="5"/>
        <v>1</v>
      </c>
      <c r="C63" s="30">
        <v>0</v>
      </c>
      <c r="D63" s="20">
        <v>1815281.57</v>
      </c>
      <c r="E63" s="20">
        <v>1815281.57</v>
      </c>
      <c r="F63" s="4">
        <f t="shared" si="24"/>
        <v>8.3615022252692128E-4</v>
      </c>
      <c r="G63">
        <v>418.9</v>
      </c>
      <c r="H63">
        <v>650</v>
      </c>
      <c r="I63">
        <v>-231.1</v>
      </c>
      <c r="J63">
        <v>735</v>
      </c>
      <c r="K63" s="30">
        <f>378.66667-16</f>
        <v>362.66667000000001</v>
      </c>
      <c r="L63" s="18">
        <f t="shared" si="23"/>
        <v>1516.5666700000002</v>
      </c>
      <c r="M63" s="37">
        <f t="shared" si="18"/>
        <v>1516.5800000000745</v>
      </c>
      <c r="N63" s="17" t="s">
        <v>1741</v>
      </c>
      <c r="O63" s="41">
        <f ca="1">SUMIFS(Stock!$O:$O,Stock!$A:$A,'Asset Line A share'!$A63,Stock!$I:$I,O$2)</f>
        <v>40280</v>
      </c>
      <c r="P63" s="41">
        <f ca="1">SUMIFS(Stock!$O:$O,Stock!$A:$A,'Asset Line A share'!$A63,Stock!$I:$I,P$2)</f>
        <v>90560</v>
      </c>
      <c r="Q63" s="40">
        <f t="shared" ca="1" si="14"/>
        <v>1.6137040714995034E-2</v>
      </c>
      <c r="R63" s="40">
        <f t="shared" ca="1" si="15"/>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9"/>
        <v>0.99014238320847847</v>
      </c>
      <c r="AA63" s="18">
        <f t="shared" si="11"/>
        <v>-4.3236204875872826</v>
      </c>
    </row>
    <row r="64" spans="1:27" x14ac:dyDescent="0.15">
      <c r="A64" s="1">
        <v>42773</v>
      </c>
      <c r="B64">
        <f t="shared" si="5"/>
        <v>2</v>
      </c>
      <c r="C64" s="30">
        <v>0</v>
      </c>
      <c r="D64" s="20">
        <v>1815191.4</v>
      </c>
      <c r="E64" s="20">
        <v>1815191.4</v>
      </c>
      <c r="F64" s="4">
        <f t="shared" si="24"/>
        <v>-4.9672734792394202E-5</v>
      </c>
      <c r="G64">
        <v>725</v>
      </c>
      <c r="H64">
        <v>725</v>
      </c>
      <c r="I64">
        <v>0</v>
      </c>
      <c r="J64">
        <v>-975</v>
      </c>
      <c r="K64" s="30">
        <f>175.8333-17</f>
        <v>158.83330000000001</v>
      </c>
      <c r="L64" s="18">
        <f t="shared" si="23"/>
        <v>-91.166699999999992</v>
      </c>
      <c r="M64" s="37">
        <f t="shared" si="18"/>
        <v>-90.170000000158325</v>
      </c>
      <c r="N64" s="17" t="s">
        <v>1743</v>
      </c>
      <c r="O64" s="62">
        <f ca="1">SUMIFS(Stock!$O:$O,Stock!$A:$A,'Asset Line A share'!$A64,Stock!$I:$I,O$2)</f>
        <v>0</v>
      </c>
      <c r="P64" s="41">
        <f ca="1">SUMIFS(Stock!$O:$O,Stock!$A:$A,'Asset Line A share'!$A64,Stock!$I:$I,P$2)</f>
        <v>0</v>
      </c>
      <c r="Q64" s="40" t="str">
        <f ca="1">IF(O64&lt;&gt;0,+H64/O64,"")</f>
        <v/>
      </c>
      <c r="R64" s="40" t="str">
        <f t="shared" ca="1" si="15"/>
        <v/>
      </c>
      <c r="S64" s="41">
        <f t="shared" ca="1" si="3"/>
        <v>336132.45019998867</v>
      </c>
      <c r="T64" s="30">
        <v>864500</v>
      </c>
      <c r="U64" s="20">
        <f t="shared" si="8"/>
        <v>2547818.5186440675</v>
      </c>
      <c r="V64" s="20"/>
      <c r="W64" s="4">
        <f t="shared" si="9"/>
        <v>-3.5389808277774826E-5</v>
      </c>
      <c r="X64" s="20">
        <f t="shared" si="10"/>
        <v>-90.170000000391155</v>
      </c>
      <c r="Y64" s="17"/>
      <c r="Z64" s="30">
        <f t="shared" si="19"/>
        <v>0.99010734225936903</v>
      </c>
      <c r="AA64" s="18">
        <f t="shared" si="11"/>
        <v>-4.5821074253562273</v>
      </c>
    </row>
    <row r="65" spans="1:27" ht="27" x14ac:dyDescent="0.15">
      <c r="A65" s="1">
        <v>42774</v>
      </c>
      <c r="B65">
        <f t="shared" si="5"/>
        <v>3</v>
      </c>
      <c r="C65" s="30">
        <v>0</v>
      </c>
      <c r="D65" s="20">
        <v>1816009.53</v>
      </c>
      <c r="E65" s="20">
        <v>1816009.53</v>
      </c>
      <c r="F65" s="4">
        <f t="shared" si="24"/>
        <v>4.5071280086506071E-4</v>
      </c>
      <c r="G65" s="30">
        <v>836.12</v>
      </c>
      <c r="H65">
        <v>906.9</v>
      </c>
      <c r="I65">
        <v>-70.78</v>
      </c>
      <c r="J65">
        <v>-110</v>
      </c>
      <c r="K65" s="30">
        <f>107.9027777-16</f>
        <v>91.902777700000001</v>
      </c>
      <c r="L65" s="18">
        <f t="shared" si="23"/>
        <v>818.02277770000001</v>
      </c>
      <c r="M65" s="37">
        <f t="shared" si="18"/>
        <v>818.13000000012107</v>
      </c>
      <c r="N65" s="17" t="s">
        <v>1744</v>
      </c>
      <c r="O65" s="41">
        <f ca="1">SUMIFS(Stock!$O:$O,Stock!$A:$A,'Asset Line A share'!$A65,Stock!$I:$I,O$2)</f>
        <v>64060</v>
      </c>
      <c r="P65" s="41">
        <f ca="1">SUMIFS(Stock!$O:$O,Stock!$A:$A,'Asset Line A share'!$A65,Stock!$I:$I,P$2)</f>
        <v>86025</v>
      </c>
      <c r="Q65" s="40">
        <f t="shared" ca="1" si="14"/>
        <v>1.4157040274742429E-2</v>
      </c>
      <c r="R65" s="40">
        <f t="shared" ca="1" si="15"/>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9"/>
        <v>0.99042527562628491</v>
      </c>
      <c r="AA65" s="18">
        <f t="shared" si="11"/>
        <v>-4.9165915783043594</v>
      </c>
    </row>
    <row r="66" spans="1:27" x14ac:dyDescent="0.15">
      <c r="A66" s="1">
        <v>42775</v>
      </c>
      <c r="B66">
        <f t="shared" si="5"/>
        <v>4</v>
      </c>
      <c r="C66" s="30">
        <v>0</v>
      </c>
      <c r="D66" s="20">
        <v>1816866.4633299999</v>
      </c>
      <c r="E66" s="20">
        <v>1816866.4633299999</v>
      </c>
      <c r="F66" s="4">
        <f t="shared" si="24"/>
        <v>4.718771106888564E-4</v>
      </c>
      <c r="G66">
        <v>-396.4</v>
      </c>
      <c r="H66">
        <v>0</v>
      </c>
      <c r="I66" s="30">
        <v>-396.4</v>
      </c>
      <c r="J66">
        <v>1180</v>
      </c>
      <c r="K66" s="30">
        <f>91.33333-18</f>
        <v>73.333330000000004</v>
      </c>
      <c r="L66" s="18">
        <f t="shared" si="23"/>
        <v>856.93333000000007</v>
      </c>
      <c r="M66" s="37">
        <f t="shared" si="18"/>
        <v>856.93332999991253</v>
      </c>
      <c r="O66" s="41">
        <f ca="1">SUMIFS(Stock!$O:$O,Stock!$A:$A,'Asset Line A share'!$A66,Stock!$I:$I,O$2)</f>
        <v>0</v>
      </c>
      <c r="P66" s="41">
        <f ca="1">SUMIFS(Stock!$O:$O,Stock!$A:$A,'Asset Line A share'!$A66,Stock!$I:$I,P$2)</f>
        <v>86040</v>
      </c>
      <c r="Q66" s="40" t="str">
        <f t="shared" ca="1" si="14"/>
        <v/>
      </c>
      <c r="R66" s="40">
        <f t="shared" ca="1" si="15"/>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9"/>
        <v>0.99075828834899293</v>
      </c>
      <c r="AA66" s="18">
        <f t="shared" si="11"/>
        <v>-4.776400873545156</v>
      </c>
    </row>
    <row r="67" spans="1:27" s="30" customFormat="1" x14ac:dyDescent="0.15">
      <c r="A67" s="1">
        <v>42776</v>
      </c>
      <c r="B67" s="30">
        <f t="shared" si="5"/>
        <v>5</v>
      </c>
      <c r="C67" s="30">
        <v>0</v>
      </c>
      <c r="D67" s="20">
        <v>1817293.85</v>
      </c>
      <c r="E67" s="20">
        <v>1817293.85</v>
      </c>
      <c r="F67" s="4">
        <f t="shared" si="24"/>
        <v>2.3523284656645771E-4</v>
      </c>
      <c r="G67" s="30">
        <v>0</v>
      </c>
      <c r="H67" s="30">
        <v>0</v>
      </c>
      <c r="I67" s="30">
        <v>0</v>
      </c>
      <c r="J67" s="30">
        <v>285</v>
      </c>
      <c r="K67" s="30">
        <f>160.38888-18</f>
        <v>142.38888</v>
      </c>
      <c r="L67" s="18">
        <f t="shared" si="23"/>
        <v>427.38887999999997</v>
      </c>
      <c r="M67" s="37">
        <f t="shared" si="18"/>
        <v>427.38667000015266</v>
      </c>
      <c r="N67" s="17"/>
      <c r="O67" s="41">
        <f ca="1">SUMIFS(Stock!$O:$O,Stock!$A:$A,'Asset Line A share'!$A67,Stock!$I:$I,O$2)</f>
        <v>0</v>
      </c>
      <c r="P67" s="41">
        <f ca="1">SUMIFS(Stock!$O:$O,Stock!$A:$A,'Asset Line A share'!$A67,Stock!$I:$I,P$2)</f>
        <v>0</v>
      </c>
      <c r="Q67" s="40" t="str">
        <f t="shared" ca="1" si="14"/>
        <v/>
      </c>
      <c r="R67" s="40" t="str">
        <f t="shared" ca="1" si="15"/>
        <v/>
      </c>
      <c r="S67" s="41">
        <f t="shared" ca="1" si="3"/>
        <v>228127.45019998867</v>
      </c>
      <c r="T67" s="30">
        <v>864500</v>
      </c>
      <c r="U67" s="20">
        <f t="shared" si="8"/>
        <v>2549920.9686440676</v>
      </c>
      <c r="V67" s="20"/>
      <c r="W67" s="4">
        <f t="shared" si="9"/>
        <v>1.6763590739032885E-4</v>
      </c>
      <c r="X67" s="20">
        <f t="shared" si="10"/>
        <v>427.38666999991983</v>
      </c>
      <c r="Y67" s="17"/>
      <c r="Z67" s="30">
        <f t="shared" si="19"/>
        <v>0.99092437501366482</v>
      </c>
      <c r="AA67" s="18">
        <f t="shared" si="11"/>
        <v>-5.0859402335371087</v>
      </c>
    </row>
    <row r="68" spans="1:27" s="30" customFormat="1" x14ac:dyDescent="0.15">
      <c r="A68" s="1">
        <v>42779</v>
      </c>
      <c r="B68" s="30">
        <f t="shared" si="5"/>
        <v>1</v>
      </c>
      <c r="C68" s="30">
        <v>0</v>
      </c>
      <c r="D68" s="20">
        <v>1817520.66</v>
      </c>
      <c r="E68" s="20">
        <v>1817520.66</v>
      </c>
      <c r="F68" s="4">
        <f t="shared" si="24"/>
        <v>1.2480645328749596E-4</v>
      </c>
      <c r="G68" s="30">
        <v>-200.71</v>
      </c>
      <c r="H68" s="30">
        <v>-200.71</v>
      </c>
      <c r="I68" s="30">
        <v>0</v>
      </c>
      <c r="J68" s="30">
        <v>315</v>
      </c>
      <c r="K68" s="30">
        <f>127.5-15</f>
        <v>112.5</v>
      </c>
      <c r="L68" s="18">
        <f t="shared" si="23"/>
        <v>226.79</v>
      </c>
      <c r="M68" s="37">
        <f t="shared" si="18"/>
        <v>226.80999999982305</v>
      </c>
      <c r="N68" s="17"/>
      <c r="O68" s="41">
        <f ca="1">SUMIFS(Stock!$O:$O,Stock!$A:$A,'Asset Line A share'!$A68,Stock!$I:$I,O$2)</f>
        <v>220763</v>
      </c>
      <c r="P68" s="41">
        <f ca="1">SUMIFS(Stock!$O:$O,Stock!$A:$A,'Asset Line A share'!$A68,Stock!$I:$I,P$2)</f>
        <v>0</v>
      </c>
      <c r="Q68" s="40">
        <f t="shared" ref="Q68:Q99" ca="1" si="25">IF(O68&lt;&gt;0,+H68/O68,"")</f>
        <v>-9.0916503218383521E-4</v>
      </c>
      <c r="R68" s="40" t="str">
        <f t="shared" ref="R68:R99" ca="1" si="26">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9"/>
        <v>0.99101251561106385</v>
      </c>
      <c r="AA68" s="18">
        <f t="shared" si="11"/>
        <v>-3.9939432073624572</v>
      </c>
    </row>
    <row r="69" spans="1:27" s="30" customFormat="1" x14ac:dyDescent="0.15">
      <c r="A69" s="1">
        <v>42780</v>
      </c>
      <c r="B69" s="30">
        <f t="shared" si="5"/>
        <v>2</v>
      </c>
      <c r="C69" s="30">
        <v>0</v>
      </c>
      <c r="D69" s="20">
        <v>1816963.9</v>
      </c>
      <c r="E69" s="20">
        <v>1816963.9</v>
      </c>
      <c r="F69" s="4">
        <f t="shared" si="24"/>
        <v>-3.063293927013655E-4</v>
      </c>
      <c r="G69" s="30">
        <v>-38.53</v>
      </c>
      <c r="H69" s="30">
        <v>0</v>
      </c>
      <c r="I69" s="30">
        <v>-38.53</v>
      </c>
      <c r="J69" s="30">
        <v>-628</v>
      </c>
      <c r="K69" s="30">
        <f>125.77778-16</f>
        <v>109.77778000000001</v>
      </c>
      <c r="L69" s="18">
        <f t="shared" ref="L69:L74" si="27">G69+J69+K69</f>
        <v>-556.75221999999997</v>
      </c>
      <c r="M69" s="37">
        <f t="shared" si="18"/>
        <v>-556.76000000000931</v>
      </c>
      <c r="N69" s="17" t="s">
        <v>1788</v>
      </c>
      <c r="O69" s="41">
        <f ca="1">SUMIFS(Stock!$O:$O,Stock!$A:$A,'Asset Line A share'!$A69,Stock!$I:$I,O$2)</f>
        <v>0</v>
      </c>
      <c r="P69" s="41">
        <f ca="1">SUMIFS(Stock!$O:$O,Stock!$A:$A,'Asset Line A share'!$A69,Stock!$I:$I,P$2)</f>
        <v>27970</v>
      </c>
      <c r="Q69" s="40" t="str">
        <f t="shared" ca="1" si="25"/>
        <v/>
      </c>
      <c r="R69" s="40">
        <f t="shared" ca="1" si="26"/>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9"/>
        <v>0.99079615319755499</v>
      </c>
      <c r="AA69" s="18">
        <f t="shared" si="11"/>
        <v>-2.4117724489811008</v>
      </c>
    </row>
    <row r="70" spans="1:27" s="30" customFormat="1" x14ac:dyDescent="0.15">
      <c r="A70" s="1">
        <v>42781</v>
      </c>
      <c r="B70" s="30">
        <f t="shared" si="5"/>
        <v>3</v>
      </c>
      <c r="C70" s="30">
        <v>0</v>
      </c>
      <c r="D70" s="20">
        <v>1815582.09</v>
      </c>
      <c r="E70" s="20">
        <v>1815582.09</v>
      </c>
      <c r="F70" s="4">
        <f t="shared" si="24"/>
        <v>-7.6050492802848257E-4</v>
      </c>
      <c r="G70" s="30">
        <v>-1746.89</v>
      </c>
      <c r="H70" s="30">
        <v>-1746.89</v>
      </c>
      <c r="I70" s="30">
        <v>0</v>
      </c>
      <c r="J70" s="30">
        <v>106</v>
      </c>
      <c r="K70" s="30">
        <f>158.033333-11</f>
        <v>147.033333</v>
      </c>
      <c r="L70" s="18">
        <f t="shared" si="27"/>
        <v>-1493.856667</v>
      </c>
      <c r="M70" s="37">
        <f t="shared" si="18"/>
        <v>-1381.809999999823</v>
      </c>
      <c r="N70" s="17" t="s">
        <v>1795</v>
      </c>
      <c r="O70" s="41">
        <f ca="1">SUMIFS(Stock!$O:$O,Stock!$A:$A,'Asset Line A share'!$A70,Stock!$I:$I,O$2)</f>
        <v>440400</v>
      </c>
      <c r="P70" s="41">
        <f ca="1">SUMIFS(Stock!$O:$O,Stock!$A:$A,'Asset Line A share'!$A70,Stock!$I:$I,P$2)</f>
        <v>0</v>
      </c>
      <c r="Q70" s="40">
        <f t="shared" ca="1" si="25"/>
        <v>-3.9665985467756586E-3</v>
      </c>
      <c r="R70" s="40" t="str">
        <f t="shared" ca="1" si="26"/>
        <v/>
      </c>
      <c r="S70" s="41">
        <f t="shared" ref="S70:S133" ca="1" si="28">+S71+P71-O71</f>
        <v>861320.45019998867</v>
      </c>
      <c r="T70" s="30">
        <v>864500</v>
      </c>
      <c r="U70" s="20">
        <f t="shared" si="8"/>
        <v>2548209.2086440679</v>
      </c>
      <c r="V70" s="20"/>
      <c r="W70" s="4">
        <f t="shared" si="9"/>
        <v>-5.4197319879734085E-4</v>
      </c>
      <c r="X70" s="20">
        <f t="shared" si="10"/>
        <v>-1381.8099999995902</v>
      </c>
      <c r="Y70" s="17"/>
      <c r="Z70" s="30">
        <f t="shared" si="19"/>
        <v>0.9902591682370504</v>
      </c>
      <c r="AA70" s="18">
        <f t="shared" si="11"/>
        <v>-2.9683514540744933</v>
      </c>
    </row>
    <row r="71" spans="1:27" s="30" customFormat="1" x14ac:dyDescent="0.15">
      <c r="A71" s="1">
        <v>42782</v>
      </c>
      <c r="B71" s="30">
        <f t="shared" si="5"/>
        <v>4</v>
      </c>
      <c r="C71" s="30">
        <v>0</v>
      </c>
      <c r="D71" s="20">
        <v>1818441.23</v>
      </c>
      <c r="E71" s="20">
        <v>1818441.23</v>
      </c>
      <c r="F71" s="4">
        <f t="shared" si="24"/>
        <v>1.5747786981088474E-3</v>
      </c>
      <c r="G71" s="30">
        <v>86.64</v>
      </c>
      <c r="H71" s="30">
        <v>0</v>
      </c>
      <c r="I71" s="30">
        <v>86.64</v>
      </c>
      <c r="J71" s="30">
        <v>2701</v>
      </c>
      <c r="K71" s="30">
        <f>82.5-11</f>
        <v>71.5</v>
      </c>
      <c r="L71" s="18">
        <f t="shared" si="27"/>
        <v>2859.14</v>
      </c>
      <c r="M71" s="37">
        <f t="shared" si="18"/>
        <v>2859.1399999998976</v>
      </c>
      <c r="N71" s="17"/>
      <c r="O71" s="41">
        <f ca="1">SUMIFS(Stock!$O:$O,Stock!$A:$A,'Asset Line A share'!$A71,Stock!$I:$I,O$2)</f>
        <v>0</v>
      </c>
      <c r="P71" s="41">
        <f ca="1">SUMIFS(Stock!$O:$O,Stock!$A:$A,'Asset Line A share'!$A71,Stock!$I:$I,P$2)</f>
        <v>57910</v>
      </c>
      <c r="Q71" s="40" t="str">
        <f t="shared" ca="1" si="25"/>
        <v/>
      </c>
      <c r="R71" s="40">
        <f t="shared" ca="1" si="26"/>
        <v>1.4961146606803661E-3</v>
      </c>
      <c r="S71" s="41">
        <f t="shared" ca="1" si="28"/>
        <v>803410.45019998867</v>
      </c>
      <c r="T71" s="30">
        <v>864500</v>
      </c>
      <c r="U71" s="20">
        <f t="shared" si="8"/>
        <v>2551068.3486440675</v>
      </c>
      <c r="V71" s="20"/>
      <c r="W71" s="4">
        <f t="shared" si="9"/>
        <v>1.1220193343235429E-3</v>
      </c>
      <c r="X71" s="20">
        <f t="shared" si="10"/>
        <v>2859.1399999996647</v>
      </c>
      <c r="Y71" s="17"/>
      <c r="Z71" s="30">
        <f t="shared" si="19"/>
        <v>0.99137025816980351</v>
      </c>
      <c r="AA71" s="18">
        <f t="shared" si="11"/>
        <v>9.5632203813424618E-2</v>
      </c>
    </row>
    <row r="72" spans="1:27" s="30" customFormat="1" ht="27" x14ac:dyDescent="0.15">
      <c r="A72" s="1">
        <v>42783</v>
      </c>
      <c r="B72" s="30">
        <f t="shared" si="5"/>
        <v>5</v>
      </c>
      <c r="C72" s="30">
        <v>0</v>
      </c>
      <c r="D72" s="20">
        <v>1824613.71</v>
      </c>
      <c r="E72" s="20">
        <v>1824613.71</v>
      </c>
      <c r="F72" s="4">
        <f t="shared" si="24"/>
        <v>3.3943797017845778E-3</v>
      </c>
      <c r="G72" s="30">
        <v>-2319.06</v>
      </c>
      <c r="H72" s="30">
        <v>-2377.0100000000002</v>
      </c>
      <c r="I72" s="30">
        <v>57.95</v>
      </c>
      <c r="J72" s="30">
        <v>8319</v>
      </c>
      <c r="K72" s="30">
        <f>188.5139-16</f>
        <v>172.51390000000001</v>
      </c>
      <c r="L72" s="18">
        <f t="shared" si="27"/>
        <v>6172.4539000000004</v>
      </c>
      <c r="M72" s="37">
        <f t="shared" si="18"/>
        <v>6172.4799999999814</v>
      </c>
      <c r="N72" s="17" t="s">
        <v>1819</v>
      </c>
      <c r="O72" s="41">
        <f ca="1">SUMIFS(Stock!$O:$O,Stock!$A:$A,'Asset Line A share'!$A72,Stock!$I:$I,O$2)</f>
        <v>122800.00000000001</v>
      </c>
      <c r="P72" s="41">
        <f ca="1">SUMIFS(Stock!$O:$O,Stock!$A:$A,'Asset Line A share'!$A72,Stock!$I:$I,P$2)</f>
        <v>583454</v>
      </c>
      <c r="Q72" s="40">
        <f t="shared" ca="1" si="25"/>
        <v>-1.9356758957654721E-2</v>
      </c>
      <c r="R72" s="40">
        <f t="shared" ca="1" si="26"/>
        <v>9.9322311613254862E-5</v>
      </c>
      <c r="S72" s="41">
        <f t="shared" ca="1" si="28"/>
        <v>342756.45019998867</v>
      </c>
      <c r="T72" s="30">
        <v>864500</v>
      </c>
      <c r="U72" s="20">
        <f t="shared" si="8"/>
        <v>2557240.828644068</v>
      </c>
      <c r="V72" s="20"/>
      <c r="W72" s="4">
        <f t="shared" si="9"/>
        <v>2.4195666898854107E-3</v>
      </c>
      <c r="X72" s="20">
        <f t="shared" si="10"/>
        <v>6172.480000000447</v>
      </c>
      <c r="Y72" s="17"/>
      <c r="Z72" s="30">
        <f t="shared" si="19"/>
        <v>0.99376894462381427</v>
      </c>
      <c r="AA72" s="18">
        <f t="shared" si="11"/>
        <v>8.1891374930541314</v>
      </c>
    </row>
    <row r="73" spans="1:27" s="30" customFormat="1" x14ac:dyDescent="0.15">
      <c r="A73" s="1">
        <v>42786</v>
      </c>
      <c r="B73" s="30">
        <f t="shared" si="5"/>
        <v>1</v>
      </c>
      <c r="C73" s="30">
        <v>0</v>
      </c>
      <c r="D73" s="20">
        <v>1826097.02</v>
      </c>
      <c r="E73" s="20">
        <v>1826097.02</v>
      </c>
      <c r="F73" s="4">
        <f t="shared" si="24"/>
        <v>8.129446752869196E-4</v>
      </c>
      <c r="G73" s="30">
        <v>63.95</v>
      </c>
      <c r="H73" s="30">
        <v>511.45</v>
      </c>
      <c r="I73" s="30">
        <v>-447.5</v>
      </c>
      <c r="J73" s="30">
        <v>1255</v>
      </c>
      <c r="K73" s="30">
        <f>181.736111-17</f>
        <v>164.73611099999999</v>
      </c>
      <c r="L73" s="18">
        <f t="shared" si="27"/>
        <v>1483.686111</v>
      </c>
      <c r="M73" s="37">
        <f t="shared" si="18"/>
        <v>1483.3100000000559</v>
      </c>
      <c r="N73" s="17" t="s">
        <v>1830</v>
      </c>
      <c r="O73" s="41">
        <f ca="1">SUMIFS(Stock!$O:$O,Stock!$A:$A,'Asset Line A share'!$A73,Stock!$I:$I,O$2)</f>
        <v>119406</v>
      </c>
      <c r="P73" s="41">
        <f ca="1">SUMIFS(Stock!$O:$O,Stock!$A:$A,'Asset Line A share'!$A73,Stock!$I:$I,P$2)</f>
        <v>120900.00000000001</v>
      </c>
      <c r="Q73" s="40">
        <f t="shared" ca="1" si="25"/>
        <v>4.283285597038675E-3</v>
      </c>
      <c r="R73" s="40">
        <f t="shared" ca="1" si="26"/>
        <v>-3.7014061207609589E-3</v>
      </c>
      <c r="S73" s="41">
        <f t="shared" ca="1" si="28"/>
        <v>341262.45019998867</v>
      </c>
      <c r="T73" s="30">
        <v>864500</v>
      </c>
      <c r="U73" s="20">
        <f t="shared" si="8"/>
        <v>2558724.1386440676</v>
      </c>
      <c r="V73" s="20"/>
      <c r="W73" s="4">
        <f t="shared" si="9"/>
        <v>5.8004314000648094E-4</v>
      </c>
      <c r="X73" s="20">
        <f t="shared" si="10"/>
        <v>1483.3099999995902</v>
      </c>
      <c r="Y73" s="17"/>
      <c r="Z73" s="30">
        <f t="shared" si="19"/>
        <v>0.99434537348289476</v>
      </c>
      <c r="AA73" s="18">
        <f t="shared" si="11"/>
        <v>8.2112948607088772</v>
      </c>
    </row>
    <row r="74" spans="1:27" s="30" customFormat="1" x14ac:dyDescent="0.15">
      <c r="A74" s="1">
        <v>42787</v>
      </c>
      <c r="B74" s="30">
        <f t="shared" si="5"/>
        <v>2</v>
      </c>
      <c r="C74" s="30">
        <v>0</v>
      </c>
      <c r="D74" s="20">
        <v>1826729.76</v>
      </c>
      <c r="E74" s="20">
        <v>1826729.76</v>
      </c>
      <c r="F74" s="4">
        <f t="shared" ref="F74:F106" si="29">+E74/(E73)-1</f>
        <v>3.4649856665347478E-4</v>
      </c>
      <c r="G74" s="30">
        <v>-210.8</v>
      </c>
      <c r="H74" s="30">
        <v>-145</v>
      </c>
      <c r="I74" s="30">
        <v>-65.8</v>
      </c>
      <c r="J74" s="30">
        <v>650</v>
      </c>
      <c r="K74" s="30">
        <f>210.5416666-17</f>
        <v>193.54166660000001</v>
      </c>
      <c r="L74" s="18">
        <f t="shared" si="27"/>
        <v>632.74166660000003</v>
      </c>
      <c r="M74" s="37">
        <f t="shared" ref="M74:M105" si="30">+E74-E73</f>
        <v>632.73999999999069</v>
      </c>
      <c r="N74" s="17" t="s">
        <v>1840</v>
      </c>
      <c r="O74" s="41">
        <f ca="1">SUMIFS(Stock!$O:$O,Stock!$A:$A,'Asset Line A share'!$A74,Stock!$I:$I,O$2)</f>
        <v>45250</v>
      </c>
      <c r="P74" s="41">
        <f ca="1">SUMIFS(Stock!$O:$O,Stock!$A:$A,'Asset Line A share'!$A74,Stock!$I:$I,P$2)</f>
        <v>120135</v>
      </c>
      <c r="Q74" s="40">
        <f t="shared" ca="1" si="25"/>
        <v>-3.2044198895027623E-3</v>
      </c>
      <c r="R74" s="40">
        <f t="shared" ca="1" si="26"/>
        <v>-5.477171515378532E-4</v>
      </c>
      <c r="S74" s="41">
        <f t="shared" ca="1" si="28"/>
        <v>266377.45019998867</v>
      </c>
      <c r="T74" s="30">
        <v>864500</v>
      </c>
      <c r="U74" s="20">
        <f t="shared" si="8"/>
        <v>2559356.8786440678</v>
      </c>
      <c r="V74" s="20"/>
      <c r="W74" s="4">
        <f t="shared" si="9"/>
        <v>2.4728730637435525E-4</v>
      </c>
      <c r="X74" s="20">
        <f t="shared" si="10"/>
        <v>632.74000000022352</v>
      </c>
      <c r="Y74" s="17"/>
      <c r="Z74" s="30">
        <f t="shared" si="19"/>
        <v>0.9945912624719091</v>
      </c>
      <c r="AA74" s="18">
        <f t="shared" si="11"/>
        <v>7.7966865586898946</v>
      </c>
    </row>
    <row r="75" spans="1:27" s="30" customFormat="1" x14ac:dyDescent="0.15">
      <c r="A75" s="1">
        <v>42788</v>
      </c>
      <c r="B75" s="30">
        <f t="shared" si="5"/>
        <v>3</v>
      </c>
      <c r="C75" s="30">
        <v>0</v>
      </c>
      <c r="D75" s="20">
        <v>1827152.20888889</v>
      </c>
      <c r="E75" s="20">
        <v>1827152.20888889</v>
      </c>
      <c r="F75" s="4">
        <f t="shared" si="29"/>
        <v>2.3125965216119759E-4</v>
      </c>
      <c r="G75" s="30">
        <v>-26.94</v>
      </c>
      <c r="H75" s="30">
        <v>-26.94</v>
      </c>
      <c r="I75" s="30">
        <v>0</v>
      </c>
      <c r="J75" s="30">
        <v>235</v>
      </c>
      <c r="K75" s="30">
        <f>231.388888888889-17</f>
        <v>214.388888888889</v>
      </c>
      <c r="L75" s="18">
        <f t="shared" ref="L75:L81" si="31">G75+J75+K75</f>
        <v>422.44888888888897</v>
      </c>
      <c r="M75" s="37">
        <f t="shared" si="30"/>
        <v>422.44888888997957</v>
      </c>
      <c r="N75" s="17"/>
      <c r="O75" s="41">
        <f ca="1">SUMIFS(Stock!$O:$O,Stock!$A:$A,'Asset Line A share'!$A75,Stock!$I:$I,O$2)</f>
        <v>0</v>
      </c>
      <c r="P75" s="41">
        <f ca="1">SUMIFS(Stock!$O:$O,Stock!$A:$A,'Asset Line A share'!$A75,Stock!$I:$I,P$2)</f>
        <v>21940</v>
      </c>
      <c r="Q75" s="40" t="str">
        <f t="shared" ca="1" si="25"/>
        <v/>
      </c>
      <c r="R75" s="40">
        <f t="shared" ca="1" si="26"/>
        <v>0</v>
      </c>
      <c r="S75" s="41">
        <f t="shared" ca="1" si="28"/>
        <v>244437.45019998867</v>
      </c>
      <c r="T75" s="30">
        <v>864500</v>
      </c>
      <c r="U75" s="20">
        <f t="shared" si="8"/>
        <v>2559779.3275329578</v>
      </c>
      <c r="V75" s="20"/>
      <c r="W75" s="4">
        <f t="shared" si="9"/>
        <v>1.6506056361853538E-4</v>
      </c>
      <c r="X75" s="20">
        <f t="shared" si="10"/>
        <v>422.44888888997957</v>
      </c>
      <c r="Y75" s="17"/>
      <c r="Z75" s="30">
        <f t="shared" si="19"/>
        <v>0.99475543026626279</v>
      </c>
      <c r="AA75" s="18">
        <f t="shared" si="11"/>
        <v>7.1933186959408451</v>
      </c>
    </row>
    <row r="76" spans="1:27" s="30" customFormat="1" x14ac:dyDescent="0.15">
      <c r="A76" s="1">
        <v>42789</v>
      </c>
      <c r="B76" s="30">
        <f t="shared" si="5"/>
        <v>4</v>
      </c>
      <c r="C76" s="30">
        <v>0</v>
      </c>
      <c r="D76" s="20">
        <v>1827565.37</v>
      </c>
      <c r="E76" s="20">
        <v>1827565.37</v>
      </c>
      <c r="F76" s="4">
        <f t="shared" si="29"/>
        <v>2.2612298477375781E-4</v>
      </c>
      <c r="G76" s="30">
        <v>-195.69</v>
      </c>
      <c r="H76" s="30">
        <v>-108.21</v>
      </c>
      <c r="I76" s="30">
        <v>-87.48</v>
      </c>
      <c r="J76" s="30">
        <v>415</v>
      </c>
      <c r="K76" s="30">
        <f>209.666667-17</f>
        <v>192.66666699999999</v>
      </c>
      <c r="L76" s="18">
        <f t="shared" si="31"/>
        <v>411.97666700000002</v>
      </c>
      <c r="M76" s="37">
        <f t="shared" si="30"/>
        <v>413.16111111012287</v>
      </c>
      <c r="N76" s="52"/>
      <c r="O76" s="41">
        <f ca="1">SUMIFS(Stock!$O:$O,Stock!$A:$A,'Asset Line A share'!$A76,Stock!$I:$I,O$2)</f>
        <v>16648</v>
      </c>
      <c r="P76" s="41">
        <f ca="1">SUMIFS(Stock!$O:$O,Stock!$A:$A,'Asset Line A share'!$A76,Stock!$I:$I,P$2)</f>
        <v>22480</v>
      </c>
      <c r="Q76" s="40">
        <f t="shared" ca="1" si="25"/>
        <v>-6.4998798654493026E-3</v>
      </c>
      <c r="R76" s="40">
        <f t="shared" ca="1" si="26"/>
        <v>-3.8914590747330963E-3</v>
      </c>
      <c r="S76" s="41">
        <f t="shared" ca="1" si="28"/>
        <v>238605.45019998867</v>
      </c>
      <c r="T76" s="30">
        <v>871900</v>
      </c>
      <c r="U76" s="20">
        <f t="shared" si="8"/>
        <v>2566463.675084746</v>
      </c>
      <c r="V76" s="20"/>
      <c r="W76" s="4">
        <f t="shared" si="9"/>
        <v>2.611298356812064E-3</v>
      </c>
      <c r="X76" s="20">
        <f t="shared" si="10"/>
        <v>6684.3475517882034</v>
      </c>
      <c r="Y76" s="17"/>
      <c r="Z76" s="30">
        <f t="shared" si="19"/>
        <v>0.99735303348674698</v>
      </c>
      <c r="AA76" s="18">
        <f t="shared" si="11"/>
        <v>8.5958185144201682</v>
      </c>
    </row>
    <row r="77" spans="1:27" s="30" customFormat="1" x14ac:dyDescent="0.15">
      <c r="A77" s="1">
        <v>42790</v>
      </c>
      <c r="B77" s="30">
        <f t="shared" si="5"/>
        <v>5</v>
      </c>
      <c r="C77" s="30">
        <v>0</v>
      </c>
      <c r="D77" s="20">
        <v>1829244.89</v>
      </c>
      <c r="E77" s="20">
        <v>1829244.89</v>
      </c>
      <c r="F77" s="4">
        <f t="shared" si="29"/>
        <v>9.1899311924459326E-4</v>
      </c>
      <c r="G77" s="30">
        <v>838.21</v>
      </c>
      <c r="H77" s="30">
        <v>869.79</v>
      </c>
      <c r="I77" s="30">
        <v>-31.58</v>
      </c>
      <c r="J77" s="30">
        <v>565</v>
      </c>
      <c r="K77" s="30">
        <f>290.61111-16</f>
        <v>274.61111</v>
      </c>
      <c r="L77" s="18">
        <f t="shared" si="31"/>
        <v>1677.8211100000001</v>
      </c>
      <c r="M77" s="37">
        <f t="shared" si="30"/>
        <v>1679.5199999997858</v>
      </c>
      <c r="N77" s="17" t="s">
        <v>1857</v>
      </c>
      <c r="O77" s="41">
        <f ca="1">SUMIFS(Stock!$O:$O,Stock!$A:$A,'Asset Line A share'!$A77,Stock!$I:$I,O$2)</f>
        <v>157648</v>
      </c>
      <c r="P77" s="41">
        <f ca="1">SUMIFS(Stock!$O:$O,Stock!$A:$A,'Asset Line A share'!$A77,Stock!$I:$I,P$2)</f>
        <v>16365</v>
      </c>
      <c r="Q77" s="40">
        <f t="shared" ca="1" si="25"/>
        <v>5.5172916878108184E-3</v>
      </c>
      <c r="R77" s="40">
        <f t="shared" ca="1" si="26"/>
        <v>-1.9297280782157042E-3</v>
      </c>
      <c r="S77" s="41">
        <f t="shared" ca="1" si="28"/>
        <v>379888.45019998867</v>
      </c>
      <c r="T77" s="30">
        <v>871600</v>
      </c>
      <c r="U77" s="20">
        <f t="shared" si="8"/>
        <v>2567888.95779661</v>
      </c>
      <c r="V77" s="20"/>
      <c r="W77" s="4">
        <f t="shared" si="9"/>
        <v>5.5534887390007448E-4</v>
      </c>
      <c r="X77" s="20">
        <f t="shared" si="10"/>
        <v>1425.2827118639834</v>
      </c>
      <c r="Y77" s="17"/>
      <c r="Z77" s="30">
        <f t="shared" si="19"/>
        <v>0.99790691237077467</v>
      </c>
      <c r="AA77" s="18">
        <f t="shared" si="11"/>
        <v>8.970133239722843</v>
      </c>
    </row>
    <row r="78" spans="1:27" x14ac:dyDescent="0.15">
      <c r="A78" s="1">
        <v>42793</v>
      </c>
      <c r="B78">
        <f t="shared" si="5"/>
        <v>1</v>
      </c>
      <c r="C78" s="30">
        <v>0</v>
      </c>
      <c r="D78" s="20">
        <v>1827585.62</v>
      </c>
      <c r="E78" s="20">
        <v>1827585.62</v>
      </c>
      <c r="F78" s="4">
        <f t="shared" si="29"/>
        <v>-9.070792046874665E-4</v>
      </c>
      <c r="G78">
        <v>-131.69</v>
      </c>
      <c r="H78">
        <v>-139.30000000000001</v>
      </c>
      <c r="I78">
        <v>7.61</v>
      </c>
      <c r="J78">
        <v>-1715</v>
      </c>
      <c r="K78" s="30">
        <f>202.416666-15</f>
        <v>187.41666599999999</v>
      </c>
      <c r="L78" s="18">
        <f t="shared" si="31"/>
        <v>-1659.273334</v>
      </c>
      <c r="M78" s="37">
        <f t="shared" si="30"/>
        <v>-1659.2699999997858</v>
      </c>
      <c r="N78" s="17" t="s">
        <v>1863</v>
      </c>
      <c r="O78" s="41">
        <f ca="1">SUMIFS(Stock!$O:$O,Stock!$A:$A,'Asset Line A share'!$A78,Stock!$I:$I,O$2)</f>
        <v>189760</v>
      </c>
      <c r="P78" s="41">
        <f ca="1">SUMIFS(Stock!$O:$O,Stock!$A:$A,'Asset Line A share'!$A78,Stock!$I:$I,P$2)</f>
        <v>43660</v>
      </c>
      <c r="Q78" s="40">
        <f t="shared" ca="1" si="25"/>
        <v>-7.3408516020236091E-4</v>
      </c>
      <c r="R78" s="40">
        <f t="shared" ca="1" si="26"/>
        <v>1.7430142006413194E-4</v>
      </c>
      <c r="S78" s="41">
        <f t="shared" ca="1" si="28"/>
        <v>525988.45019998867</v>
      </c>
      <c r="T78" s="30">
        <v>869600</v>
      </c>
      <c r="U78" s="20">
        <f t="shared" si="8"/>
        <v>2564534.7725423733</v>
      </c>
      <c r="V78" s="20"/>
      <c r="W78" s="4">
        <f t="shared" si="9"/>
        <v>-1.3062033870477885E-3</v>
      </c>
      <c r="X78" s="20">
        <f t="shared" si="10"/>
        <v>-3354.1852542366832</v>
      </c>
      <c r="Y78" s="17"/>
      <c r="Z78" s="30">
        <f t="shared" si="19"/>
        <v>0.99660344298187753</v>
      </c>
      <c r="AA78" s="18">
        <f t="shared" si="11"/>
        <v>6.3689157901992752</v>
      </c>
    </row>
    <row r="79" spans="1:27" x14ac:dyDescent="0.15">
      <c r="A79" s="1">
        <v>42794</v>
      </c>
      <c r="B79">
        <f t="shared" si="5"/>
        <v>2</v>
      </c>
      <c r="C79" s="30">
        <v>0</v>
      </c>
      <c r="D79" s="20">
        <v>1838048.45</v>
      </c>
      <c r="E79" s="20">
        <v>1838048.45</v>
      </c>
      <c r="F79" s="4">
        <f t="shared" si="29"/>
        <v>5.7249465554449763E-3</v>
      </c>
      <c r="G79">
        <v>7472.93</v>
      </c>
      <c r="H79">
        <v>7899.57</v>
      </c>
      <c r="I79">
        <v>-426.64</v>
      </c>
      <c r="J79">
        <v>2810</v>
      </c>
      <c r="K79" s="30">
        <f>183.902777-4</f>
        <v>179.90277699999999</v>
      </c>
      <c r="L79" s="18">
        <f t="shared" si="31"/>
        <v>10462.832777</v>
      </c>
      <c r="M79" s="37">
        <f t="shared" si="30"/>
        <v>10462.829999999842</v>
      </c>
      <c r="N79" s="17" t="s">
        <v>1890</v>
      </c>
      <c r="O79" s="41">
        <f ca="1">SUMIFS(Stock!$O:$O,Stock!$A:$A,'Asset Line A share'!$A79,Stock!$I:$I,O$2)</f>
        <v>1251092</v>
      </c>
      <c r="P79" s="41">
        <f ca="1">SUMIFS(Stock!$O:$O,Stock!$A:$A,'Asset Line A share'!$A79,Stock!$I:$I,P$2)</f>
        <v>145500</v>
      </c>
      <c r="Q79" s="40">
        <f t="shared" ca="1" si="25"/>
        <v>6.314139967324545E-3</v>
      </c>
      <c r="R79" s="40">
        <f t="shared" ca="1" si="26"/>
        <v>-2.9322336769759447E-3</v>
      </c>
      <c r="S79" s="41">
        <f t="shared" ca="1" si="28"/>
        <v>1631580.4501999887</v>
      </c>
      <c r="T79" s="30">
        <v>869200</v>
      </c>
      <c r="U79" s="20">
        <f t="shared" si="8"/>
        <v>2574658.6194915255</v>
      </c>
      <c r="V79" s="20"/>
      <c r="W79" s="4">
        <f t="shared" si="9"/>
        <v>3.9476348917335535E-3</v>
      </c>
      <c r="X79" s="20">
        <f t="shared" si="10"/>
        <v>10123.846949152183</v>
      </c>
      <c r="Y79" s="17"/>
      <c r="Z79" s="30">
        <f t="shared" si="19"/>
        <v>1.0005376695066146</v>
      </c>
      <c r="AA79" s="18">
        <f t="shared" si="11"/>
        <v>7.3426651497307613</v>
      </c>
    </row>
    <row r="80" spans="1:27" x14ac:dyDescent="0.15">
      <c r="A80" s="1">
        <v>42795</v>
      </c>
      <c r="B80">
        <f t="shared" si="5"/>
        <v>3</v>
      </c>
      <c r="C80" s="30">
        <v>0</v>
      </c>
      <c r="D80" s="20">
        <v>1843085.66</v>
      </c>
      <c r="E80" s="20">
        <v>1843085.66</v>
      </c>
      <c r="F80" s="4">
        <f t="shared" si="29"/>
        <v>2.7405207953032917E-3</v>
      </c>
      <c r="G80">
        <v>-715.71</v>
      </c>
      <c r="H80">
        <v>0</v>
      </c>
      <c r="I80">
        <v>-715.71</v>
      </c>
      <c r="J80">
        <v>5728</v>
      </c>
      <c r="K80" s="30">
        <f>37.9166666-13</f>
        <v>24.916666599999999</v>
      </c>
      <c r="L80" s="18">
        <f t="shared" si="31"/>
        <v>5037.2066666000001</v>
      </c>
      <c r="M80" s="37">
        <f t="shared" si="30"/>
        <v>5037.2099999999627</v>
      </c>
      <c r="N80" s="17" t="s">
        <v>1911</v>
      </c>
      <c r="O80" s="41">
        <f ca="1">SUMIFS(Stock!$O:$O,Stock!$A:$A,'Asset Line A share'!$A80,Stock!$I:$I,O$2)</f>
        <v>0</v>
      </c>
      <c r="P80" s="41">
        <f ca="1">SUMIFS(Stock!$O:$O,Stock!$A:$A,'Asset Line A share'!$A80,Stock!$I:$I,P$2)</f>
        <v>943063</v>
      </c>
      <c r="Q80" s="40" t="str">
        <f t="shared" ca="1" si="25"/>
        <v/>
      </c>
      <c r="R80" s="40">
        <f t="shared" ca="1" si="26"/>
        <v>-7.589206659576296E-4</v>
      </c>
      <c r="S80" s="41">
        <f t="shared" ca="1" si="28"/>
        <v>688517.45019998855</v>
      </c>
      <c r="T80" s="30">
        <v>869700</v>
      </c>
      <c r="U80" s="20">
        <f t="shared" si="8"/>
        <v>2580119.5583050847</v>
      </c>
      <c r="V80" s="20"/>
      <c r="W80" s="4">
        <f t="shared" si="9"/>
        <v>2.1210341333088856E-3</v>
      </c>
      <c r="X80" s="20">
        <f t="shared" si="10"/>
        <v>5460.9388135592453</v>
      </c>
      <c r="Y80" s="17"/>
      <c r="Z80" s="30">
        <f t="shared" si="19"/>
        <v>1.0026598440552994</v>
      </c>
      <c r="AA80" s="18">
        <f t="shared" si="11"/>
        <v>8.8213652471459891</v>
      </c>
    </row>
    <row r="81" spans="1:27" ht="27" x14ac:dyDescent="0.15">
      <c r="A81" s="1">
        <v>42796</v>
      </c>
      <c r="B81">
        <f t="shared" si="5"/>
        <v>4</v>
      </c>
      <c r="C81" s="30">
        <v>0</v>
      </c>
      <c r="D81" s="20">
        <v>1843196.7</v>
      </c>
      <c r="E81" s="20">
        <v>1843196.7</v>
      </c>
      <c r="F81" s="4">
        <f t="shared" si="29"/>
        <v>6.0246792870088939E-5</v>
      </c>
      <c r="G81">
        <v>1775.5</v>
      </c>
      <c r="H81" s="30">
        <v>214.59</v>
      </c>
      <c r="I81" s="30">
        <v>1560.91</v>
      </c>
      <c r="J81">
        <v>-1754</v>
      </c>
      <c r="K81" s="30">
        <f>103.541666-14</f>
        <v>89.541666000000006</v>
      </c>
      <c r="L81" s="18">
        <f t="shared" si="31"/>
        <v>111.04166600000001</v>
      </c>
      <c r="M81" s="37">
        <f t="shared" si="30"/>
        <v>111.04000000003725</v>
      </c>
      <c r="N81" s="17" t="s">
        <v>1923</v>
      </c>
      <c r="O81" s="41">
        <f ca="1">SUMIFS(Stock!$O:$O,Stock!$A:$A,'Asset Line A share'!$A81,Stock!$I:$I,O$2)</f>
        <v>77510</v>
      </c>
      <c r="P81" s="41">
        <f ca="1">SUMIFS(Stock!$O:$O,Stock!$A:$A,'Asset Line A share'!$A81,Stock!$I:$I,P$2)</f>
        <v>144317</v>
      </c>
      <c r="Q81" s="40">
        <f t="shared" ca="1" si="25"/>
        <v>2.7685459940652818E-3</v>
      </c>
      <c r="R81" s="40">
        <f t="shared" ca="1" si="26"/>
        <v>1.0815842901390689E-2</v>
      </c>
      <c r="S81" s="41">
        <f t="shared" ca="1" si="28"/>
        <v>621710.45019998855</v>
      </c>
      <c r="T81" s="30">
        <v>869700</v>
      </c>
      <c r="U81" s="20">
        <f t="shared" si="8"/>
        <v>2580230.5983050847</v>
      </c>
      <c r="V81" s="20"/>
      <c r="W81" s="4">
        <f t="shared" si="9"/>
        <v>4.3036765347892469E-5</v>
      </c>
      <c r="X81" s="20">
        <f t="shared" si="10"/>
        <v>111.04000000003725</v>
      </c>
      <c r="Y81" s="17"/>
      <c r="Z81" s="30">
        <f t="shared" si="19"/>
        <v>1.0027029952917317</v>
      </c>
      <c r="AA81" s="18">
        <f t="shared" si="11"/>
        <v>8.4236895142113788</v>
      </c>
    </row>
    <row r="82" spans="1:27" x14ac:dyDescent="0.15">
      <c r="A82" s="1">
        <v>42797</v>
      </c>
      <c r="B82">
        <f t="shared" si="5"/>
        <v>5</v>
      </c>
      <c r="C82" s="30">
        <v>0</v>
      </c>
      <c r="D82" s="20">
        <v>1840099.52</v>
      </c>
      <c r="E82" s="20">
        <v>1840099.52</v>
      </c>
      <c r="F82" s="4">
        <f t="shared" si="29"/>
        <v>-1.6803306993767864E-3</v>
      </c>
      <c r="G82">
        <v>-1426.37</v>
      </c>
      <c r="H82" s="30">
        <v>-322.14999999999998</v>
      </c>
      <c r="I82">
        <v>-1104.22</v>
      </c>
      <c r="J82">
        <v>-1816</v>
      </c>
      <c r="K82" s="30">
        <f>157.3888888-13</f>
        <v>144.38888879999999</v>
      </c>
      <c r="L82" s="18">
        <f t="shared" ref="L82:L92" si="32">G82+J82+K82</f>
        <v>-3097.9811111999998</v>
      </c>
      <c r="M82" s="37">
        <f t="shared" si="30"/>
        <v>-3097.1799999999348</v>
      </c>
      <c r="N82" s="17" t="s">
        <v>1943</v>
      </c>
      <c r="O82" s="41">
        <f ca="1">SUMIFS(Stock!$O:$O,Stock!$A:$A,'Asset Line A share'!$A82,Stock!$I:$I,O$2)</f>
        <v>327910</v>
      </c>
      <c r="P82" s="41">
        <f ca="1">SUMIFS(Stock!$O:$O,Stock!$A:$A,'Asset Line A share'!$A82,Stock!$I:$I,P$2)</f>
        <v>410612</v>
      </c>
      <c r="Q82" s="40">
        <f t="shared" ca="1" si="25"/>
        <v>-9.8243420450733416E-4</v>
      </c>
      <c r="R82" s="40">
        <f t="shared" ca="1" si="26"/>
        <v>-2.6892053812358138E-3</v>
      </c>
      <c r="S82" s="41">
        <f t="shared" ca="1" si="28"/>
        <v>539008.45019998855</v>
      </c>
      <c r="T82" s="30">
        <v>869700</v>
      </c>
      <c r="U82" s="20">
        <f t="shared" si="8"/>
        <v>2577133.418305085</v>
      </c>
      <c r="V82" s="20"/>
      <c r="W82" s="4">
        <f t="shared" si="9"/>
        <v>-1.2003500780256582E-3</v>
      </c>
      <c r="X82" s="20">
        <f t="shared" si="10"/>
        <v>-3097.179999999702</v>
      </c>
      <c r="Y82" s="17"/>
      <c r="Z82" s="30">
        <f t="shared" si="19"/>
        <v>1.0014994006730966</v>
      </c>
      <c r="AA82" s="18">
        <f t="shared" si="11"/>
        <v>7.3949699368061843</v>
      </c>
    </row>
    <row r="83" spans="1:27" x14ac:dyDescent="0.15">
      <c r="A83" s="1">
        <v>42800</v>
      </c>
      <c r="B83">
        <f t="shared" si="5"/>
        <v>1</v>
      </c>
      <c r="C83" s="30">
        <v>0</v>
      </c>
      <c r="D83" s="20">
        <v>1838819.36</v>
      </c>
      <c r="E83" s="20">
        <v>1838819.36</v>
      </c>
      <c r="F83" s="4">
        <f t="shared" si="29"/>
        <v>-6.9570150205788828E-4</v>
      </c>
      <c r="G83">
        <v>-32.6</v>
      </c>
      <c r="H83" s="30">
        <v>0</v>
      </c>
      <c r="I83">
        <v>-32.6</v>
      </c>
      <c r="J83">
        <v>-1340</v>
      </c>
      <c r="K83" s="30">
        <f>104.4444-12</f>
        <v>92.444400000000002</v>
      </c>
      <c r="L83" s="18">
        <f t="shared" si="32"/>
        <v>-1280.1555999999998</v>
      </c>
      <c r="M83" s="37">
        <f t="shared" si="30"/>
        <v>-1280.1599999999162</v>
      </c>
      <c r="N83" s="17" t="s">
        <v>1946</v>
      </c>
      <c r="O83" s="41">
        <f ca="1">SUMIFS(Stock!$O:$O,Stock!$A:$A,'Asset Line A share'!$A83,Stock!$I:$I,O$2)</f>
        <v>0</v>
      </c>
      <c r="P83" s="41">
        <f ca="1">SUMIFS(Stock!$O:$O,Stock!$A:$A,'Asset Line A share'!$A83,Stock!$I:$I,P$2)</f>
        <v>75900</v>
      </c>
      <c r="Q83" s="40" t="str">
        <f t="shared" ca="1" si="25"/>
        <v/>
      </c>
      <c r="R83" s="40">
        <f t="shared" ca="1" si="26"/>
        <v>-4.2951251646903822E-4</v>
      </c>
      <c r="S83" s="41">
        <f t="shared" ca="1" si="28"/>
        <v>463108.45019998855</v>
      </c>
      <c r="T83" s="30">
        <v>869700</v>
      </c>
      <c r="U83" s="20">
        <f t="shared" si="8"/>
        <v>2575853.2583050849</v>
      </c>
      <c r="V83" s="20"/>
      <c r="W83" s="4">
        <f t="shared" si="9"/>
        <v>-4.9673796121973979E-4</v>
      </c>
      <c r="X83" s="20">
        <f t="shared" si="10"/>
        <v>-1280.160000000149</v>
      </c>
      <c r="Y83" s="17"/>
      <c r="Z83" s="30">
        <f t="shared" si="19"/>
        <v>1.0010019179026435</v>
      </c>
      <c r="AA83" s="18">
        <f t="shared" si="11"/>
        <v>6.6043958505120441</v>
      </c>
    </row>
    <row r="84" spans="1:27" x14ac:dyDescent="0.15">
      <c r="A84" s="1">
        <f>+A83+1</f>
        <v>42801</v>
      </c>
      <c r="B84" s="30">
        <f t="shared" si="5"/>
        <v>2</v>
      </c>
      <c r="C84" s="30">
        <v>0</v>
      </c>
      <c r="D84" s="20">
        <v>1840920.51</v>
      </c>
      <c r="E84" s="20">
        <v>1840920.51</v>
      </c>
      <c r="F84" s="4">
        <f t="shared" si="29"/>
        <v>1.1426625397286116E-3</v>
      </c>
      <c r="G84">
        <v>-1093.8599999999999</v>
      </c>
      <c r="H84">
        <v>0</v>
      </c>
      <c r="I84">
        <v>-1093.8599999999999</v>
      </c>
      <c r="J84">
        <v>3120</v>
      </c>
      <c r="K84" s="30">
        <f>93-18</f>
        <v>75</v>
      </c>
      <c r="L84" s="18">
        <f t="shared" si="32"/>
        <v>2101.1400000000003</v>
      </c>
      <c r="M84" s="37">
        <f t="shared" si="30"/>
        <v>2101.1499999999069</v>
      </c>
      <c r="N84" s="17" t="s">
        <v>1953</v>
      </c>
      <c r="O84" s="41">
        <f ca="1">SUMIFS(Stock!$O:$O,Stock!$A:$A,'Asset Line A share'!$A84,Stock!$I:$I,O$2)</f>
        <v>0</v>
      </c>
      <c r="P84" s="41">
        <f ca="1">SUMIFS(Stock!$O:$O,Stock!$A:$A,'Asset Line A share'!$A84,Stock!$I:$I,P$2)</f>
        <v>220437</v>
      </c>
      <c r="Q84" s="40" t="str">
        <f t="shared" ca="1" si="25"/>
        <v/>
      </c>
      <c r="R84" s="40">
        <f t="shared" ca="1" si="26"/>
        <v>-4.9622341077042416E-3</v>
      </c>
      <c r="S84" s="41">
        <f t="shared" ca="1" si="28"/>
        <v>242671.45019998855</v>
      </c>
      <c r="T84" s="30">
        <v>869700</v>
      </c>
      <c r="U84" s="20">
        <f t="shared" si="8"/>
        <v>2577954.4083050848</v>
      </c>
      <c r="V84" s="20"/>
      <c r="W84" s="4">
        <f t="shared" si="9"/>
        <v>8.1571028676630242E-4</v>
      </c>
      <c r="X84" s="20">
        <f t="shared" si="10"/>
        <v>2101.1499999999069</v>
      </c>
      <c r="Y84" s="17"/>
      <c r="Z84" s="30">
        <f t="shared" si="19"/>
        <v>1.0018184454641494</v>
      </c>
      <c r="AA84" s="18">
        <f t="shared" si="11"/>
        <v>7.1518416446569661</v>
      </c>
    </row>
    <row r="85" spans="1:27" x14ac:dyDescent="0.15">
      <c r="A85" s="1">
        <f t="shared" ref="A85:A87" si="33">+A84+1</f>
        <v>42802</v>
      </c>
      <c r="B85" s="30">
        <f t="shared" ref="B85:B193" si="34">WEEKDAY(A85,2)</f>
        <v>3</v>
      </c>
      <c r="C85" s="30">
        <v>0</v>
      </c>
      <c r="D85" s="20">
        <v>1840881.66</v>
      </c>
      <c r="E85" s="20">
        <v>1840881.66</v>
      </c>
      <c r="F85" s="4">
        <f t="shared" si="29"/>
        <v>-2.1103572799052728E-5</v>
      </c>
      <c r="G85">
        <v>-36.630000000000003</v>
      </c>
      <c r="H85">
        <v>0</v>
      </c>
      <c r="I85" s="30">
        <v>-36.630000000000003</v>
      </c>
      <c r="J85">
        <v>-124</v>
      </c>
      <c r="K85" s="30">
        <f>139.777777-18</f>
        <v>121.77777699999999</v>
      </c>
      <c r="L85" s="18">
        <f t="shared" si="32"/>
        <v>-38.852223000000009</v>
      </c>
      <c r="M85" s="37">
        <f t="shared" si="30"/>
        <v>-38.850000000093132</v>
      </c>
      <c r="N85" s="17" t="s">
        <v>1956</v>
      </c>
      <c r="O85" s="41">
        <f ca="1">SUMIFS(Stock!$O:$O,Stock!$A:$A,'Asset Line A share'!$A85,Stock!$I:$I,O$2)</f>
        <v>0</v>
      </c>
      <c r="P85" s="41">
        <f ca="1">SUMIFS(Stock!$O:$O,Stock!$A:$A,'Asset Line A share'!$A85,Stock!$I:$I,P$2)</f>
        <v>27083</v>
      </c>
      <c r="Q85" s="40" t="str">
        <f t="shared" ca="1" si="25"/>
        <v/>
      </c>
      <c r="R85" s="40">
        <f t="shared" ca="1" si="26"/>
        <v>-1.3525089539563565E-3</v>
      </c>
      <c r="S85" s="41">
        <f t="shared" ca="1" si="28"/>
        <v>215588.45019998855</v>
      </c>
      <c r="T85" s="30">
        <v>869700</v>
      </c>
      <c r="U85" s="20">
        <f t="shared" si="8"/>
        <v>2577915.5583050847</v>
      </c>
      <c r="V85" s="20"/>
      <c r="W85" s="4">
        <f t="shared" si="9"/>
        <v>-1.5070088080326727E-5</v>
      </c>
      <c r="X85" s="20">
        <f t="shared" si="10"/>
        <v>-38.850000000093132</v>
      </c>
      <c r="Y85" s="17"/>
      <c r="Z85" s="30">
        <f t="shared" si="19"/>
        <v>1.0018033479719357</v>
      </c>
      <c r="AA85" s="18">
        <f t="shared" si="11"/>
        <v>6.9171605457496108</v>
      </c>
    </row>
    <row r="86" spans="1:27" x14ac:dyDescent="0.15">
      <c r="A86" s="1">
        <f t="shared" si="33"/>
        <v>42803</v>
      </c>
      <c r="B86" s="30">
        <f t="shared" si="34"/>
        <v>4</v>
      </c>
      <c r="C86" s="30">
        <v>0</v>
      </c>
      <c r="D86" s="20">
        <v>1840917.66</v>
      </c>
      <c r="E86" s="20">
        <v>1840917.66</v>
      </c>
      <c r="F86" s="4">
        <f t="shared" si="29"/>
        <v>1.9555846952235001E-5</v>
      </c>
      <c r="G86">
        <v>0</v>
      </c>
      <c r="H86">
        <v>0</v>
      </c>
      <c r="I86">
        <v>0</v>
      </c>
      <c r="J86">
        <v>-86</v>
      </c>
      <c r="K86" s="30">
        <f>140-18</f>
        <v>122</v>
      </c>
      <c r="L86" s="18">
        <f t="shared" si="32"/>
        <v>36</v>
      </c>
      <c r="M86" s="37">
        <f t="shared" si="30"/>
        <v>36</v>
      </c>
      <c r="N86" s="17" t="s">
        <v>1957</v>
      </c>
      <c r="O86" s="41">
        <f ca="1">SUMIFS(Stock!$O:$O,Stock!$A:$A,'Asset Line A share'!$A86,Stock!$I:$I,O$2)</f>
        <v>0</v>
      </c>
      <c r="P86" s="41">
        <f ca="1">SUMIFS(Stock!$O:$O,Stock!$A:$A,'Asset Line A share'!$A86,Stock!$I:$I,P$2)</f>
        <v>0</v>
      </c>
      <c r="Q86" s="40" t="str">
        <f t="shared" ca="1" si="25"/>
        <v/>
      </c>
      <c r="R86" s="40" t="str">
        <f t="shared" ca="1" si="26"/>
        <v/>
      </c>
      <c r="S86" s="41">
        <f t="shared" ca="1" si="28"/>
        <v>215588.45019998855</v>
      </c>
      <c r="T86" s="30">
        <v>869700</v>
      </c>
      <c r="U86" s="20">
        <f t="shared" si="8"/>
        <v>2577951.5583050847</v>
      </c>
      <c r="V86" s="20"/>
      <c r="W86" s="4">
        <f t="shared" si="9"/>
        <v>1.3964770833485574E-5</v>
      </c>
      <c r="X86" s="20">
        <f t="shared" si="10"/>
        <v>36</v>
      </c>
      <c r="Y86" s="17"/>
      <c r="Z86" s="30">
        <f t="shared" si="19"/>
        <v>1.0018173379261104</v>
      </c>
      <c r="AA86" s="18">
        <f t="shared" si="11"/>
        <v>6.6967604216104855</v>
      </c>
    </row>
    <row r="87" spans="1:27" x14ac:dyDescent="0.15">
      <c r="A87" s="1">
        <f t="shared" si="33"/>
        <v>42804</v>
      </c>
      <c r="B87" s="30">
        <f t="shared" si="34"/>
        <v>5</v>
      </c>
      <c r="C87" s="30">
        <v>0</v>
      </c>
      <c r="D87" s="20">
        <v>1839104.99</v>
      </c>
      <c r="E87" s="20">
        <v>1839104.99</v>
      </c>
      <c r="F87" s="4">
        <f t="shared" si="29"/>
        <v>-9.8465566352379241E-4</v>
      </c>
      <c r="G87">
        <v>-1898.9</v>
      </c>
      <c r="H87" s="30">
        <v>-1899.9</v>
      </c>
      <c r="I87">
        <v>0</v>
      </c>
      <c r="J87">
        <v>-76</v>
      </c>
      <c r="K87" s="30">
        <f>176.25-14</f>
        <v>162.25</v>
      </c>
      <c r="L87" s="18">
        <f t="shared" si="32"/>
        <v>-1812.65</v>
      </c>
      <c r="M87" s="37">
        <f t="shared" si="30"/>
        <v>-1812.6699999999255</v>
      </c>
      <c r="N87" s="17" t="s">
        <v>1965</v>
      </c>
      <c r="O87" s="41">
        <f ca="1">SUMIFS(Stock!$O:$O,Stock!$A:$A,'Asset Line A share'!$A87,Stock!$I:$I,O$2)</f>
        <v>417681.99979999999</v>
      </c>
      <c r="P87" s="41">
        <f ca="1">SUMIFS(Stock!$O:$O,Stock!$A:$A,'Asset Line A share'!$A87,Stock!$I:$I,P$2)</f>
        <v>0</v>
      </c>
      <c r="Q87" s="40">
        <f t="shared" ca="1" si="25"/>
        <v>-4.5486757890206789E-3</v>
      </c>
      <c r="R87" s="40" t="str">
        <f t="shared" ca="1" si="26"/>
        <v/>
      </c>
      <c r="S87" s="41">
        <f t="shared" ca="1" si="28"/>
        <v>633270.44999998854</v>
      </c>
      <c r="T87" s="30">
        <v>869700</v>
      </c>
      <c r="U87" s="20">
        <f t="shared" si="8"/>
        <v>2576138.8883050848</v>
      </c>
      <c r="V87" s="20"/>
      <c r="W87" s="4">
        <f t="shared" si="9"/>
        <v>-7.0314354595235606E-4</v>
      </c>
      <c r="X87" s="20">
        <f t="shared" si="10"/>
        <v>-1812.6699999999255</v>
      </c>
      <c r="Y87" s="17"/>
      <c r="Z87" s="30">
        <f t="shared" si="19"/>
        <v>1.0011129165307244</v>
      </c>
      <c r="AA87" s="18">
        <f t="shared" si="11"/>
        <v>6.0457514979205387</v>
      </c>
    </row>
    <row r="88" spans="1:27" x14ac:dyDescent="0.15">
      <c r="A88" s="1">
        <v>42807</v>
      </c>
      <c r="B88" s="30">
        <f t="shared" si="34"/>
        <v>1</v>
      </c>
      <c r="C88" s="30">
        <v>0</v>
      </c>
      <c r="D88" s="20">
        <v>1841879.1</v>
      </c>
      <c r="E88" s="20">
        <v>1841879.1</v>
      </c>
      <c r="F88" s="4">
        <f t="shared" si="29"/>
        <v>1.5084021929603342E-3</v>
      </c>
      <c r="G88">
        <v>0</v>
      </c>
      <c r="H88">
        <v>0</v>
      </c>
      <c r="I88">
        <v>0</v>
      </c>
      <c r="J88">
        <v>2673</v>
      </c>
      <c r="K88" s="30">
        <f>115.1111-14</f>
        <v>101.11109999999999</v>
      </c>
      <c r="L88" s="18">
        <f t="shared" si="32"/>
        <v>2774.1111000000001</v>
      </c>
      <c r="M88" s="37">
        <f t="shared" si="30"/>
        <v>2774.1100000001024</v>
      </c>
      <c r="O88" s="41">
        <f ca="1">SUMIFS(Stock!$O:$O,Stock!$A:$A,'Asset Line A share'!$A88,Stock!$I:$I,O$2)</f>
        <v>0</v>
      </c>
      <c r="P88" s="41">
        <f ca="1">SUMIFS(Stock!$O:$O,Stock!$A:$A,'Asset Line A share'!$A88,Stock!$I:$I,P$2)</f>
        <v>0</v>
      </c>
      <c r="Q88" s="40" t="str">
        <f t="shared" ca="1" si="25"/>
        <v/>
      </c>
      <c r="R88" s="40" t="str">
        <f t="shared" ca="1" si="26"/>
        <v/>
      </c>
      <c r="S88" s="41">
        <f t="shared" ca="1" si="28"/>
        <v>633270.44999998854</v>
      </c>
      <c r="T88" s="30">
        <v>869700</v>
      </c>
      <c r="U88" s="20">
        <f t="shared" si="8"/>
        <v>2578912.9983050851</v>
      </c>
      <c r="V88" s="20"/>
      <c r="W88" s="4">
        <f t="shared" si="9"/>
        <v>1.0768479962761646E-3</v>
      </c>
      <c r="X88" s="20">
        <f t="shared" si="10"/>
        <v>2774.1100000003353</v>
      </c>
      <c r="Y88" s="17"/>
      <c r="Z88" s="30">
        <f t="shared" si="19"/>
        <v>1.0021909629689367</v>
      </c>
      <c r="AA88" s="18">
        <f t="shared" si="11"/>
        <v>6.6198022206904241</v>
      </c>
    </row>
    <row r="89" spans="1:27" x14ac:dyDescent="0.15">
      <c r="A89" s="1">
        <v>42808</v>
      </c>
      <c r="B89" s="30">
        <f t="shared" si="34"/>
        <v>2</v>
      </c>
      <c r="C89" s="30">
        <v>0</v>
      </c>
      <c r="D89" s="20">
        <v>1844103.13</v>
      </c>
      <c r="E89" s="20">
        <v>1844103.13</v>
      </c>
      <c r="F89" s="4">
        <f t="shared" si="29"/>
        <v>1.2074788187779184E-3</v>
      </c>
      <c r="G89">
        <v>0</v>
      </c>
      <c r="H89">
        <v>0</v>
      </c>
      <c r="I89">
        <v>0</v>
      </c>
      <c r="J89">
        <v>2127</v>
      </c>
      <c r="K89" s="30">
        <f>111.0278-14</f>
        <v>97.027799999999999</v>
      </c>
      <c r="L89" s="18">
        <f t="shared" si="32"/>
        <v>2224.0277999999998</v>
      </c>
      <c r="M89" s="37">
        <f t="shared" si="30"/>
        <v>2224.0299999997951</v>
      </c>
      <c r="N89" s="17" t="s">
        <v>1966</v>
      </c>
      <c r="O89" s="41">
        <f ca="1">SUMIFS(Stock!$O:$O,Stock!$A:$A,'Asset Line A share'!$A89,Stock!$I:$I,O$2)</f>
        <v>0</v>
      </c>
      <c r="P89" s="41">
        <f ca="1">SUMIFS(Stock!$O:$O,Stock!$A:$A,'Asset Line A share'!$A89,Stock!$I:$I,P$2)</f>
        <v>0</v>
      </c>
      <c r="Q89" s="40" t="str">
        <f t="shared" ca="1" si="25"/>
        <v/>
      </c>
      <c r="R89" s="40" t="str">
        <f t="shared" ca="1" si="26"/>
        <v/>
      </c>
      <c r="S89" s="41">
        <f t="shared" ca="1" si="28"/>
        <v>633270.44999998854</v>
      </c>
      <c r="T89" s="30">
        <v>869700</v>
      </c>
      <c r="U89" s="20">
        <f t="shared" ref="U89:U152" si="35">T89/1.18+E89</f>
        <v>2581137.0283050844</v>
      </c>
      <c r="V89" s="20"/>
      <c r="W89" s="4">
        <f t="shared" si="9"/>
        <v>8.6239047283132031E-4</v>
      </c>
      <c r="X89" s="20">
        <f t="shared" si="10"/>
        <v>2224.0299999993294</v>
      </c>
      <c r="Y89" s="17"/>
      <c r="Z89" s="30">
        <f t="shared" si="19"/>
        <v>1.0030552429073587</v>
      </c>
      <c r="AA89" s="18">
        <f t="shared" si="11"/>
        <v>7.3178984658847765</v>
      </c>
    </row>
    <row r="90" spans="1:27" x14ac:dyDescent="0.15">
      <c r="A90" s="1">
        <v>42809</v>
      </c>
      <c r="B90" s="30">
        <f t="shared" si="34"/>
        <v>3</v>
      </c>
      <c r="C90" s="30">
        <v>0</v>
      </c>
      <c r="D90" s="20">
        <v>1835661.38</v>
      </c>
      <c r="E90" s="20">
        <v>1835661.38</v>
      </c>
      <c r="F90" s="4">
        <f t="shared" si="29"/>
        <v>-4.5776995129334086E-3</v>
      </c>
      <c r="G90">
        <v>0</v>
      </c>
      <c r="H90">
        <v>0</v>
      </c>
      <c r="I90">
        <v>0</v>
      </c>
      <c r="J90">
        <v>-8538</v>
      </c>
      <c r="K90" s="30">
        <f>110.25-14</f>
        <v>96.25</v>
      </c>
      <c r="L90" s="18">
        <f t="shared" si="32"/>
        <v>-8441.75</v>
      </c>
      <c r="M90" s="37">
        <f t="shared" si="30"/>
        <v>-8441.75</v>
      </c>
      <c r="N90" s="17" t="s">
        <v>1967</v>
      </c>
      <c r="O90" s="41">
        <f ca="1">SUMIFS(Stock!$O:$O,Stock!$A:$A,'Asset Line A share'!$A90,Stock!$I:$I,O$2)</f>
        <v>0</v>
      </c>
      <c r="P90" s="41">
        <f ca="1">SUMIFS(Stock!$O:$O,Stock!$A:$A,'Asset Line A share'!$A90,Stock!$I:$I,P$2)</f>
        <v>0</v>
      </c>
      <c r="Q90" s="40" t="str">
        <f t="shared" ca="1" si="25"/>
        <v/>
      </c>
      <c r="R90" s="40" t="str">
        <f t="shared" ca="1" si="26"/>
        <v/>
      </c>
      <c r="S90" s="41">
        <f t="shared" ca="1" si="28"/>
        <v>633270.44999998854</v>
      </c>
      <c r="T90" s="30">
        <v>869700</v>
      </c>
      <c r="U90" s="20">
        <f t="shared" si="35"/>
        <v>2572695.2783050844</v>
      </c>
      <c r="V90" s="20"/>
      <c r="W90" s="4">
        <f t="shared" ref="W90:W92" si="36">U90/U89-1</f>
        <v>-3.2705547622721154E-3</v>
      </c>
      <c r="X90" s="20">
        <f t="shared" ref="X90:X153" si="37">(U90-V90)-(U89)</f>
        <v>-8441.75</v>
      </c>
      <c r="Y90" s="39"/>
      <c r="Z90" s="30">
        <f t="shared" si="19"/>
        <v>0.99977469580584599</v>
      </c>
      <c r="AA90" s="18">
        <f t="shared" si="11"/>
        <v>4.823591148348461</v>
      </c>
    </row>
    <row r="91" spans="1:27" x14ac:dyDescent="0.15">
      <c r="A91" s="1">
        <v>42810</v>
      </c>
      <c r="B91" s="30">
        <f t="shared" si="34"/>
        <v>4</v>
      </c>
      <c r="C91" s="30">
        <v>0</v>
      </c>
      <c r="D91" s="20">
        <v>1843870.21</v>
      </c>
      <c r="E91" s="20">
        <v>1843870.21</v>
      </c>
      <c r="F91" s="4">
        <f t="shared" si="29"/>
        <v>4.4718650669657301E-3</v>
      </c>
      <c r="G91">
        <v>223.93</v>
      </c>
      <c r="H91">
        <v>779.95</v>
      </c>
      <c r="I91">
        <v>-556.02</v>
      </c>
      <c r="J91">
        <v>7872</v>
      </c>
      <c r="K91" s="30">
        <f>113.36-10</f>
        <v>103.36</v>
      </c>
      <c r="L91" s="18">
        <f t="shared" si="32"/>
        <v>8199.2900000000009</v>
      </c>
      <c r="M91" s="37">
        <f t="shared" si="30"/>
        <v>8208.8300000000745</v>
      </c>
      <c r="N91" s="52"/>
      <c r="O91" s="41">
        <f ca="1">SUMIFS(Stock!$O:$O,Stock!$A:$A,'Asset Line A share'!$A91,Stock!$I:$I,O$2)</f>
        <v>510105</v>
      </c>
      <c r="P91" s="41">
        <f ca="1">SUMIFS(Stock!$O:$O,Stock!$A:$A,'Asset Line A share'!$A91,Stock!$I:$I,P$2)</f>
        <v>218045</v>
      </c>
      <c r="Q91" s="40">
        <f t="shared" ca="1" si="25"/>
        <v>1.5289989315925153E-3</v>
      </c>
      <c r="R91" s="40">
        <f t="shared" ca="1" si="26"/>
        <v>-2.5500240775986607E-3</v>
      </c>
      <c r="S91" s="41">
        <f t="shared" ca="1" si="28"/>
        <v>925330.44999998854</v>
      </c>
      <c r="T91">
        <v>877000</v>
      </c>
      <c r="U91" s="20">
        <f t="shared" si="35"/>
        <v>2587090.548983051</v>
      </c>
      <c r="V91" s="20"/>
      <c r="W91" s="4">
        <f t="shared" si="36"/>
        <v>5.595404476915089E-3</v>
      </c>
      <c r="X91" s="20">
        <f t="shared" si="37"/>
        <v>14395.270677966531</v>
      </c>
      <c r="Y91" s="39"/>
      <c r="Z91" s="30">
        <f t="shared" si="19"/>
        <v>1.0053688396146645</v>
      </c>
      <c r="AA91" s="18">
        <f t="shared" ref="AA91:AA154" si="38">AVERAGE(W72:W91)/STDEV(W72:W91)*SQRT(252)</f>
        <v>5.7312334782119185</v>
      </c>
    </row>
    <row r="92" spans="1:27" ht="27" x14ac:dyDescent="0.15">
      <c r="A92" s="1">
        <v>42811</v>
      </c>
      <c r="B92" s="30">
        <f t="shared" si="34"/>
        <v>5</v>
      </c>
      <c r="C92" s="30">
        <v>0</v>
      </c>
      <c r="D92" s="20">
        <v>1836966.88</v>
      </c>
      <c r="E92" s="20">
        <v>1836966.88</v>
      </c>
      <c r="F92" s="4">
        <f t="shared" si="29"/>
        <v>-3.7439348835730524E-3</v>
      </c>
      <c r="G92">
        <v>678.89000000000976</v>
      </c>
      <c r="H92">
        <v>0</v>
      </c>
      <c r="I92" s="30">
        <v>678.89000000000976</v>
      </c>
      <c r="J92">
        <v>-7720</v>
      </c>
      <c r="K92" s="30">
        <f>262.777777-125</f>
        <v>137.77777700000001</v>
      </c>
      <c r="L92" s="18">
        <f t="shared" si="32"/>
        <v>-6903.3322229999903</v>
      </c>
      <c r="M92" s="37">
        <f t="shared" si="30"/>
        <v>-6903.3300000000745</v>
      </c>
      <c r="N92" s="17" t="s">
        <v>1989</v>
      </c>
      <c r="O92" s="41">
        <f ca="1">SUMIFS(Stock!$O:$O,Stock!$A:$A,'Asset Line A share'!$A92,Stock!$I:$I,O$2)</f>
        <v>0</v>
      </c>
      <c r="P92" s="41">
        <f ca="1">SUMIFS(Stock!$O:$O,Stock!$A:$A,'Asset Line A share'!$A92,Stock!$I:$I,P$2)</f>
        <v>33700</v>
      </c>
      <c r="Q92" s="40" t="str">
        <f t="shared" ca="1" si="25"/>
        <v/>
      </c>
      <c r="R92" s="40">
        <f t="shared" ca="1" si="26"/>
        <v>2.0145103857567057E-2</v>
      </c>
      <c r="S92" s="41">
        <f t="shared" ca="1" si="28"/>
        <v>891630.44999998854</v>
      </c>
      <c r="T92">
        <v>867600</v>
      </c>
      <c r="U92" s="20">
        <f t="shared" si="35"/>
        <v>2572221.1172881355</v>
      </c>
      <c r="V92" s="20"/>
      <c r="W92" s="4">
        <f t="shared" si="36"/>
        <v>-5.7475497719863267E-3</v>
      </c>
      <c r="X92" s="20">
        <f t="shared" si="37"/>
        <v>-14869.431694915518</v>
      </c>
      <c r="Y92" s="17" t="s">
        <v>1991</v>
      </c>
      <c r="Z92" s="30">
        <f t="shared" si="19"/>
        <v>0.99959043216977506</v>
      </c>
      <c r="AA92" s="18">
        <f t="shared" si="38"/>
        <v>1.9682090176975167</v>
      </c>
    </row>
    <row r="93" spans="1:27" s="30" customFormat="1" x14ac:dyDescent="0.15">
      <c r="A93" s="1">
        <v>42814</v>
      </c>
      <c r="B93" s="30">
        <f t="shared" si="34"/>
        <v>1</v>
      </c>
      <c r="C93" s="30">
        <v>0</v>
      </c>
      <c r="D93" s="20">
        <v>1836958.13</v>
      </c>
      <c r="E93" s="20">
        <v>1836958.13</v>
      </c>
      <c r="F93" s="4">
        <f t="shared" si="29"/>
        <v>-4.7632867501423704E-6</v>
      </c>
      <c r="G93" s="30">
        <v>-258.68</v>
      </c>
      <c r="H93" s="30">
        <v>0</v>
      </c>
      <c r="I93" s="30">
        <v>-258.68</v>
      </c>
      <c r="J93" s="30">
        <v>127</v>
      </c>
      <c r="K93" s="30">
        <f>124.9306-7</f>
        <v>117.9306</v>
      </c>
      <c r="L93" s="18">
        <f t="shared" ref="L93:L101" si="39">G93+J93+K93</f>
        <v>-13.749400000000009</v>
      </c>
      <c r="M93" s="37">
        <f t="shared" si="30"/>
        <v>-8.75</v>
      </c>
      <c r="N93" s="17" t="s">
        <v>1998</v>
      </c>
      <c r="O93" s="41">
        <f ca="1">SUMIFS(Stock!$O:$O,Stock!$A:$A,'Asset Line A share'!$A93,Stock!$I:$I,O$2)</f>
        <v>0</v>
      </c>
      <c r="P93" s="41">
        <f ca="1">SUMIFS(Stock!$O:$O,Stock!$A:$A,'Asset Line A share'!$A93,Stock!$I:$I,P$2)</f>
        <v>323512</v>
      </c>
      <c r="Q93" s="40" t="str">
        <f t="shared" ca="1" si="25"/>
        <v/>
      </c>
      <c r="R93" s="40">
        <f t="shared" ca="1" si="26"/>
        <v>-7.9959939662207276E-4</v>
      </c>
      <c r="S93" s="41">
        <f t="shared" ca="1" si="28"/>
        <v>568118.44999998854</v>
      </c>
      <c r="T93" s="30">
        <v>867600</v>
      </c>
      <c r="U93" s="20">
        <f t="shared" si="35"/>
        <v>2572212.3672881355</v>
      </c>
      <c r="V93" s="20"/>
      <c r="W93" s="4">
        <f t="shared" ref="W93:W98" si="40">U93/U92-1</f>
        <v>-3.4017293230048651E-6</v>
      </c>
      <c r="X93" s="20">
        <f t="shared" si="37"/>
        <v>-8.75</v>
      </c>
      <c r="Y93" s="17"/>
      <c r="Z93" s="30">
        <f t="shared" si="19"/>
        <v>0.99958703183369091</v>
      </c>
      <c r="AA93" s="18">
        <f t="shared" si="38"/>
        <v>1.7735031123880307</v>
      </c>
    </row>
    <row r="94" spans="1:27" s="30" customFormat="1" x14ac:dyDescent="0.15">
      <c r="A94" s="1">
        <f>A93+1</f>
        <v>42815</v>
      </c>
      <c r="B94" s="30">
        <f t="shared" si="34"/>
        <v>2</v>
      </c>
      <c r="C94" s="30">
        <v>0</v>
      </c>
      <c r="D94" s="20">
        <v>1842302.1</v>
      </c>
      <c r="E94" s="20">
        <v>1842302.1</v>
      </c>
      <c r="F94" s="4">
        <f t="shared" si="29"/>
        <v>2.9091408849912792E-3</v>
      </c>
      <c r="G94" s="30">
        <v>-3936.2</v>
      </c>
      <c r="H94" s="30">
        <v>262.92</v>
      </c>
      <c r="I94" s="30">
        <v>-4199.12</v>
      </c>
      <c r="J94" s="30">
        <v>9089</v>
      </c>
      <c r="K94" s="30">
        <f>124.77777-10+76.38</f>
        <v>191.15777</v>
      </c>
      <c r="L94" s="18">
        <f t="shared" si="39"/>
        <v>5343.95777</v>
      </c>
      <c r="M94" s="37">
        <f t="shared" si="30"/>
        <v>5343.9700000002049</v>
      </c>
      <c r="N94" s="17" t="s">
        <v>2014</v>
      </c>
      <c r="O94" s="41">
        <f ca="1">SUMIFS(Stock!$O:$O,Stock!$A:$A,'Asset Line A share'!$A94,Stock!$I:$I,O$2)</f>
        <v>32180</v>
      </c>
      <c r="P94" s="41">
        <f ca="1">SUMIFS(Stock!$O:$O,Stock!$A:$A,'Asset Line A share'!$A94,Stock!$I:$I,P$2)</f>
        <v>187321</v>
      </c>
      <c r="Q94" s="40">
        <f t="shared" ca="1" si="25"/>
        <v>8.1702921068986956E-3</v>
      </c>
      <c r="R94" s="40">
        <f t="shared" ca="1" si="26"/>
        <v>-2.241670714975897E-2</v>
      </c>
      <c r="S94" s="41">
        <f t="shared" ca="1" si="28"/>
        <v>412977.44999998854</v>
      </c>
      <c r="T94" s="30">
        <v>867600</v>
      </c>
      <c r="U94" s="20">
        <f t="shared" si="35"/>
        <v>2577556.3372881357</v>
      </c>
      <c r="V94" s="20"/>
      <c r="W94" s="4">
        <f t="shared" si="40"/>
        <v>2.0775772902585921E-3</v>
      </c>
      <c r="X94" s="20">
        <f t="shared" si="37"/>
        <v>5343.9700000002049</v>
      </c>
      <c r="Y94" s="17"/>
      <c r="Z94" s="30">
        <f t="shared" si="19"/>
        <v>1.0016637511506656</v>
      </c>
      <c r="AA94" s="18">
        <f t="shared" si="38"/>
        <v>2.3507210594290302</v>
      </c>
    </row>
    <row r="95" spans="1:27" s="30" customFormat="1" x14ac:dyDescent="0.15">
      <c r="A95" s="1">
        <f t="shared" ref="A95:A102" si="41">A94+1</f>
        <v>42816</v>
      </c>
      <c r="B95" s="30">
        <f t="shared" si="34"/>
        <v>3</v>
      </c>
      <c r="C95" s="30">
        <v>0</v>
      </c>
      <c r="D95" s="20">
        <v>1842005.93</v>
      </c>
      <c r="E95" s="20">
        <v>1842005.93</v>
      </c>
      <c r="F95" s="4">
        <f t="shared" si="29"/>
        <v>-1.6076082201732511E-4</v>
      </c>
      <c r="G95" s="30">
        <v>-661.02</v>
      </c>
      <c r="H95" s="30">
        <v>0</v>
      </c>
      <c r="I95" s="30">
        <v>-669.71</v>
      </c>
      <c r="J95" s="30">
        <v>230</v>
      </c>
      <c r="K95" s="30">
        <f>144.833333-10</f>
        <v>134.83333300000001</v>
      </c>
      <c r="L95" s="18">
        <f t="shared" si="39"/>
        <v>-296.18666699999994</v>
      </c>
      <c r="M95" s="37">
        <f t="shared" si="30"/>
        <v>-296.17000000015832</v>
      </c>
      <c r="N95" s="17" t="s">
        <v>2015</v>
      </c>
      <c r="O95" s="41">
        <f ca="1">SUMIFS(Stock!$O:$O,Stock!$A:$A,'Asset Line A share'!$A95,Stock!$I:$I,O$2)</f>
        <v>0</v>
      </c>
      <c r="P95" s="41">
        <f ca="1">SUMIFS(Stock!$O:$O,Stock!$A:$A,'Asset Line A share'!$A95,Stock!$I:$I,P$2)</f>
        <v>75043</v>
      </c>
      <c r="Q95" s="40" t="str">
        <f t="shared" ca="1" si="25"/>
        <v/>
      </c>
      <c r="R95" s="40">
        <f t="shared" ca="1" si="26"/>
        <v>-8.9243500393107952E-3</v>
      </c>
      <c r="S95" s="41">
        <f t="shared" ca="1" si="28"/>
        <v>337934.44999998854</v>
      </c>
      <c r="T95" s="30">
        <v>867600</v>
      </c>
      <c r="U95" s="20">
        <f t="shared" si="35"/>
        <v>2577260.1672881357</v>
      </c>
      <c r="V95" s="20"/>
      <c r="W95" s="4">
        <f t="shared" si="40"/>
        <v>-1.1490340510322827E-4</v>
      </c>
      <c r="X95" s="20">
        <f t="shared" si="37"/>
        <v>-296.16999999992549</v>
      </c>
      <c r="Y95" s="17"/>
      <c r="Z95" s="30">
        <f t="shared" si="19"/>
        <v>1.0015486565748899</v>
      </c>
      <c r="AA95" s="18">
        <f t="shared" si="38"/>
        <v>2.2567197727891641</v>
      </c>
    </row>
    <row r="96" spans="1:27" s="30" customFormat="1" x14ac:dyDescent="0.15">
      <c r="A96" s="1">
        <f t="shared" si="41"/>
        <v>42817</v>
      </c>
      <c r="B96" s="30">
        <f t="shared" si="34"/>
        <v>4</v>
      </c>
      <c r="C96" s="30">
        <v>0</v>
      </c>
      <c r="D96" s="20">
        <v>1845814.03</v>
      </c>
      <c r="E96" s="20">
        <v>1845814.03</v>
      </c>
      <c r="F96" s="4">
        <f t="shared" si="29"/>
        <v>2.0673657657552802E-3</v>
      </c>
      <c r="G96" s="30">
        <v>3631.85</v>
      </c>
      <c r="H96" s="30">
        <v>3490.82</v>
      </c>
      <c r="I96" s="30">
        <v>141.03</v>
      </c>
      <c r="J96" s="30">
        <v>73</v>
      </c>
      <c r="K96" s="30">
        <f>108.26388888-5</f>
        <v>103.26388888</v>
      </c>
      <c r="L96" s="18">
        <f t="shared" si="39"/>
        <v>3808.1138888800001</v>
      </c>
      <c r="M96" s="37">
        <f t="shared" si="30"/>
        <v>3808.1000000000931</v>
      </c>
      <c r="N96" s="17" t="s">
        <v>2039</v>
      </c>
      <c r="O96" s="41">
        <f ca="1">SUMIFS(Stock!$O:$O,Stock!$A:$A,'Asset Line A share'!$A96,Stock!$I:$I,O$2)</f>
        <v>623647</v>
      </c>
      <c r="P96" s="41">
        <f ca="1">SUMIFS(Stock!$O:$O,Stock!$A:$A,'Asset Line A share'!$A96,Stock!$I:$I,P$2)</f>
        <v>48178</v>
      </c>
      <c r="Q96" s="40">
        <f t="shared" ca="1" si="25"/>
        <v>5.5974293149810709E-3</v>
      </c>
      <c r="R96" s="40">
        <f t="shared" ca="1" si="26"/>
        <v>2.9272697081655528E-3</v>
      </c>
      <c r="S96" s="41">
        <f t="shared" ca="1" si="28"/>
        <v>913403.44999998854</v>
      </c>
      <c r="T96" s="30">
        <v>867600</v>
      </c>
      <c r="U96" s="20">
        <f t="shared" si="35"/>
        <v>2581068.2672881358</v>
      </c>
      <c r="V96" s="20"/>
      <c r="W96" s="4">
        <f t="shared" si="40"/>
        <v>1.4775768656709598E-3</v>
      </c>
      <c r="X96" s="20">
        <f t="shared" si="37"/>
        <v>3808.1000000000931</v>
      </c>
      <c r="Y96" s="17"/>
      <c r="Z96" s="30">
        <f t="shared" si="19"/>
        <v>1.0030285216996888</v>
      </c>
      <c r="AA96" s="18">
        <f t="shared" si="38"/>
        <v>1.9181791439986751</v>
      </c>
    </row>
    <row r="97" spans="1:27" s="30" customFormat="1" x14ac:dyDescent="0.15">
      <c r="A97" s="1">
        <f t="shared" si="41"/>
        <v>42818</v>
      </c>
      <c r="B97" s="30">
        <f t="shared" si="34"/>
        <v>5</v>
      </c>
      <c r="C97" s="30">
        <v>0</v>
      </c>
      <c r="D97" s="20">
        <v>1846437.35</v>
      </c>
      <c r="E97" s="20">
        <v>1846437.35</v>
      </c>
      <c r="F97" s="4">
        <f t="shared" si="29"/>
        <v>3.3769382498416434E-4</v>
      </c>
      <c r="G97" s="30">
        <v>-1367.56</v>
      </c>
      <c r="H97" s="30">
        <v>0</v>
      </c>
      <c r="I97" s="30">
        <v>-1367.56</v>
      </c>
      <c r="J97" s="30">
        <v>1904</v>
      </c>
      <c r="K97" s="30">
        <f>96.875-10</f>
        <v>86.875</v>
      </c>
      <c r="L97" s="18">
        <f t="shared" si="39"/>
        <v>623.31500000000005</v>
      </c>
      <c r="M97" s="37">
        <f t="shared" si="30"/>
        <v>623.32000000006519</v>
      </c>
      <c r="N97" s="17"/>
      <c r="O97" s="41">
        <f ca="1">SUMIFS(Stock!$O:$O,Stock!$A:$A,'Asset Line A share'!$A97,Stock!$I:$I,O$2)</f>
        <v>0</v>
      </c>
      <c r="P97" s="41">
        <f ca="1">SUMIFS(Stock!$O:$O,Stock!$A:$A,'Asset Line A share'!$A97,Stock!$I:$I,P$2)</f>
        <v>551778</v>
      </c>
      <c r="Q97" s="40" t="str">
        <f t="shared" ca="1" si="25"/>
        <v/>
      </c>
      <c r="R97" s="40">
        <f t="shared" ca="1" si="26"/>
        <v>-2.4784605402897539E-3</v>
      </c>
      <c r="S97" s="41">
        <f t="shared" ca="1" si="28"/>
        <v>361625.44999998854</v>
      </c>
      <c r="T97" s="30">
        <v>867600</v>
      </c>
      <c r="U97" s="20">
        <f t="shared" si="35"/>
        <v>2581691.5872881357</v>
      </c>
      <c r="V97" s="20"/>
      <c r="W97" s="4">
        <f t="shared" si="40"/>
        <v>2.4149690571917404E-4</v>
      </c>
      <c r="X97" s="20">
        <f t="shared" si="37"/>
        <v>623.31999999983236</v>
      </c>
      <c r="Y97" s="17"/>
      <c r="Z97" s="30">
        <f t="shared" si="19"/>
        <v>1.0032707499840274</v>
      </c>
      <c r="AA97" s="18">
        <f t="shared" si="38"/>
        <v>1.8137274466731903</v>
      </c>
    </row>
    <row r="98" spans="1:27" s="30" customFormat="1" x14ac:dyDescent="0.15">
      <c r="A98" s="1">
        <v>42821</v>
      </c>
      <c r="B98" s="30">
        <f>WEEKDAY(A98,2)</f>
        <v>1</v>
      </c>
      <c r="C98" s="30">
        <v>0</v>
      </c>
      <c r="D98" s="20">
        <v>1842433.64</v>
      </c>
      <c r="E98" s="20">
        <v>1842433.64</v>
      </c>
      <c r="F98" s="4">
        <f t="shared" si="29"/>
        <v>-2.1683432692694016E-3</v>
      </c>
      <c r="G98" s="30">
        <v>-2645.54</v>
      </c>
      <c r="H98" s="30">
        <v>-2645.54</v>
      </c>
      <c r="I98" s="30">
        <v>0</v>
      </c>
      <c r="J98" s="30">
        <v>-1472</v>
      </c>
      <c r="K98" s="30">
        <f>121.833333-8</f>
        <v>113.833333</v>
      </c>
      <c r="L98" s="18">
        <f t="shared" si="39"/>
        <v>-4003.7066669999999</v>
      </c>
      <c r="M98" s="37">
        <f t="shared" si="30"/>
        <v>-4003.7100000001956</v>
      </c>
      <c r="N98" s="17" t="s">
        <v>2075</v>
      </c>
      <c r="O98" s="41">
        <f ca="1">SUMIFS(Stock!$O:$O,Stock!$A:$A,'Asset Line A share'!$A98,Stock!$I:$I,O$2)</f>
        <v>267077</v>
      </c>
      <c r="P98" s="41">
        <f ca="1">SUMIFS(Stock!$O:$O,Stock!$A:$A,'Asset Line A share'!$A98,Stock!$I:$I,P$2)</f>
        <v>0</v>
      </c>
      <c r="Q98" s="40">
        <f t="shared" ca="1" si="25"/>
        <v>-9.9055328613096589E-3</v>
      </c>
      <c r="R98" s="40" t="str">
        <f t="shared" ca="1" si="26"/>
        <v/>
      </c>
      <c r="S98" s="41">
        <f t="shared" ca="1" si="28"/>
        <v>628702.44999998854</v>
      </c>
      <c r="T98" s="30">
        <v>867600</v>
      </c>
      <c r="U98" s="20">
        <f t="shared" si="35"/>
        <v>2577687.8772881357</v>
      </c>
      <c r="V98" s="20"/>
      <c r="W98" s="4">
        <f t="shared" si="40"/>
        <v>-1.5508087874297471E-3</v>
      </c>
      <c r="X98" s="20">
        <f t="shared" si="37"/>
        <v>-4003.7099999999627</v>
      </c>
      <c r="Y98" s="17"/>
      <c r="Z98" s="30">
        <f t="shared" si="19"/>
        <v>1.0017148688887809</v>
      </c>
      <c r="AA98" s="18">
        <f t="shared" si="38"/>
        <v>1.7251106408584114</v>
      </c>
    </row>
    <row r="99" spans="1:27" s="30" customFormat="1" ht="27" x14ac:dyDescent="0.15">
      <c r="A99" s="1">
        <v>42822</v>
      </c>
      <c r="B99" s="30">
        <f t="shared" si="34"/>
        <v>2</v>
      </c>
      <c r="C99" s="30">
        <v>0</v>
      </c>
      <c r="D99" s="20">
        <v>1845753.28</v>
      </c>
      <c r="E99" s="20">
        <v>1845753.28</v>
      </c>
      <c r="F99" s="4">
        <f t="shared" si="29"/>
        <v>1.8017690992659929E-3</v>
      </c>
      <c r="G99" s="30">
        <v>-83.89</v>
      </c>
      <c r="H99" s="30">
        <v>1311.7</v>
      </c>
      <c r="I99" s="30">
        <v>-1395.59</v>
      </c>
      <c r="J99" s="30">
        <v>3293</v>
      </c>
      <c r="K99" s="30">
        <f>112.555555-2</f>
        <v>110.555555</v>
      </c>
      <c r="L99" s="18">
        <f t="shared" si="39"/>
        <v>3319.665555</v>
      </c>
      <c r="M99" s="37">
        <f t="shared" si="30"/>
        <v>3319.6400000001304</v>
      </c>
      <c r="N99" s="17" t="s">
        <v>2102</v>
      </c>
      <c r="O99" s="41">
        <f ca="1">SUMIFS(Stock!$O:$O,Stock!$A:$A,'Asset Line A share'!$A99,Stock!$I:$I,O$2)</f>
        <v>562654</v>
      </c>
      <c r="P99" s="41">
        <f ca="1">SUMIFS(Stock!$O:$O,Stock!$A:$A,'Asset Line A share'!$A99,Stock!$I:$I,P$2)</f>
        <v>81126</v>
      </c>
      <c r="Q99" s="40">
        <f t="shared" ca="1" si="25"/>
        <v>2.331272860407995E-3</v>
      </c>
      <c r="R99" s="40">
        <f t="shared" ca="1" si="26"/>
        <v>-1.7202746345191429E-2</v>
      </c>
      <c r="S99" s="41">
        <f t="shared" ca="1" si="28"/>
        <v>1110230.4499999885</v>
      </c>
      <c r="T99" s="30">
        <v>867600</v>
      </c>
      <c r="U99" s="20">
        <f t="shared" si="35"/>
        <v>2581007.5172881358</v>
      </c>
      <c r="V99" s="20"/>
      <c r="W99" s="4">
        <f>U99/U98-1</f>
        <v>1.2878362928456788E-3</v>
      </c>
      <c r="X99" s="20">
        <f t="shared" si="37"/>
        <v>3319.6400000001304</v>
      </c>
      <c r="Y99" s="17"/>
      <c r="Z99" s="30">
        <f t="shared" si="19"/>
        <v>1.0030049136520189</v>
      </c>
      <c r="AA99" s="18">
        <f t="shared" si="38"/>
        <v>0.8929194423280078</v>
      </c>
    </row>
    <row r="100" spans="1:27" s="30" customFormat="1" ht="27" x14ac:dyDescent="0.15">
      <c r="A100" s="1">
        <f t="shared" si="41"/>
        <v>42823</v>
      </c>
      <c r="B100" s="30">
        <f t="shared" si="34"/>
        <v>3</v>
      </c>
      <c r="C100" s="30">
        <v>0</v>
      </c>
      <c r="D100" s="20">
        <v>1849248.93</v>
      </c>
      <c r="E100" s="20">
        <v>1849248.93</v>
      </c>
      <c r="F100" s="4">
        <f t="shared" si="29"/>
        <v>1.8938880065271224E-3</v>
      </c>
      <c r="G100" s="30">
        <v>1125.6099999999999</v>
      </c>
      <c r="H100" s="30">
        <v>-233.27</v>
      </c>
      <c r="I100" s="30">
        <v>1358.88</v>
      </c>
      <c r="J100" s="30">
        <v>2341</v>
      </c>
      <c r="K100" s="30">
        <f>35.63888888-6</f>
        <v>29.638888880000003</v>
      </c>
      <c r="L100" s="18">
        <f t="shared" si="39"/>
        <v>3496.2488888799999</v>
      </c>
      <c r="M100" s="37">
        <f t="shared" si="30"/>
        <v>3495.6499999999069</v>
      </c>
      <c r="N100" s="17" t="s">
        <v>2130</v>
      </c>
      <c r="O100" s="41">
        <f ca="1">SUMIFS(Stock!$O:$O,Stock!$A:$A,'Asset Line A share'!$A100,Stock!$I:$I,O$2)</f>
        <v>186712</v>
      </c>
      <c r="P100" s="41">
        <f ca="1">SUMIFS(Stock!$O:$O,Stock!$A:$A,'Asset Line A share'!$A100,Stock!$I:$I,P$2)</f>
        <v>469059.6</v>
      </c>
      <c r="Q100" s="40">
        <f t="shared" ref="Q100:Q131" ca="1" si="42">IF(O100&lt;&gt;0,+H100/O100,"")</f>
        <v>-1.2493572989416856E-3</v>
      </c>
      <c r="R100" s="40">
        <f t="shared" ref="R100:R131" ca="1" si="43">IF(P100&lt;&gt;0,+I100/P100,"")</f>
        <v>2.8970305692496224E-3</v>
      </c>
      <c r="S100" s="41">
        <f t="shared" ca="1" si="28"/>
        <v>827882.84999998845</v>
      </c>
      <c r="T100" s="30">
        <v>873800</v>
      </c>
      <c r="U100" s="20">
        <f t="shared" si="35"/>
        <v>2589757.4045762713</v>
      </c>
      <c r="V100" s="20"/>
      <c r="W100" s="4">
        <f>U100/U99-1</f>
        <v>3.3901053094680389E-3</v>
      </c>
      <c r="X100" s="20">
        <f t="shared" si="37"/>
        <v>8749.8872881354764</v>
      </c>
      <c r="Y100" s="17"/>
      <c r="Z100" s="30">
        <f t="shared" si="19"/>
        <v>1.0064052059352131</v>
      </c>
      <c r="AA100" s="18">
        <f t="shared" si="38"/>
        <v>1.2997827067444945</v>
      </c>
    </row>
    <row r="101" spans="1:27" s="30" customFormat="1" ht="54" x14ac:dyDescent="0.15">
      <c r="A101" s="1">
        <f t="shared" si="41"/>
        <v>42824</v>
      </c>
      <c r="B101" s="30">
        <f t="shared" si="34"/>
        <v>4</v>
      </c>
      <c r="C101" s="30">
        <v>0</v>
      </c>
      <c r="D101" s="20">
        <v>1836816.95</v>
      </c>
      <c r="E101" s="20">
        <v>1836816.95</v>
      </c>
      <c r="F101" s="4">
        <f t="shared" si="29"/>
        <v>-6.7227185038847281E-3</v>
      </c>
      <c r="G101" s="30">
        <v>-1215.8</v>
      </c>
      <c r="H101" s="30">
        <v>-717.62</v>
      </c>
      <c r="I101" s="30">
        <v>-498.18</v>
      </c>
      <c r="J101" s="30">
        <v>-11341</v>
      </c>
      <c r="K101" s="30">
        <f>131.83333333-7</f>
        <v>124.83333332999999</v>
      </c>
      <c r="L101" s="18">
        <f t="shared" si="39"/>
        <v>-12431.96666667</v>
      </c>
      <c r="M101" s="37">
        <f t="shared" si="30"/>
        <v>-12431.979999999981</v>
      </c>
      <c r="N101" s="17" t="s">
        <v>2143</v>
      </c>
      <c r="O101" s="41">
        <f ca="1">SUMIFS(Stock!$O:$O,Stock!$A:$A,'Asset Line A share'!$A101,Stock!$I:$I,O$2)</f>
        <v>108841</v>
      </c>
      <c r="P101" s="41">
        <f ca="1">SUMIFS(Stock!$O:$O,Stock!$A:$A,'Asset Line A share'!$A101,Stock!$I:$I,P$2)</f>
        <v>188734</v>
      </c>
      <c r="Q101" s="40">
        <f t="shared" ca="1" si="42"/>
        <v>-6.5932874560138185E-3</v>
      </c>
      <c r="R101" s="40">
        <f t="shared" ca="1" si="43"/>
        <v>-2.6395879915648481E-3</v>
      </c>
      <c r="S101" s="41">
        <f t="shared" ca="1" si="28"/>
        <v>747989.84999998845</v>
      </c>
      <c r="T101" s="30">
        <v>873800</v>
      </c>
      <c r="U101" s="20">
        <f t="shared" si="35"/>
        <v>2577325.4245762713</v>
      </c>
      <c r="V101" s="20"/>
      <c r="W101" s="4">
        <f t="shared" ref="W101:W102" si="44">U101/U100-1</f>
        <v>-4.8004419170813994E-3</v>
      </c>
      <c r="X101" s="20">
        <f t="shared" si="37"/>
        <v>-12431.979999999981</v>
      </c>
      <c r="Y101" s="17"/>
      <c r="Z101" s="30">
        <f t="shared" si="19"/>
        <v>1.0015740161990727</v>
      </c>
      <c r="AA101" s="18">
        <f t="shared" si="38"/>
        <v>-0.32939629578882307</v>
      </c>
    </row>
    <row r="102" spans="1:27" s="30" customFormat="1" x14ac:dyDescent="0.15">
      <c r="A102" s="1">
        <f t="shared" si="41"/>
        <v>42825</v>
      </c>
      <c r="B102" s="30">
        <f t="shared" si="34"/>
        <v>5</v>
      </c>
      <c r="C102" s="30">
        <v>0</v>
      </c>
      <c r="D102" s="20">
        <v>1846498.58</v>
      </c>
      <c r="E102" s="20">
        <v>1846498.58</v>
      </c>
      <c r="F102" s="4">
        <f t="shared" si="29"/>
        <v>5.2708736164484016E-3</v>
      </c>
      <c r="G102" s="30">
        <v>1862.2</v>
      </c>
      <c r="H102" s="30">
        <v>4571.78</v>
      </c>
      <c r="I102" s="30">
        <v>-2709.58</v>
      </c>
      <c r="J102" s="30">
        <v>7446</v>
      </c>
      <c r="K102" s="30">
        <f>375.41666666-2</f>
        <v>373.41666665999998</v>
      </c>
      <c r="L102" s="18">
        <f t="shared" ref="L102:L106" si="45">G102+J102+K102</f>
        <v>9681.6166666600002</v>
      </c>
      <c r="M102" s="37">
        <f t="shared" si="30"/>
        <v>9681.6300000001211</v>
      </c>
      <c r="N102" s="17" t="s">
        <v>2202</v>
      </c>
      <c r="O102" s="41">
        <f ca="1">SUMIFS(Stock!$O:$O,Stock!$A:$A,'Asset Line A share'!$A102,Stock!$I:$I,O$2)</f>
        <v>792843</v>
      </c>
      <c r="P102" s="41">
        <f ca="1">SUMIFS(Stock!$O:$O,Stock!$A:$A,'Asset Line A share'!$A102,Stock!$I:$I,P$2)</f>
        <v>528947</v>
      </c>
      <c r="Q102" s="40">
        <f t="shared" ca="1" si="42"/>
        <v>5.7663118675450242E-3</v>
      </c>
      <c r="R102" s="40">
        <f t="shared" ca="1" si="43"/>
        <v>-5.1225926227013293E-3</v>
      </c>
      <c r="S102" s="41">
        <f t="shared" ca="1" si="28"/>
        <v>1011885.8499999885</v>
      </c>
      <c r="T102" s="30">
        <v>875000</v>
      </c>
      <c r="U102" s="20">
        <f t="shared" si="35"/>
        <v>2588024.0037288135</v>
      </c>
      <c r="V102" s="20"/>
      <c r="W102" s="4">
        <f t="shared" si="44"/>
        <v>4.1510393101797938E-3</v>
      </c>
      <c r="X102" s="20">
        <f t="shared" si="37"/>
        <v>10698.579152542166</v>
      </c>
      <c r="Y102" s="17"/>
      <c r="Z102" s="30">
        <f t="shared" si="19"/>
        <v>1.0057315893123697</v>
      </c>
      <c r="AA102" s="18">
        <f t="shared" si="38"/>
        <v>1.2543804614328224</v>
      </c>
    </row>
    <row r="103" spans="1:27" s="30" customFormat="1" x14ac:dyDescent="0.15">
      <c r="A103" s="1">
        <v>42830</v>
      </c>
      <c r="B103" s="30">
        <f t="shared" si="34"/>
        <v>3</v>
      </c>
      <c r="C103" s="30">
        <v>0</v>
      </c>
      <c r="D103" s="20">
        <v>1859846.77</v>
      </c>
      <c r="E103" s="20">
        <v>1859846.77</v>
      </c>
      <c r="F103" s="4">
        <f t="shared" si="29"/>
        <v>7.2289197211297118E-3</v>
      </c>
      <c r="G103" s="30">
        <v>-3013.06</v>
      </c>
      <c r="H103" s="30">
        <v>745.77</v>
      </c>
      <c r="I103" s="30">
        <v>-3758.83</v>
      </c>
      <c r="J103" s="30">
        <v>16296</v>
      </c>
      <c r="K103" s="30">
        <f>68.75-3</f>
        <v>65.75</v>
      </c>
      <c r="L103" s="18">
        <f t="shared" si="45"/>
        <v>13348.69</v>
      </c>
      <c r="M103" s="37">
        <f t="shared" si="30"/>
        <v>13348.189999999944</v>
      </c>
      <c r="N103" s="17" t="s">
        <v>2244</v>
      </c>
      <c r="O103" s="41">
        <f ca="1">SUMIFS(Stock!$O:$O,Stock!$A:$A,'Asset Line A share'!$A103,Stock!$I:$I,O$2)</f>
        <v>619347</v>
      </c>
      <c r="P103" s="41">
        <f ca="1">SUMIFS(Stock!$O:$O,Stock!$A:$A,'Asset Line A share'!$A103,Stock!$I:$I,P$2)</f>
        <v>483892.5</v>
      </c>
      <c r="Q103" s="40">
        <f t="shared" ca="1" si="42"/>
        <v>1.2041230521823792E-3</v>
      </c>
      <c r="R103" s="40">
        <f t="shared" ca="1" si="43"/>
        <v>-7.7679029949833901E-3</v>
      </c>
      <c r="S103" s="41">
        <f t="shared" ca="1" si="28"/>
        <v>1147340.3499999885</v>
      </c>
      <c r="T103" s="30">
        <v>875000</v>
      </c>
      <c r="U103" s="20">
        <f t="shared" si="35"/>
        <v>2601372.1937288139</v>
      </c>
      <c r="V103" s="20"/>
      <c r="W103" s="4">
        <f t="shared" ref="W103:W105" si="46">U103/U102-1</f>
        <v>5.1576762737781667E-3</v>
      </c>
      <c r="X103" s="20">
        <f t="shared" si="37"/>
        <v>13348.19000000041</v>
      </c>
      <c r="Y103" s="17"/>
      <c r="Z103" s="30">
        <f t="shared" si="19"/>
        <v>1.0109188272683554</v>
      </c>
      <c r="AA103" s="18">
        <f t="shared" si="38"/>
        <v>2.701038890625838</v>
      </c>
    </row>
    <row r="104" spans="1:27" s="30" customFormat="1" ht="27" x14ac:dyDescent="0.15">
      <c r="A104" s="1">
        <v>42831</v>
      </c>
      <c r="B104" s="30">
        <f t="shared" si="34"/>
        <v>4</v>
      </c>
      <c r="C104" s="30">
        <v>0</v>
      </c>
      <c r="D104" s="20">
        <v>1861649.16</v>
      </c>
      <c r="E104" s="20">
        <v>1861649.16</v>
      </c>
      <c r="F104" s="4">
        <f t="shared" si="29"/>
        <v>9.6910671839922635E-4</v>
      </c>
      <c r="G104" s="30">
        <v>-2266.5</v>
      </c>
      <c r="H104" s="30">
        <v>2215.09</v>
      </c>
      <c r="I104" s="30">
        <v>-4481.6400000000003</v>
      </c>
      <c r="J104" s="30">
        <v>4031</v>
      </c>
      <c r="K104" s="30">
        <f>45.93055555-8</f>
        <v>37.930555550000001</v>
      </c>
      <c r="L104" s="18">
        <f t="shared" si="45"/>
        <v>1802.43055555</v>
      </c>
      <c r="M104" s="37">
        <f t="shared" si="30"/>
        <v>1802.3899999998976</v>
      </c>
      <c r="N104" s="17" t="s">
        <v>2293</v>
      </c>
      <c r="O104" s="41">
        <f ca="1">SUMIFS(Stock!$O:$O,Stock!$A:$A,'Asset Line A share'!$A104,Stock!$I:$I,O$2)</f>
        <v>235924</v>
      </c>
      <c r="P104" s="41">
        <f ca="1">SUMIFS(Stock!$O:$O,Stock!$A:$A,'Asset Line A share'!$A104,Stock!$I:$I,P$2)</f>
        <v>757058</v>
      </c>
      <c r="Q104" s="40">
        <f t="shared" ca="1" si="42"/>
        <v>9.3889981519472386E-3</v>
      </c>
      <c r="R104" s="40">
        <f t="shared" ca="1" si="43"/>
        <v>-5.919810635380645E-3</v>
      </c>
      <c r="S104" s="41">
        <f t="shared" ca="1" si="28"/>
        <v>626206.34999998845</v>
      </c>
      <c r="T104" s="30">
        <v>875000</v>
      </c>
      <c r="U104" s="20">
        <f t="shared" si="35"/>
        <v>2603174.5837288136</v>
      </c>
      <c r="V104" s="20"/>
      <c r="W104" s="4">
        <f t="shared" si="46"/>
        <v>6.9286125389700359E-4</v>
      </c>
      <c r="X104" s="20">
        <f t="shared" si="37"/>
        <v>1802.3899999996647</v>
      </c>
      <c r="Y104" s="17"/>
      <c r="Z104" s="30">
        <f t="shared" si="19"/>
        <v>1.0116192537546047</v>
      </c>
      <c r="AA104" s="18">
        <f t="shared" si="38"/>
        <v>2.6681886123159622</v>
      </c>
    </row>
    <row r="105" spans="1:27" s="30" customFormat="1" x14ac:dyDescent="0.15">
      <c r="A105" s="1">
        <v>42832</v>
      </c>
      <c r="B105" s="30">
        <f t="shared" si="34"/>
        <v>5</v>
      </c>
      <c r="C105" s="30">
        <v>0</v>
      </c>
      <c r="D105" s="20">
        <v>1860820.03</v>
      </c>
      <c r="E105" s="20">
        <v>1860820.03</v>
      </c>
      <c r="F105" s="4">
        <f t="shared" si="29"/>
        <v>-4.4537392856547342E-4</v>
      </c>
      <c r="G105" s="30">
        <v>39.11</v>
      </c>
      <c r="H105" s="30">
        <v>600.30999999999995</v>
      </c>
      <c r="I105" s="30">
        <v>-561.20000000000005</v>
      </c>
      <c r="J105" s="30">
        <v>-1044</v>
      </c>
      <c r="K105" s="30">
        <f>176.722222-1</f>
        <v>175.72222199999999</v>
      </c>
      <c r="L105" s="18">
        <f t="shared" si="45"/>
        <v>-829.167778</v>
      </c>
      <c r="M105" s="37">
        <f t="shared" si="30"/>
        <v>-829.12999999988824</v>
      </c>
      <c r="N105" s="17"/>
      <c r="O105" s="41">
        <f ca="1">SUMIFS(Stock!$O:$O,Stock!$A:$A,'Asset Line A share'!$A105,Stock!$I:$I,O$2)</f>
        <v>808503</v>
      </c>
      <c r="P105" s="41">
        <f ca="1">SUMIFS(Stock!$O:$O,Stock!$A:$A,'Asset Line A share'!$A105,Stock!$I:$I,P$2)</f>
        <v>179482</v>
      </c>
      <c r="Q105" s="40">
        <f t="shared" ca="1" si="42"/>
        <v>7.4249569884094423E-4</v>
      </c>
      <c r="R105" s="40">
        <f t="shared" ca="1" si="43"/>
        <v>-3.1267759441058157E-3</v>
      </c>
      <c r="S105" s="41">
        <f t="shared" ca="1" si="28"/>
        <v>1255227.3499999885</v>
      </c>
      <c r="T105" s="30">
        <v>877000</v>
      </c>
      <c r="U105" s="20">
        <f t="shared" si="35"/>
        <v>2604040.3689830508</v>
      </c>
      <c r="V105" s="20"/>
      <c r="W105" s="4">
        <f t="shared" si="46"/>
        <v>3.3258824039261725E-4</v>
      </c>
      <c r="X105" s="20">
        <f t="shared" si="37"/>
        <v>865.78525423724204</v>
      </c>
      <c r="Y105" s="17"/>
      <c r="Z105" s="30">
        <f t="shared" si="19"/>
        <v>1.0119557064221583</v>
      </c>
      <c r="AA105" s="18">
        <f t="shared" si="38"/>
        <v>2.7646832209582177</v>
      </c>
    </row>
    <row r="106" spans="1:27" s="30" customFormat="1" ht="40.5" x14ac:dyDescent="0.15">
      <c r="A106" s="1">
        <v>42835</v>
      </c>
      <c r="B106" s="30">
        <f t="shared" si="34"/>
        <v>1</v>
      </c>
      <c r="C106" s="30">
        <v>0</v>
      </c>
      <c r="D106" s="20">
        <v>1848642.9</v>
      </c>
      <c r="E106" s="20">
        <v>1848642.9</v>
      </c>
      <c r="F106" s="4">
        <f t="shared" si="29"/>
        <v>-6.5439590092977173E-3</v>
      </c>
      <c r="G106" s="30">
        <v>-1700.6</v>
      </c>
      <c r="H106" s="30">
        <v>-1024.94</v>
      </c>
      <c r="I106" s="30">
        <v>-675.12</v>
      </c>
      <c r="J106" s="30">
        <v>-10484</v>
      </c>
      <c r="K106" s="30">
        <v>6.9444439999999998</v>
      </c>
      <c r="L106" s="18">
        <f t="shared" si="45"/>
        <v>-12177.655556</v>
      </c>
      <c r="M106" s="37">
        <f t="shared" ref="M106:M137" si="47">+E106-E105</f>
        <v>-12177.130000000121</v>
      </c>
      <c r="N106" s="17" t="s">
        <v>2375</v>
      </c>
      <c r="O106" s="41">
        <f ca="1">SUMIFS(Stock!$O:$O,Stock!$A:$A,'Asset Line A share'!$A106,Stock!$I:$I,O$2)</f>
        <v>566542</v>
      </c>
      <c r="P106" s="41">
        <f ca="1">SUMIFS(Stock!$O:$O,Stock!$A:$A,'Asset Line A share'!$A106,Stock!$I:$I,P$2)</f>
        <v>720497</v>
      </c>
      <c r="Q106" s="40">
        <f t="shared" ca="1" si="42"/>
        <v>-1.8091156525023742E-3</v>
      </c>
      <c r="R106" s="40">
        <f t="shared" ca="1" si="43"/>
        <v>-9.3701986267812358E-4</v>
      </c>
      <c r="S106" s="41">
        <f t="shared" ca="1" si="28"/>
        <v>1101272.3499999885</v>
      </c>
      <c r="T106" s="30">
        <v>876000</v>
      </c>
      <c r="U106" s="20">
        <f t="shared" si="35"/>
        <v>2591015.7813559324</v>
      </c>
      <c r="V106" s="20"/>
      <c r="W106" s="4">
        <f t="shared" ref="W106:W111" si="48">U106/U105-1</f>
        <v>-5.0016842220479418E-3</v>
      </c>
      <c r="X106" s="20">
        <f t="shared" si="37"/>
        <v>-13024.587627118453</v>
      </c>
      <c r="Y106" s="17"/>
      <c r="Z106" s="30">
        <f t="shared" si="19"/>
        <v>1.0068942235319351</v>
      </c>
      <c r="AA106" s="18">
        <f t="shared" si="38"/>
        <v>1.2904176446532691</v>
      </c>
    </row>
    <row r="107" spans="1:27" s="30" customFormat="1" x14ac:dyDescent="0.15">
      <c r="A107" s="1">
        <v>42836</v>
      </c>
      <c r="B107" s="30">
        <f t="shared" si="34"/>
        <v>2</v>
      </c>
      <c r="C107" s="30">
        <v>0</v>
      </c>
      <c r="D107" s="20">
        <v>1854724.91</v>
      </c>
      <c r="E107" s="20">
        <v>1854724.91</v>
      </c>
      <c r="F107" s="4">
        <f t="shared" ref="F107:F228" si="49">+E107/(E106)-1</f>
        <v>3.2899864002939871E-3</v>
      </c>
      <c r="G107" s="30">
        <v>2039.49</v>
      </c>
      <c r="H107" s="30">
        <v>3501.53</v>
      </c>
      <c r="I107" s="30">
        <v>-1462.04</v>
      </c>
      <c r="J107" s="30">
        <v>4042</v>
      </c>
      <c r="K107" s="30">
        <v>0</v>
      </c>
      <c r="L107" s="18">
        <f t="shared" ref="L107:L112" si="50">G107+J107+K107</f>
        <v>6081.49</v>
      </c>
      <c r="M107" s="37">
        <f t="shared" si="47"/>
        <v>6082.0100000000093</v>
      </c>
      <c r="N107" s="17"/>
      <c r="O107" s="41">
        <f ca="1">SUMIFS(Stock!$O:$O,Stock!$A:$A,'Asset Line A share'!$A107,Stock!$I:$I,O$2)</f>
        <v>444735</v>
      </c>
      <c r="P107" s="41">
        <f ca="1">SUMIFS(Stock!$O:$O,Stock!$A:$A,'Asset Line A share'!$A107,Stock!$I:$I,P$2)</f>
        <v>627004</v>
      </c>
      <c r="Q107" s="40">
        <f t="shared" ca="1" si="42"/>
        <v>7.8732953331759371E-3</v>
      </c>
      <c r="R107" s="40">
        <f t="shared" ca="1" si="43"/>
        <v>-2.3317873570184561E-3</v>
      </c>
      <c r="S107" s="41">
        <f t="shared" ca="1" si="28"/>
        <v>919003.34999998845</v>
      </c>
      <c r="T107" s="30">
        <v>878300</v>
      </c>
      <c r="U107" s="20">
        <f t="shared" si="35"/>
        <v>2599046.9438983053</v>
      </c>
      <c r="V107" s="20"/>
      <c r="W107" s="4">
        <f t="shared" si="48"/>
        <v>3.0996193076717748E-3</v>
      </c>
      <c r="X107" s="20">
        <f t="shared" si="37"/>
        <v>8031.162542372942</v>
      </c>
      <c r="Y107" s="17"/>
      <c r="Z107" s="30">
        <f t="shared" si="19"/>
        <v>1.010015212307978</v>
      </c>
      <c r="AA107" s="18">
        <f t="shared" si="38"/>
        <v>2.2062043235533246</v>
      </c>
    </row>
    <row r="108" spans="1:27" s="30" customFormat="1" x14ac:dyDescent="0.15">
      <c r="A108" s="1">
        <v>42837</v>
      </c>
      <c r="B108" s="30">
        <f t="shared" si="34"/>
        <v>3</v>
      </c>
      <c r="C108" s="30">
        <v>0</v>
      </c>
      <c r="D108" s="20">
        <v>1848839.96</v>
      </c>
      <c r="E108" s="20">
        <v>1848839.96</v>
      </c>
      <c r="F108" s="4">
        <f t="shared" si="49"/>
        <v>-3.1729503217811095E-3</v>
      </c>
      <c r="G108" s="30">
        <v>-4628.96</v>
      </c>
      <c r="H108" s="30">
        <v>-314.82</v>
      </c>
      <c r="I108" s="30">
        <v>-4314.1400000000003</v>
      </c>
      <c r="J108" s="30">
        <v>-1252</v>
      </c>
      <c r="K108" s="30">
        <v>-4</v>
      </c>
      <c r="L108" s="18">
        <f t="shared" si="50"/>
        <v>-5884.96</v>
      </c>
      <c r="M108" s="37">
        <f t="shared" si="47"/>
        <v>-5884.9499999999534</v>
      </c>
      <c r="N108" s="17"/>
      <c r="O108" s="41">
        <f ca="1">SUMIFS(Stock!$O:$O,Stock!$A:$A,'Asset Line A share'!$A108,Stock!$I:$I,O$2)</f>
        <v>549126</v>
      </c>
      <c r="P108" s="41">
        <f ca="1">SUMIFS(Stock!$O:$O,Stock!$A:$A,'Asset Line A share'!$A108,Stock!$I:$I,P$2)</f>
        <v>586265</v>
      </c>
      <c r="Q108" s="40">
        <f t="shared" ca="1" si="42"/>
        <v>-5.7331104336709612E-4</v>
      </c>
      <c r="R108" s="40">
        <f t="shared" ca="1" si="43"/>
        <v>-7.3586859184839627E-3</v>
      </c>
      <c r="S108" s="41">
        <f t="shared" ca="1" si="28"/>
        <v>881864.34999998845</v>
      </c>
      <c r="T108" s="30">
        <v>879200</v>
      </c>
      <c r="U108" s="20">
        <f t="shared" si="35"/>
        <v>2593924.7057627118</v>
      </c>
      <c r="V108" s="20"/>
      <c r="W108" s="4">
        <f t="shared" si="48"/>
        <v>-1.9708140122742801E-3</v>
      </c>
      <c r="X108" s="20">
        <f t="shared" si="37"/>
        <v>-5122.2381355934776</v>
      </c>
      <c r="Y108" s="17"/>
      <c r="Z108" s="30">
        <f t="shared" si="19"/>
        <v>1.0080246601749512</v>
      </c>
      <c r="AA108" s="18">
        <f t="shared" si="38"/>
        <v>1.4371840580972028</v>
      </c>
    </row>
    <row r="109" spans="1:27" s="30" customFormat="1" x14ac:dyDescent="0.15">
      <c r="A109" s="1">
        <v>42838</v>
      </c>
      <c r="B109" s="30">
        <f t="shared" si="34"/>
        <v>4</v>
      </c>
      <c r="C109" s="30">
        <v>0</v>
      </c>
      <c r="D109" s="20">
        <v>1846112.03</v>
      </c>
      <c r="E109" s="20">
        <v>1846112.03</v>
      </c>
      <c r="F109" s="4">
        <f t="shared" si="49"/>
        <v>-1.4754819557231125E-3</v>
      </c>
      <c r="G109" s="30">
        <v>-1494.54</v>
      </c>
      <c r="H109" s="30">
        <v>-85.76</v>
      </c>
      <c r="I109" s="30">
        <v>-1408.78</v>
      </c>
      <c r="J109" s="30">
        <v>-1252</v>
      </c>
      <c r="K109" s="30">
        <f>25.33333-7</f>
        <v>18.33333</v>
      </c>
      <c r="L109" s="18">
        <f t="shared" si="50"/>
        <v>-2728.20667</v>
      </c>
      <c r="M109" s="37">
        <f t="shared" si="47"/>
        <v>-2727.9299999999348</v>
      </c>
      <c r="N109" s="17"/>
      <c r="O109" s="41">
        <f ca="1">SUMIFS(Stock!$O:$O,Stock!$A:$A,'Asset Line A share'!$A109,Stock!$I:$I,O$2)</f>
        <v>244143</v>
      </c>
      <c r="P109" s="41">
        <f ca="1">SUMIFS(Stock!$O:$O,Stock!$A:$A,'Asset Line A share'!$A109,Stock!$I:$I,P$2)</f>
        <v>538017.69999999995</v>
      </c>
      <c r="Q109" s="40">
        <f t="shared" ca="1" si="42"/>
        <v>-3.5126954284988719E-4</v>
      </c>
      <c r="R109" s="40">
        <f t="shared" ca="1" si="43"/>
        <v>-2.6184640393801173E-3</v>
      </c>
      <c r="S109" s="41">
        <f t="shared" ca="1" si="28"/>
        <v>587989.6499999885</v>
      </c>
      <c r="T109" s="30">
        <v>879100</v>
      </c>
      <c r="U109" s="20">
        <f t="shared" si="35"/>
        <v>2591112.0300000003</v>
      </c>
      <c r="V109" s="20"/>
      <c r="W109" s="4">
        <f t="shared" si="48"/>
        <v>-1.0843320765876463E-3</v>
      </c>
      <c r="X109" s="20">
        <f t="shared" si="37"/>
        <v>-2812.6757627115585</v>
      </c>
      <c r="Y109" s="17"/>
      <c r="Z109" s="30">
        <f t="shared" si="19"/>
        <v>1.0069316267019321</v>
      </c>
      <c r="AA109" s="18">
        <f t="shared" si="38"/>
        <v>0.96016272119778356</v>
      </c>
    </row>
    <row r="110" spans="1:27" s="30" customFormat="1" x14ac:dyDescent="0.15">
      <c r="A110" s="1">
        <v>42839</v>
      </c>
      <c r="B110" s="30">
        <f t="shared" si="34"/>
        <v>5</v>
      </c>
      <c r="C110" s="30">
        <v>0</v>
      </c>
      <c r="D110" s="20">
        <v>1849410.46</v>
      </c>
      <c r="E110" s="20">
        <v>1849410.46</v>
      </c>
      <c r="F110" s="4">
        <f t="shared" si="49"/>
        <v>1.7866900526073426E-3</v>
      </c>
      <c r="G110" s="30">
        <v>-935.35</v>
      </c>
      <c r="H110" s="30">
        <v>85.44</v>
      </c>
      <c r="I110" s="30">
        <v>-1020.79</v>
      </c>
      <c r="J110" s="30">
        <v>2071</v>
      </c>
      <c r="K110" s="30">
        <f>(4.52%*600000/360*28)+68.444444-13</f>
        <v>2164.7777773333332</v>
      </c>
      <c r="L110" s="18">
        <f t="shared" si="50"/>
        <v>3300.4277773333333</v>
      </c>
      <c r="M110" s="37">
        <f t="shared" si="47"/>
        <v>3298.4299999999348</v>
      </c>
      <c r="N110" s="17" t="s">
        <v>1990</v>
      </c>
      <c r="O110" s="41">
        <f ca="1">SUMIFS(Stock!$O:$O,Stock!$A:$A,'Asset Line A share'!$A110,Stock!$I:$I,O$2)</f>
        <v>197812</v>
      </c>
      <c r="P110" s="41">
        <f ca="1">SUMIFS(Stock!$O:$O,Stock!$A:$A,'Asset Line A share'!$A110,Stock!$I:$I,P$2)</f>
        <v>279532</v>
      </c>
      <c r="Q110" s="40">
        <f t="shared" ca="1" si="42"/>
        <v>4.319252623703314E-4</v>
      </c>
      <c r="R110" s="40">
        <f t="shared" ca="1" si="43"/>
        <v>-3.6517822646423307E-3</v>
      </c>
      <c r="S110" s="41">
        <f t="shared" ca="1" si="28"/>
        <v>506269.6499999885</v>
      </c>
      <c r="T110" s="30">
        <v>876300</v>
      </c>
      <c r="U110" s="20">
        <f t="shared" si="35"/>
        <v>2592037.578644068</v>
      </c>
      <c r="V110" s="20"/>
      <c r="W110" s="4">
        <f t="shared" si="48"/>
        <v>3.5720132257943682E-4</v>
      </c>
      <c r="X110" s="20">
        <f t="shared" si="37"/>
        <v>925.54864406771958</v>
      </c>
      <c r="Y110" s="17"/>
      <c r="Z110" s="30">
        <f t="shared" ref="Z110:Z162" si="51">Z109*(1+W110)</f>
        <v>1.0072913040107372</v>
      </c>
      <c r="AA110" s="18">
        <f t="shared" si="38"/>
        <v>1.8999797825894489</v>
      </c>
    </row>
    <row r="111" spans="1:27" x14ac:dyDescent="0.15">
      <c r="A111" s="1">
        <v>42842</v>
      </c>
      <c r="B111" s="30">
        <f t="shared" si="34"/>
        <v>1</v>
      </c>
      <c r="C111" s="30">
        <v>0</v>
      </c>
      <c r="D111" s="20">
        <v>1855651.76</v>
      </c>
      <c r="E111" s="20">
        <v>1855651.76</v>
      </c>
      <c r="F111" s="4">
        <f t="shared" si="49"/>
        <v>3.3747511085235882E-3</v>
      </c>
      <c r="G111">
        <v>5080.09</v>
      </c>
      <c r="H111" s="30">
        <v>5071.84</v>
      </c>
      <c r="I111" s="30">
        <v>8.25</v>
      </c>
      <c r="J111">
        <v>1062</v>
      </c>
      <c r="K111" s="30">
        <f>107.1805555-8</f>
        <v>99.180555499999997</v>
      </c>
      <c r="L111" s="18">
        <f t="shared" si="50"/>
        <v>6241.2705555000002</v>
      </c>
      <c r="M111" s="37">
        <f t="shared" si="47"/>
        <v>6241.3000000000466</v>
      </c>
      <c r="N111" s="17" t="s">
        <v>2535</v>
      </c>
      <c r="O111" s="41">
        <f ca="1">SUMIFS(Stock!$O:$O,Stock!$A:$A,'Asset Line A share'!$A111,Stock!$I:$I,O$2)</f>
        <v>726191</v>
      </c>
      <c r="P111" s="41">
        <f ca="1">SUMIFS(Stock!$O:$O,Stock!$A:$A,'Asset Line A share'!$A111,Stock!$I:$I,P$2)</f>
        <v>128121</v>
      </c>
      <c r="Q111" s="40">
        <f t="shared" ca="1" si="42"/>
        <v>6.9841680769935181E-3</v>
      </c>
      <c r="R111" s="40">
        <f t="shared" ca="1" si="43"/>
        <v>6.4392254197204209E-5</v>
      </c>
      <c r="S111" s="41">
        <f t="shared" ca="1" si="28"/>
        <v>1104339.6499999885</v>
      </c>
      <c r="T111" s="30">
        <v>877400</v>
      </c>
      <c r="U111" s="20">
        <f t="shared" si="35"/>
        <v>2599211.0820338982</v>
      </c>
      <c r="V111" s="20"/>
      <c r="W111" s="4">
        <f t="shared" si="48"/>
        <v>2.7675151968988843E-3</v>
      </c>
      <c r="X111" s="20">
        <f t="shared" si="37"/>
        <v>7173.5033898302354</v>
      </c>
      <c r="Y111" s="17"/>
      <c r="Z111" s="30">
        <f t="shared" si="51"/>
        <v>1.0100789980022911</v>
      </c>
      <c r="AA111" s="18">
        <f t="shared" si="38"/>
        <v>1.2667031790952752</v>
      </c>
    </row>
    <row r="112" spans="1:27" ht="67.5" x14ac:dyDescent="0.15">
      <c r="A112" s="1">
        <v>42843</v>
      </c>
      <c r="B112" s="30">
        <f t="shared" si="34"/>
        <v>2</v>
      </c>
      <c r="C112" s="30">
        <v>0</v>
      </c>
      <c r="D112" s="20">
        <v>1853418.06</v>
      </c>
      <c r="E112" s="20">
        <v>1853418.06</v>
      </c>
      <c r="F112" s="4">
        <f t="shared" si="49"/>
        <v>-1.2037280098287084E-3</v>
      </c>
      <c r="G112">
        <v>-646.71</v>
      </c>
      <c r="H112">
        <v>-577.15</v>
      </c>
      <c r="I112">
        <v>-69.56</v>
      </c>
      <c r="J112">
        <v>-1643</v>
      </c>
      <c r="K112" s="30">
        <f>62.22222-7</f>
        <v>55.22222</v>
      </c>
      <c r="L112" s="18">
        <f t="shared" si="50"/>
        <v>-2234.4877799999999</v>
      </c>
      <c r="M112" s="37">
        <f t="shared" si="47"/>
        <v>-2233.6999999999534</v>
      </c>
      <c r="N112" s="17" t="s">
        <v>2554</v>
      </c>
      <c r="O112" s="41">
        <f ca="1">SUMIFS(Stock!$O:$O,Stock!$A:$A,'Asset Line A share'!$A112,Stock!$I:$I,O$2)</f>
        <v>542256.80000000005</v>
      </c>
      <c r="P112" s="41">
        <f ca="1">SUMIFS(Stock!$O:$O,Stock!$A:$A,'Asset Line A share'!$A112,Stock!$I:$I,P$2)</f>
        <v>473039</v>
      </c>
      <c r="Q112" s="40">
        <f t="shared" ca="1" si="42"/>
        <v>-1.0643481096041579E-3</v>
      </c>
      <c r="R112" s="40">
        <f t="shared" ca="1" si="43"/>
        <v>-1.4704918621931808E-4</v>
      </c>
      <c r="S112" s="41">
        <f t="shared" ca="1" si="28"/>
        <v>1173557.4499999885</v>
      </c>
      <c r="T112" s="30">
        <v>877400</v>
      </c>
      <c r="U112" s="20">
        <f t="shared" si="35"/>
        <v>2596977.3820338985</v>
      </c>
      <c r="V112" s="20"/>
      <c r="W112" s="4">
        <f t="shared" ref="W112" si="52">U112/U111-1</f>
        <v>-8.5937614510778193E-4</v>
      </c>
      <c r="X112" s="20">
        <f t="shared" si="37"/>
        <v>-2233.6999999997206</v>
      </c>
      <c r="Y112" s="17"/>
      <c r="Z112" s="30">
        <f t="shared" si="51"/>
        <v>1.0092109602067336</v>
      </c>
      <c r="AA112" s="18">
        <f t="shared" si="38"/>
        <v>2.8925558163197378</v>
      </c>
    </row>
    <row r="113" spans="1:27" ht="40.5" x14ac:dyDescent="0.15">
      <c r="A113" s="1">
        <v>42844</v>
      </c>
      <c r="B113" s="30">
        <f t="shared" si="34"/>
        <v>3</v>
      </c>
      <c r="C113" s="30">
        <v>0</v>
      </c>
      <c r="D113" s="20">
        <v>1859658.16</v>
      </c>
      <c r="E113" s="20">
        <v>1859658.16</v>
      </c>
      <c r="F113" s="4">
        <f t="shared" si="49"/>
        <v>3.3668065153091842E-3</v>
      </c>
      <c r="G113">
        <v>-7843.94</v>
      </c>
      <c r="H113">
        <v>0</v>
      </c>
      <c r="I113" s="30">
        <v>-7843.94</v>
      </c>
      <c r="J113">
        <v>14068</v>
      </c>
      <c r="K113" s="30">
        <f>32.04166666-16</f>
        <v>16.041666659999997</v>
      </c>
      <c r="L113" s="18">
        <f t="shared" ref="L113:L126" si="53">G113+J113+K113</f>
        <v>6240.1016666600008</v>
      </c>
      <c r="M113" s="37">
        <f t="shared" si="47"/>
        <v>6240.0999999998603</v>
      </c>
      <c r="N113" s="17" t="s">
        <v>2567</v>
      </c>
      <c r="O113" s="41">
        <f ca="1">SUMIFS(Stock!$O:$O,Stock!$A:$A,'Asset Line A share'!$A113,Stock!$I:$I,O$2)</f>
        <v>0</v>
      </c>
      <c r="P113" s="41">
        <f ca="1">SUMIFS(Stock!$O:$O,Stock!$A:$A,'Asset Line A share'!$A113,Stock!$I:$I,P$2)</f>
        <v>811481</v>
      </c>
      <c r="Q113" s="40" t="str">
        <f t="shared" ca="1" si="42"/>
        <v/>
      </c>
      <c r="R113" s="40">
        <f t="shared" ca="1" si="43"/>
        <v>-9.6662029055517001E-3</v>
      </c>
      <c r="S113" s="41">
        <f t="shared" ca="1" si="28"/>
        <v>362076.44999998854</v>
      </c>
      <c r="T113" s="30">
        <v>870700</v>
      </c>
      <c r="U113" s="20">
        <f t="shared" si="35"/>
        <v>2597539.5159322033</v>
      </c>
      <c r="V113" s="20"/>
      <c r="W113" s="4">
        <f t="shared" ref="W113:W118" si="54">U113/U112-1</f>
        <v>2.1645698656969081E-4</v>
      </c>
      <c r="X113" s="20">
        <f t="shared" si="37"/>
        <v>562.13389830477536</v>
      </c>
      <c r="Y113" s="17"/>
      <c r="Z113" s="30">
        <f t="shared" si="51"/>
        <v>1.0094294109699931</v>
      </c>
      <c r="AA113" s="18">
        <f t="shared" si="38"/>
        <v>2.9603405687391109</v>
      </c>
    </row>
    <row r="114" spans="1:27" x14ac:dyDescent="0.15">
      <c r="A114" s="1">
        <v>42845</v>
      </c>
      <c r="B114" s="30">
        <f t="shared" si="34"/>
        <v>4</v>
      </c>
      <c r="C114" s="30">
        <v>0</v>
      </c>
      <c r="D114" s="20">
        <v>1860588.8</v>
      </c>
      <c r="E114" s="20">
        <v>1860588.8</v>
      </c>
      <c r="F114" s="4">
        <f t="shared" si="49"/>
        <v>5.0043605863581142E-4</v>
      </c>
      <c r="G114" s="30">
        <v>2994.86</v>
      </c>
      <c r="H114">
        <v>2994.86</v>
      </c>
      <c r="I114">
        <v>0</v>
      </c>
      <c r="J114">
        <v>-2180</v>
      </c>
      <c r="K114" s="30">
        <f>123.777778-8</f>
        <v>115.777778</v>
      </c>
      <c r="L114" s="18">
        <f t="shared" si="53"/>
        <v>930.63777800000014</v>
      </c>
      <c r="M114" s="37">
        <f t="shared" si="47"/>
        <v>930.64000000013039</v>
      </c>
      <c r="O114" s="41">
        <f ca="1">SUMIFS(Stock!$O:$O,Stock!$A:$A,'Asset Line A share'!$A114,Stock!$I:$I,O$2)</f>
        <v>730985</v>
      </c>
      <c r="P114" s="41">
        <f ca="1">SUMIFS(Stock!$O:$O,Stock!$A:$A,'Asset Line A share'!$A114,Stock!$I:$I,P$2)</f>
        <v>0</v>
      </c>
      <c r="Q114" s="40">
        <f t="shared" ca="1" si="42"/>
        <v>4.0970197746875792E-3</v>
      </c>
      <c r="R114" s="40" t="str">
        <f t="shared" ca="1" si="43"/>
        <v/>
      </c>
      <c r="S114" s="41">
        <f t="shared" ca="1" si="28"/>
        <v>1093061.4499999885</v>
      </c>
      <c r="T114" s="30">
        <v>878000</v>
      </c>
      <c r="U114" s="20">
        <f t="shared" si="35"/>
        <v>2604656.5966101699</v>
      </c>
      <c r="V114" s="20"/>
      <c r="W114" s="4">
        <f t="shared" si="54"/>
        <v>2.7399316292642251E-3</v>
      </c>
      <c r="X114" s="20">
        <f t="shared" si="37"/>
        <v>7117.0806779665872</v>
      </c>
      <c r="Y114" s="17"/>
      <c r="Z114" s="30">
        <f t="shared" si="51"/>
        <v>1.0121951785406194</v>
      </c>
      <c r="AA114" s="18">
        <f t="shared" si="38"/>
        <v>3.1295994084301966</v>
      </c>
    </row>
    <row r="115" spans="1:27" x14ac:dyDescent="0.15">
      <c r="A115" s="1">
        <v>42846</v>
      </c>
      <c r="B115" s="30">
        <f t="shared" si="34"/>
        <v>5</v>
      </c>
      <c r="C115" s="30">
        <v>0</v>
      </c>
      <c r="D115" s="20">
        <v>1868473.49</v>
      </c>
      <c r="E115" s="20">
        <v>1868473.49</v>
      </c>
      <c r="F115" s="4">
        <f t="shared" si="49"/>
        <v>4.2377391501011719E-3</v>
      </c>
      <c r="G115">
        <v>-259.60000000000002</v>
      </c>
      <c r="H115">
        <v>1825.57</v>
      </c>
      <c r="I115">
        <v>-2085.17</v>
      </c>
      <c r="J115">
        <v>8057</v>
      </c>
      <c r="K115" s="30">
        <f>101.777778-14</f>
        <v>87.777777999999998</v>
      </c>
      <c r="L115" s="18">
        <f t="shared" si="53"/>
        <v>7885.1777779999993</v>
      </c>
      <c r="M115" s="37">
        <f t="shared" si="47"/>
        <v>7884.6899999999441</v>
      </c>
      <c r="O115" s="41">
        <f ca="1">SUMIFS(Stock!$O:$O,Stock!$A:$A,'Asset Line A share'!$A115,Stock!$I:$I,O$2)</f>
        <v>352128</v>
      </c>
      <c r="P115" s="41">
        <f ca="1">SUMIFS(Stock!$O:$O,Stock!$A:$A,'Asset Line A share'!$A115,Stock!$I:$I,P$2)</f>
        <v>804704.5</v>
      </c>
      <c r="Q115" s="40">
        <f t="shared" ca="1" si="42"/>
        <v>5.1843931752090146E-3</v>
      </c>
      <c r="R115" s="40">
        <f t="shared" ca="1" si="43"/>
        <v>-2.5912244805391298E-3</v>
      </c>
      <c r="S115" s="41">
        <f t="shared" ca="1" si="28"/>
        <v>640484.94999998843</v>
      </c>
      <c r="T115" s="30">
        <v>885000</v>
      </c>
      <c r="U115" s="20">
        <f t="shared" si="35"/>
        <v>2618473.4900000002</v>
      </c>
      <c r="V115" s="20"/>
      <c r="W115" s="4">
        <f t="shared" si="54"/>
        <v>5.3046890741037522E-3</v>
      </c>
      <c r="X115" s="20">
        <f t="shared" si="37"/>
        <v>13816.893389830366</v>
      </c>
      <c r="Y115" s="17"/>
      <c r="Z115" s="30">
        <f t="shared" si="51"/>
        <v>1.0175645592450844</v>
      </c>
      <c r="AA115" s="18">
        <f t="shared" si="38"/>
        <v>4.4115999870889278</v>
      </c>
    </row>
    <row r="116" spans="1:27" ht="54" x14ac:dyDescent="0.15">
      <c r="A116" s="1">
        <v>42849</v>
      </c>
      <c r="B116" s="30">
        <f t="shared" si="34"/>
        <v>1</v>
      </c>
      <c r="C116" s="30">
        <v>0</v>
      </c>
      <c r="D116" s="20">
        <v>1856229.57</v>
      </c>
      <c r="E116" s="20">
        <v>1856229.57</v>
      </c>
      <c r="F116" s="4">
        <f t="shared" si="49"/>
        <v>-6.5529000360609047E-3</v>
      </c>
      <c r="G116">
        <v>-6411.1900000000005</v>
      </c>
      <c r="H116">
        <v>-7547.77</v>
      </c>
      <c r="I116">
        <v>1136.58</v>
      </c>
      <c r="J116">
        <v>-5983</v>
      </c>
      <c r="K116" s="30">
        <f>138.44444-7</f>
        <v>131.44443999999999</v>
      </c>
      <c r="L116" s="18">
        <f t="shared" si="53"/>
        <v>-12262.745560000001</v>
      </c>
      <c r="M116" s="37">
        <f t="shared" si="47"/>
        <v>-12243.919999999925</v>
      </c>
      <c r="N116" s="17" t="s">
        <v>2639</v>
      </c>
      <c r="O116" s="41">
        <f ca="1">SUMIFS(Stock!$O:$O,Stock!$A:$A,'Asset Line A share'!$A116,Stock!$I:$I,O$2)</f>
        <v>974351.4</v>
      </c>
      <c r="P116" s="41">
        <f ca="1">SUMIFS(Stock!$O:$O,Stock!$A:$A,'Asset Line A share'!$A116,Stock!$I:$I,P$2)</f>
        <v>348353.6</v>
      </c>
      <c r="Q116" s="40">
        <f t="shared" ca="1" si="42"/>
        <v>-7.7464557448165012E-3</v>
      </c>
      <c r="R116" s="40">
        <f t="shared" ca="1" si="43"/>
        <v>3.262719259970329E-3</v>
      </c>
      <c r="S116" s="41">
        <f t="shared" ca="1" si="28"/>
        <v>1266482.7499999884</v>
      </c>
      <c r="T116" s="30">
        <v>878300</v>
      </c>
      <c r="U116" s="20">
        <f t="shared" si="35"/>
        <v>2600551.6038983054</v>
      </c>
      <c r="V116" s="20"/>
      <c r="W116" s="4">
        <f t="shared" si="54"/>
        <v>-6.8444023474512061E-3</v>
      </c>
      <c r="X116" s="20">
        <f t="shared" si="37"/>
        <v>-17921.886101694778</v>
      </c>
      <c r="Y116" s="17"/>
      <c r="Z116" s="30">
        <f t="shared" si="51"/>
        <v>1.0105999379871042</v>
      </c>
      <c r="AA116" s="18">
        <f t="shared" si="38"/>
        <v>1.8169705781299577</v>
      </c>
    </row>
    <row r="117" spans="1:27" ht="27" x14ac:dyDescent="0.15">
      <c r="A117" s="1">
        <v>42850</v>
      </c>
      <c r="B117" s="30">
        <f t="shared" si="34"/>
        <v>2</v>
      </c>
      <c r="C117" s="30">
        <v>0</v>
      </c>
      <c r="D117" s="20">
        <v>1879575.13</v>
      </c>
      <c r="E117" s="20">
        <v>1879575.13</v>
      </c>
      <c r="F117" s="4">
        <f t="shared" si="49"/>
        <v>1.2576871081737995E-2</v>
      </c>
      <c r="G117">
        <v>-43245.11</v>
      </c>
      <c r="H117">
        <v>1052.56</v>
      </c>
      <c r="I117">
        <v>-44297.67</v>
      </c>
      <c r="J117">
        <v>66785</v>
      </c>
      <c r="K117" s="30">
        <f>68.15278-10-252</f>
        <v>-193.84721999999999</v>
      </c>
      <c r="L117" s="18">
        <f t="shared" si="53"/>
        <v>23346.04278</v>
      </c>
      <c r="M117" s="37">
        <f t="shared" si="47"/>
        <v>23345.559999999823</v>
      </c>
      <c r="N117" s="17" t="s">
        <v>2668</v>
      </c>
      <c r="O117" s="41">
        <f ca="1">SUMIFS(Stock!$O:$O,Stock!$A:$A,'Asset Line A share'!$A117,Stock!$I:$I,O$2)</f>
        <v>765357.5</v>
      </c>
      <c r="P117" s="41">
        <f ca="1">SUMIFS(Stock!$O:$O,Stock!$A:$A,'Asset Line A share'!$A117,Stock!$I:$I,P$2)</f>
        <v>990713.99999998801</v>
      </c>
      <c r="Q117" s="40">
        <f t="shared" ca="1" si="42"/>
        <v>1.375252741365963E-3</v>
      </c>
      <c r="R117" s="40">
        <f t="shared" ca="1" si="43"/>
        <v>-4.4712873745602198E-2</v>
      </c>
      <c r="S117" s="41">
        <f t="shared" ca="1" si="28"/>
        <v>1041126.2500000002</v>
      </c>
      <c r="T117" s="30">
        <v>888700</v>
      </c>
      <c r="U117" s="20">
        <f t="shared" si="35"/>
        <v>2632710.723220339</v>
      </c>
      <c r="V117" s="20"/>
      <c r="W117" s="4">
        <f t="shared" si="54"/>
        <v>1.2366268476974751E-2</v>
      </c>
      <c r="X117" s="20">
        <f t="shared" si="37"/>
        <v>32159.119322033599</v>
      </c>
      <c r="Y117" s="17"/>
      <c r="Z117" s="30">
        <f t="shared" si="51"/>
        <v>1.0230972881430669</v>
      </c>
      <c r="AA117" s="18">
        <f t="shared" si="38"/>
        <v>3.6675192088017559</v>
      </c>
    </row>
    <row r="118" spans="1:27" x14ac:dyDescent="0.15">
      <c r="A118" s="1">
        <v>42851</v>
      </c>
      <c r="B118" s="30">
        <f t="shared" si="34"/>
        <v>3</v>
      </c>
      <c r="C118" s="30">
        <v>0</v>
      </c>
      <c r="D118" s="20">
        <v>1911772.35</v>
      </c>
      <c r="E118" s="20">
        <v>1911772.35</v>
      </c>
      <c r="F118" s="4">
        <f t="shared" si="49"/>
        <v>1.7130052151733022E-2</v>
      </c>
      <c r="G118">
        <v>-2549.29</v>
      </c>
      <c r="H118">
        <v>-599.5</v>
      </c>
      <c r="I118">
        <v>-1949.79</v>
      </c>
      <c r="J118">
        <v>34639</v>
      </c>
      <c r="K118" s="30">
        <f>109.9027777-6</f>
        <v>103.9027777</v>
      </c>
      <c r="L118" s="18">
        <f t="shared" si="53"/>
        <v>32193.6127777</v>
      </c>
      <c r="M118" s="37">
        <f t="shared" si="47"/>
        <v>32197.220000000205</v>
      </c>
      <c r="N118" s="17" t="s">
        <v>2681</v>
      </c>
      <c r="O118" s="41">
        <f ca="1">SUMIFS(Stock!$O:$O,Stock!$A:$A,'Asset Line A share'!$A118,Stock!$I:$I,O$2)</f>
        <v>397500</v>
      </c>
      <c r="P118" s="41">
        <f ca="1">SUMIFS(Stock!$O:$O,Stock!$A:$A,'Asset Line A share'!$A118,Stock!$I:$I,P$2)</f>
        <v>800216.4</v>
      </c>
      <c r="Q118" s="40">
        <f t="shared" ca="1" si="42"/>
        <v>-1.5081761006289307E-3</v>
      </c>
      <c r="R118" s="40">
        <f t="shared" ca="1" si="43"/>
        <v>-2.4365784055413011E-3</v>
      </c>
      <c r="S118" s="41">
        <f t="shared" ca="1" si="28"/>
        <v>638409.85000000021</v>
      </c>
      <c r="T118">
        <v>890000</v>
      </c>
      <c r="U118" s="20">
        <f t="shared" si="35"/>
        <v>2666009.6381355934</v>
      </c>
      <c r="V118" s="20"/>
      <c r="W118" s="4">
        <f t="shared" si="54"/>
        <v>1.2648148017767369E-2</v>
      </c>
      <c r="X118" s="20">
        <f t="shared" si="37"/>
        <v>33298.91491525434</v>
      </c>
      <c r="Y118" s="17"/>
      <c r="Z118" s="30">
        <f t="shared" si="51"/>
        <v>1.0360375740800767</v>
      </c>
      <c r="AA118" s="18">
        <f t="shared" si="38"/>
        <v>5.4376262046677386</v>
      </c>
    </row>
    <row r="119" spans="1:27" ht="27" x14ac:dyDescent="0.15">
      <c r="A119" s="1">
        <v>42852</v>
      </c>
      <c r="B119" s="30">
        <f t="shared" si="34"/>
        <v>4</v>
      </c>
      <c r="C119" s="30">
        <v>0</v>
      </c>
      <c r="D119" s="20">
        <v>1920032.74</v>
      </c>
      <c r="E119" s="20">
        <v>1920032.74</v>
      </c>
      <c r="F119" s="4">
        <f t="shared" si="49"/>
        <v>4.3208021080543002E-3</v>
      </c>
      <c r="G119">
        <v>7069.67</v>
      </c>
      <c r="H119">
        <v>7424.87</v>
      </c>
      <c r="I119">
        <v>-355.2</v>
      </c>
      <c r="J119">
        <v>1128</v>
      </c>
      <c r="K119" s="30">
        <f>79.125-8</f>
        <v>71.125</v>
      </c>
      <c r="L119" s="18">
        <f t="shared" si="53"/>
        <v>8268.7950000000001</v>
      </c>
      <c r="M119" s="37">
        <f t="shared" si="47"/>
        <v>8260.3899999998976</v>
      </c>
      <c r="N119" s="17" t="s">
        <v>2693</v>
      </c>
      <c r="O119" s="41">
        <f ca="1">SUMIFS(Stock!$O:$O,Stock!$A:$A,'Asset Line A share'!$A119,Stock!$I:$I,O$2)</f>
        <v>534498.4</v>
      </c>
      <c r="P119" s="41">
        <f ca="1">SUMIFS(Stock!$O:$O,Stock!$A:$A,'Asset Line A share'!$A119,Stock!$I:$I,P$2)</f>
        <v>295996</v>
      </c>
      <c r="Q119" s="40">
        <f t="shared" ca="1" si="42"/>
        <v>1.3891285736309033E-2</v>
      </c>
      <c r="R119" s="40">
        <f t="shared" ca="1" si="43"/>
        <v>-1.2000162164353572E-3</v>
      </c>
      <c r="S119" s="41">
        <f t="shared" ca="1" si="28"/>
        <v>876912.25000000023</v>
      </c>
      <c r="T119" s="30">
        <v>890900</v>
      </c>
      <c r="U119" s="20">
        <f t="shared" si="35"/>
        <v>2675032.7400000002</v>
      </c>
      <c r="V119" s="20"/>
      <c r="W119" s="4">
        <f t="shared" ref="W119" si="55">U119/U118-1</f>
        <v>3.3844970908345484E-3</v>
      </c>
      <c r="X119" s="20">
        <f t="shared" si="37"/>
        <v>9023.101864406839</v>
      </c>
      <c r="Y119" s="39"/>
      <c r="Z119" s="30">
        <f t="shared" si="51"/>
        <v>1.039544040235546</v>
      </c>
      <c r="AA119" s="18">
        <f t="shared" si="38"/>
        <v>5.7582837579809656</v>
      </c>
    </row>
    <row r="120" spans="1:27" x14ac:dyDescent="0.15">
      <c r="A120" s="1">
        <v>42853</v>
      </c>
      <c r="B120" s="30">
        <f t="shared" si="34"/>
        <v>5</v>
      </c>
      <c r="C120" s="30">
        <v>0</v>
      </c>
      <c r="D120" s="20">
        <v>1919437.82</v>
      </c>
      <c r="E120" s="20">
        <v>1919437.82</v>
      </c>
      <c r="F120" s="4">
        <f t="shared" si="49"/>
        <v>-3.0984888309770753E-4</v>
      </c>
      <c r="G120">
        <v>-2489.86</v>
      </c>
      <c r="H120">
        <v>1237.47</v>
      </c>
      <c r="I120">
        <v>-3727.32</v>
      </c>
      <c r="J120">
        <v>1619</v>
      </c>
      <c r="K120" s="30">
        <f>289.9444444-14</f>
        <v>275.94444440000001</v>
      </c>
      <c r="L120" s="18">
        <f t="shared" si="53"/>
        <v>-594.91555560000006</v>
      </c>
      <c r="M120" s="37">
        <f t="shared" si="47"/>
        <v>-594.91999999992549</v>
      </c>
      <c r="N120" s="17" t="s">
        <v>2698</v>
      </c>
      <c r="O120" s="41">
        <f ca="1">SUMIFS(Stock!$O:$O,Stock!$A:$A,'Asset Line A share'!$A120,Stock!$I:$I,O$2)</f>
        <v>64773.000000000007</v>
      </c>
      <c r="P120" s="41">
        <f ca="1">SUMIFS(Stock!$O:$O,Stock!$A:$A,'Asset Line A share'!$A120,Stock!$I:$I,P$2)</f>
        <v>581422</v>
      </c>
      <c r="Q120" s="40">
        <f t="shared" ca="1" si="42"/>
        <v>1.9104719559075539E-2</v>
      </c>
      <c r="R120" s="40">
        <f t="shared" ca="1" si="43"/>
        <v>-6.410696533670897E-3</v>
      </c>
      <c r="S120" s="41">
        <f t="shared" ca="1" si="28"/>
        <v>360263.25000000023</v>
      </c>
      <c r="T120" s="30">
        <v>1278706</v>
      </c>
      <c r="U120" s="20">
        <f t="shared" si="35"/>
        <v>3003086.972542373</v>
      </c>
      <c r="V120" s="20">
        <f>50000*6.8</f>
        <v>340000</v>
      </c>
      <c r="W120" s="4">
        <f>U120/(U119+50000*7.75/1.1)-1</f>
        <v>-8.0000168440790276E-3</v>
      </c>
      <c r="X120" s="20">
        <f t="shared" si="37"/>
        <v>-11945.767457627226</v>
      </c>
      <c r="Y120" s="17" t="s">
        <v>2699</v>
      </c>
      <c r="Z120" s="30">
        <f t="shared" si="51"/>
        <v>1.0312276704034997</v>
      </c>
      <c r="AA120" s="18">
        <f t="shared" si="38"/>
        <v>3.6173447188400862</v>
      </c>
    </row>
    <row r="121" spans="1:27" x14ac:dyDescent="0.15">
      <c r="A121" s="1">
        <v>42857</v>
      </c>
      <c r="B121">
        <f t="shared" si="34"/>
        <v>2</v>
      </c>
      <c r="C121" s="30">
        <v>0</v>
      </c>
      <c r="D121" s="20">
        <v>1922970.53</v>
      </c>
      <c r="E121" s="20">
        <v>1922970.53</v>
      </c>
      <c r="F121" s="4">
        <f t="shared" si="49"/>
        <v>1.8404920248993317E-3</v>
      </c>
      <c r="G121">
        <v>1074.53</v>
      </c>
      <c r="H121" s="30">
        <v>1239.68</v>
      </c>
      <c r="I121" s="30">
        <v>-165.15</v>
      </c>
      <c r="J121">
        <v>2250</v>
      </c>
      <c r="K121" s="30">
        <f>218.166666-10</f>
        <v>208.16666599999999</v>
      </c>
      <c r="L121" s="18">
        <f t="shared" si="53"/>
        <v>3532.6966659999998</v>
      </c>
      <c r="M121" s="37">
        <f t="shared" si="47"/>
        <v>3532.7099999999627</v>
      </c>
      <c r="N121" s="17" t="s">
        <v>2715</v>
      </c>
      <c r="O121" s="41">
        <f ca="1">SUMIFS(Stock!$O:$O,Stock!$A:$A,'Asset Line A share'!$A121,Stock!$I:$I,O$2)</f>
        <v>737690</v>
      </c>
      <c r="P121" s="41">
        <f ca="1">SUMIFS(Stock!$O:$O,Stock!$A:$A,'Asset Line A share'!$A121,Stock!$I:$I,P$2)</f>
        <v>59961</v>
      </c>
      <c r="Q121" s="40">
        <f t="shared" ca="1" si="42"/>
        <v>1.6804890943350188E-3</v>
      </c>
      <c r="R121" s="40">
        <f t="shared" ca="1" si="43"/>
        <v>-2.7542902886876471E-3</v>
      </c>
      <c r="S121" s="41">
        <f t="shared" ca="1" si="28"/>
        <v>1037992.2500000002</v>
      </c>
      <c r="T121" s="30">
        <v>1271100</v>
      </c>
      <c r="U121" s="20">
        <f t="shared" si="35"/>
        <v>3000173.9198305085</v>
      </c>
      <c r="V121" s="20"/>
      <c r="W121" s="4">
        <f t="shared" ref="W121:W127" si="56">U121/U120-1</f>
        <v>-9.7001942950669662E-4</v>
      </c>
      <c r="X121" s="20">
        <f t="shared" si="37"/>
        <v>-2913.0527118644677</v>
      </c>
      <c r="Y121" s="17" t="s">
        <v>2716</v>
      </c>
      <c r="Z121" s="30">
        <f t="shared" si="51"/>
        <v>1.0302273595269633</v>
      </c>
      <c r="AA121" s="18">
        <f t="shared" si="38"/>
        <v>4.3061206503686504</v>
      </c>
    </row>
    <row r="122" spans="1:27" ht="27" x14ac:dyDescent="0.15">
      <c r="A122" s="1">
        <v>42858</v>
      </c>
      <c r="B122">
        <f t="shared" si="34"/>
        <v>3</v>
      </c>
      <c r="C122" s="30">
        <v>0</v>
      </c>
      <c r="D122" s="20">
        <v>1923317.25</v>
      </c>
      <c r="E122" s="20">
        <v>1923317.25</v>
      </c>
      <c r="F122" s="4">
        <f t="shared" si="49"/>
        <v>1.8030437523131049E-4</v>
      </c>
      <c r="G122">
        <v>2060.9699999999998</v>
      </c>
      <c r="H122">
        <v>2626.44</v>
      </c>
      <c r="I122" s="30">
        <v>-565.47</v>
      </c>
      <c r="J122">
        <v>-1835</v>
      </c>
      <c r="K122" s="30">
        <f>123.75-3</f>
        <v>120.75</v>
      </c>
      <c r="L122" s="18">
        <f t="shared" si="53"/>
        <v>346.7199999999998</v>
      </c>
      <c r="M122" s="37">
        <f t="shared" si="47"/>
        <v>346.71999999997206</v>
      </c>
      <c r="N122" s="17" t="s">
        <v>2735</v>
      </c>
      <c r="O122" s="41">
        <f ca="1">SUMIFS(Stock!$O:$O,Stock!$A:$A,'Asset Line A share'!$A122,Stock!$I:$I,O$2)</f>
        <v>700628</v>
      </c>
      <c r="P122" s="41">
        <f ca="1">SUMIFS(Stock!$O:$O,Stock!$A:$A,'Asset Line A share'!$A122,Stock!$I:$I,P$2)</f>
        <v>471238</v>
      </c>
      <c r="Q122" s="40">
        <f t="shared" ca="1" si="42"/>
        <v>3.748694028785604E-3</v>
      </c>
      <c r="R122" s="40">
        <f t="shared" ca="1" si="43"/>
        <v>-1.1999668957087502E-3</v>
      </c>
      <c r="S122" s="41">
        <f t="shared" ca="1" si="28"/>
        <v>1267382.2500000002</v>
      </c>
      <c r="T122" s="30">
        <v>1267845</v>
      </c>
      <c r="U122" s="20">
        <f t="shared" si="35"/>
        <v>2997762.1652542371</v>
      </c>
      <c r="V122" s="20"/>
      <c r="W122" s="4">
        <f t="shared" si="56"/>
        <v>-8.0387158902028855E-4</v>
      </c>
      <c r="X122" s="20">
        <f t="shared" si="37"/>
        <v>-2411.7545762713999</v>
      </c>
      <c r="Y122" s="17" t="s">
        <v>2734</v>
      </c>
      <c r="Z122" s="30">
        <f t="shared" si="51"/>
        <v>1.0293991890224081</v>
      </c>
      <c r="AA122" s="18">
        <f t="shared" si="38"/>
        <v>3.5697720183083312</v>
      </c>
    </row>
    <row r="123" spans="1:27" ht="27" x14ac:dyDescent="0.15">
      <c r="A123" s="1">
        <v>42859</v>
      </c>
      <c r="B123">
        <f t="shared" si="34"/>
        <v>4</v>
      </c>
      <c r="C123" s="30">
        <v>0</v>
      </c>
      <c r="D123" s="20">
        <v>1910650.07</v>
      </c>
      <c r="E123" s="20">
        <v>1910650.07</v>
      </c>
      <c r="F123" s="4">
        <f t="shared" si="49"/>
        <v>-6.5861105337665649E-3</v>
      </c>
      <c r="G123">
        <v>1900.22352</v>
      </c>
      <c r="H123">
        <v>1834.38</v>
      </c>
      <c r="I123">
        <v>65.849999999999994</v>
      </c>
      <c r="J123">
        <v>-14605</v>
      </c>
      <c r="K123" s="30">
        <f>38.16666-2</f>
        <v>36.16666</v>
      </c>
      <c r="L123" s="18">
        <f t="shared" si="53"/>
        <v>-12668.60982</v>
      </c>
      <c r="M123" s="37">
        <f t="shared" si="47"/>
        <v>-12667.179999999935</v>
      </c>
      <c r="N123" s="17" t="s">
        <v>3583</v>
      </c>
      <c r="O123" s="41">
        <f ca="1">SUMIFS(Stock!$O:$O,Stock!$A:$A,'Asset Line A share'!$A123,Stock!$I:$I,O$2)</f>
        <v>1483480.4000000001</v>
      </c>
      <c r="P123" s="41">
        <f ca="1">SUMIFS(Stock!$O:$O,Stock!$A:$A,'Asset Line A share'!$A123,Stock!$I:$I,P$2)</f>
        <v>976836</v>
      </c>
      <c r="Q123" s="40">
        <f t="shared" ca="1" si="42"/>
        <v>1.2365380762698313E-3</v>
      </c>
      <c r="R123" s="40">
        <f t="shared" ca="1" si="43"/>
        <v>6.7411520459933908E-5</v>
      </c>
      <c r="S123" s="41">
        <f t="shared" ca="1" si="28"/>
        <v>1774026.6500000004</v>
      </c>
      <c r="T123" s="30">
        <v>1262569</v>
      </c>
      <c r="U123" s="20">
        <f t="shared" si="35"/>
        <v>2980623.7988135591</v>
      </c>
      <c r="V123" s="20"/>
      <c r="W123" s="4">
        <f t="shared" si="56"/>
        <v>-5.7170534204885604E-3</v>
      </c>
      <c r="X123" s="20">
        <f t="shared" si="37"/>
        <v>-17138.366440678015</v>
      </c>
      <c r="Y123" s="17" t="s">
        <v>3584</v>
      </c>
      <c r="Z123" s="30">
        <f t="shared" si="51"/>
        <v>1.0235140588677594</v>
      </c>
      <c r="AA123" s="18">
        <f t="shared" si="38"/>
        <v>1.8743063683533068</v>
      </c>
    </row>
    <row r="124" spans="1:27" ht="40.5" x14ac:dyDescent="0.15">
      <c r="A124" s="1">
        <v>42860</v>
      </c>
      <c r="B124">
        <f t="shared" si="34"/>
        <v>5</v>
      </c>
      <c r="C124" s="30">
        <v>0</v>
      </c>
      <c r="D124" s="20">
        <v>1867088.35</v>
      </c>
      <c r="E124" s="20">
        <v>1867088.35</v>
      </c>
      <c r="F124" s="4">
        <f t="shared" si="49"/>
        <v>-2.279942344439867E-2</v>
      </c>
      <c r="G124">
        <v>-874.11</v>
      </c>
      <c r="H124">
        <v>-536.88</v>
      </c>
      <c r="I124">
        <v>-337.23</v>
      </c>
      <c r="J124">
        <v>-42699</v>
      </c>
      <c r="K124" s="30">
        <v>11.388888</v>
      </c>
      <c r="L124" s="18">
        <f t="shared" si="53"/>
        <v>-43561.721111999999</v>
      </c>
      <c r="M124" s="37">
        <f t="shared" si="47"/>
        <v>-43561.719999999972</v>
      </c>
      <c r="N124" s="17" t="s">
        <v>3592</v>
      </c>
      <c r="O124" s="41">
        <f ca="1">SUMIFS(Stock!$O:$O,Stock!$A:$A,'Asset Line A share'!$A124,Stock!$I:$I,O$2)</f>
        <v>208586</v>
      </c>
      <c r="P124" s="41">
        <f ca="1">SUMIFS(Stock!$O:$O,Stock!$A:$A,'Asset Line A share'!$A124,Stock!$I:$I,P$2)</f>
        <v>518562</v>
      </c>
      <c r="Q124" s="40">
        <f t="shared" ca="1" si="42"/>
        <v>-2.5739023712042035E-3</v>
      </c>
      <c r="R124" s="40">
        <f t="shared" ca="1" si="43"/>
        <v>-6.5031760908049576E-4</v>
      </c>
      <c r="S124" s="41">
        <f t="shared" ca="1" si="28"/>
        <v>1464050.6500000004</v>
      </c>
      <c r="T124" s="30">
        <v>1257002</v>
      </c>
      <c r="U124" s="20">
        <f t="shared" si="35"/>
        <v>2932344.2822033903</v>
      </c>
      <c r="V124" s="20"/>
      <c r="W124" s="4">
        <f t="shared" si="56"/>
        <v>-1.6197789412198405E-2</v>
      </c>
      <c r="X124" s="20">
        <f t="shared" si="37"/>
        <v>-48279.516610168852</v>
      </c>
      <c r="Y124" s="17" t="s">
        <v>3591</v>
      </c>
      <c r="Z124" s="30">
        <f t="shared" si="51"/>
        <v>1.0069353936817949</v>
      </c>
      <c r="AA124" s="18">
        <f t="shared" si="38"/>
        <v>-0.51294431946210739</v>
      </c>
    </row>
    <row r="125" spans="1:27" ht="54" x14ac:dyDescent="0.15">
      <c r="A125" s="1">
        <v>42863</v>
      </c>
      <c r="B125">
        <f t="shared" si="34"/>
        <v>1</v>
      </c>
      <c r="C125" s="30">
        <v>0</v>
      </c>
      <c r="D125" s="20">
        <v>1811638.76</v>
      </c>
      <c r="E125" s="20">
        <v>1811638.76</v>
      </c>
      <c r="F125" s="4">
        <f t="shared" si="49"/>
        <v>-2.9698428571952706E-2</v>
      </c>
      <c r="G125">
        <v>-7925.61</v>
      </c>
      <c r="H125">
        <v>-7692.82</v>
      </c>
      <c r="I125">
        <v>-232.79</v>
      </c>
      <c r="J125">
        <v>-47524</v>
      </c>
      <c r="K125" s="30">
        <v>0</v>
      </c>
      <c r="L125" s="18">
        <f t="shared" si="53"/>
        <v>-55449.61</v>
      </c>
      <c r="M125" s="37">
        <f t="shared" si="47"/>
        <v>-55449.590000000084</v>
      </c>
      <c r="N125" s="17" t="s">
        <v>4319</v>
      </c>
      <c r="O125" s="41">
        <f ca="1">SUMIFS(Stock!$O:$O,Stock!$A:$A,'Asset Line A share'!$A125,Stock!$I:$I,O$2)</f>
        <v>543683</v>
      </c>
      <c r="P125" s="41">
        <f ca="1">SUMIFS(Stock!$O:$O,Stock!$A:$A,'Asset Line A share'!$A125,Stock!$I:$I,P$2)</f>
        <v>191569</v>
      </c>
      <c r="Q125" s="40">
        <f t="shared" ca="1" si="42"/>
        <v>-1.4149458416025515E-2</v>
      </c>
      <c r="R125" s="40">
        <f t="shared" ca="1" si="43"/>
        <v>-1.2151757330256983E-3</v>
      </c>
      <c r="S125" s="41">
        <f t="shared" ca="1" si="28"/>
        <v>1816164.6500000004</v>
      </c>
      <c r="T125" s="30">
        <v>1251704</v>
      </c>
      <c r="U125" s="20">
        <f t="shared" si="35"/>
        <v>2872404.8616949152</v>
      </c>
      <c r="V125" s="20"/>
      <c r="W125" s="4">
        <f t="shared" si="56"/>
        <v>-2.0440785508117787E-2</v>
      </c>
      <c r="X125" s="20">
        <f t="shared" si="37"/>
        <v>-59939.420508475043</v>
      </c>
      <c r="Y125" s="17" t="s">
        <v>3607</v>
      </c>
      <c r="Z125" s="30">
        <f t="shared" si="51"/>
        <v>0.98635284327901318</v>
      </c>
      <c r="AA125" s="18">
        <f t="shared" si="38"/>
        <v>-2.495057915717712</v>
      </c>
    </row>
    <row r="126" spans="1:27" ht="27" x14ac:dyDescent="0.15">
      <c r="A126" s="1">
        <v>42864</v>
      </c>
      <c r="B126">
        <f t="shared" si="34"/>
        <v>2</v>
      </c>
      <c r="C126" s="30">
        <v>0</v>
      </c>
      <c r="D126" s="20">
        <v>1824015.32</v>
      </c>
      <c r="E126" s="20">
        <v>1824015.32</v>
      </c>
      <c r="F126" s="4">
        <f t="shared" si="49"/>
        <v>6.8316930909559925E-3</v>
      </c>
      <c r="G126">
        <v>1090.51</v>
      </c>
      <c r="H126">
        <v>7533.58</v>
      </c>
      <c r="I126">
        <v>-6443.07</v>
      </c>
      <c r="J126">
        <v>11286</v>
      </c>
      <c r="K126" s="30">
        <v>0</v>
      </c>
      <c r="L126" s="18">
        <f t="shared" si="53"/>
        <v>12376.51</v>
      </c>
      <c r="M126" s="37">
        <f t="shared" si="47"/>
        <v>12376.560000000056</v>
      </c>
      <c r="N126" s="17" t="s">
        <v>3633</v>
      </c>
      <c r="O126" s="41">
        <f ca="1">SUMIFS(Stock!$O:$O,Stock!$A:$A,'Asset Line A share'!$A126,Stock!$I:$I,O$2)</f>
        <v>860401</v>
      </c>
      <c r="P126" s="41">
        <f ca="1">SUMIFS(Stock!$O:$O,Stock!$A:$A,'Asset Line A share'!$A126,Stock!$I:$I,P$2)</f>
        <v>731733</v>
      </c>
      <c r="Q126" s="40">
        <f t="shared" ca="1" si="42"/>
        <v>8.7558940540515412E-3</v>
      </c>
      <c r="R126" s="40">
        <f t="shared" ca="1" si="43"/>
        <v>-8.8052199367802189E-3</v>
      </c>
      <c r="S126" s="41">
        <f t="shared" ca="1" si="28"/>
        <v>1944832.6500000004</v>
      </c>
      <c r="T126" s="30">
        <v>1259430</v>
      </c>
      <c r="U126" s="20">
        <f t="shared" si="35"/>
        <v>2891328.8793220343</v>
      </c>
      <c r="V126" s="20"/>
      <c r="W126" s="4">
        <f t="shared" si="56"/>
        <v>6.5882138968225146E-3</v>
      </c>
      <c r="X126" s="20">
        <f t="shared" si="37"/>
        <v>18924.017627119087</v>
      </c>
      <c r="Y126" s="17" t="s">
        <v>3632</v>
      </c>
      <c r="Z126" s="30">
        <f t="shared" si="51"/>
        <v>0.99285114678827435</v>
      </c>
      <c r="AA126" s="18">
        <f t="shared" si="38"/>
        <v>-1.3165554022948773</v>
      </c>
    </row>
    <row r="127" spans="1:27" ht="27" x14ac:dyDescent="0.15">
      <c r="A127" s="1">
        <v>42865</v>
      </c>
      <c r="B127">
        <f t="shared" si="34"/>
        <v>3</v>
      </c>
      <c r="C127" s="30">
        <v>0</v>
      </c>
      <c r="D127" s="20">
        <v>1824122.02</v>
      </c>
      <c r="E127" s="20">
        <v>1824122.02</v>
      </c>
      <c r="F127" s="4">
        <f t="shared" si="49"/>
        <v>5.8497315691408147E-5</v>
      </c>
      <c r="G127">
        <v>-198.3</v>
      </c>
      <c r="H127">
        <v>-910.49</v>
      </c>
      <c r="I127">
        <v>712.19</v>
      </c>
      <c r="J127">
        <v>306</v>
      </c>
      <c r="K127" s="30">
        <v>0</v>
      </c>
      <c r="L127" s="18">
        <f t="shared" ref="L127:L133" si="57">G127+J127+K127</f>
        <v>107.69999999999999</v>
      </c>
      <c r="M127" s="37">
        <f t="shared" si="47"/>
        <v>106.69999999995343</v>
      </c>
      <c r="N127" s="17" t="s">
        <v>3639</v>
      </c>
      <c r="O127" s="41">
        <f ca="1">SUMIFS(Stock!$O:$O,Stock!$A:$A,'Asset Line A share'!$A127,Stock!$I:$I,O$2)</f>
        <v>184060</v>
      </c>
      <c r="P127" s="41">
        <f ca="1">SUMIFS(Stock!$O:$O,Stock!$A:$A,'Asset Line A share'!$A127,Stock!$I:$I,P$2)</f>
        <v>94005</v>
      </c>
      <c r="Q127" s="40">
        <f t="shared" ca="1" si="42"/>
        <v>-4.9467021623383683E-3</v>
      </c>
      <c r="R127" s="40">
        <f t="shared" ca="1" si="43"/>
        <v>7.5760863783841288E-3</v>
      </c>
      <c r="S127" s="41">
        <f t="shared" ca="1" si="28"/>
        <v>2034887.6500000004</v>
      </c>
      <c r="T127" s="30">
        <v>1267197</v>
      </c>
      <c r="U127" s="20">
        <f t="shared" si="35"/>
        <v>2898017.7827118644</v>
      </c>
      <c r="V127" s="20"/>
      <c r="W127" s="4">
        <f t="shared" si="56"/>
        <v>2.3134356792364752E-3</v>
      </c>
      <c r="X127" s="20">
        <f t="shared" si="37"/>
        <v>6688.9033898301423</v>
      </c>
      <c r="Y127" s="17"/>
      <c r="Z127" s="30">
        <f t="shared" si="51"/>
        <v>0.99514804405542523</v>
      </c>
      <c r="AA127" s="18">
        <f t="shared" si="38"/>
        <v>-1.3967108359467335</v>
      </c>
    </row>
    <row r="128" spans="1:27" x14ac:dyDescent="0.15">
      <c r="A128" s="1">
        <v>42866</v>
      </c>
      <c r="B128">
        <f t="shared" si="34"/>
        <v>4</v>
      </c>
      <c r="C128" s="30">
        <v>0</v>
      </c>
      <c r="D128" s="20">
        <v>1839835.02</v>
      </c>
      <c r="E128" s="20">
        <v>1839835.02</v>
      </c>
      <c r="F128" s="4">
        <f t="shared" si="49"/>
        <v>8.6140070827060988E-3</v>
      </c>
      <c r="G128">
        <v>0</v>
      </c>
      <c r="H128">
        <v>0</v>
      </c>
      <c r="I128">
        <v>0</v>
      </c>
      <c r="J128">
        <v>15713</v>
      </c>
      <c r="K128" s="30">
        <v>0</v>
      </c>
      <c r="L128" s="18">
        <f t="shared" si="57"/>
        <v>15713</v>
      </c>
      <c r="M128" s="37">
        <f t="shared" si="47"/>
        <v>15713</v>
      </c>
      <c r="N128" s="17" t="s">
        <v>3640</v>
      </c>
      <c r="O128" s="41">
        <f ca="1">SUMIFS(Stock!$O:$O,Stock!$A:$A,'Asset Line A share'!$A128,Stock!$I:$I,O$2)</f>
        <v>0</v>
      </c>
      <c r="P128" s="41">
        <f ca="1">SUMIFS(Stock!$O:$O,Stock!$A:$A,'Asset Line A share'!$A128,Stock!$I:$I,P$2)</f>
        <v>0</v>
      </c>
      <c r="Q128" s="40" t="str">
        <f t="shared" ca="1" si="42"/>
        <v/>
      </c>
      <c r="R128" s="40" t="str">
        <f t="shared" ca="1" si="43"/>
        <v/>
      </c>
      <c r="S128" s="41">
        <f t="shared" ca="1" si="28"/>
        <v>2034887.6500000004</v>
      </c>
      <c r="T128" s="30">
        <v>1285274</v>
      </c>
      <c r="U128" s="20">
        <f t="shared" si="35"/>
        <v>2929050.2742372882</v>
      </c>
      <c r="V128" s="20"/>
      <c r="W128" s="4">
        <f t="shared" ref="W128:W131" si="58">U128/U127-1</f>
        <v>1.0708178435117954E-2</v>
      </c>
      <c r="X128" s="20">
        <f t="shared" si="37"/>
        <v>31032.491525423713</v>
      </c>
      <c r="Y128" s="17" t="s">
        <v>3641</v>
      </c>
      <c r="Z128" s="30">
        <f t="shared" si="51"/>
        <v>1.0058042668805294</v>
      </c>
      <c r="AA128" s="18">
        <f t="shared" si="38"/>
        <v>-0.1429782454118835</v>
      </c>
    </row>
    <row r="129" spans="1:27" ht="27" x14ac:dyDescent="0.15">
      <c r="A129" s="1">
        <v>42867</v>
      </c>
      <c r="B129">
        <f t="shared" si="34"/>
        <v>5</v>
      </c>
      <c r="C129" s="30">
        <v>0</v>
      </c>
      <c r="D129" s="20">
        <v>1847631.02</v>
      </c>
      <c r="E129" s="20">
        <v>1847631.02</v>
      </c>
      <c r="F129" s="4">
        <f t="shared" si="49"/>
        <v>4.2373364542218628E-3</v>
      </c>
      <c r="G129">
        <v>0</v>
      </c>
      <c r="H129">
        <v>0</v>
      </c>
      <c r="I129">
        <v>0</v>
      </c>
      <c r="J129">
        <v>7796</v>
      </c>
      <c r="K129" s="30">
        <v>0</v>
      </c>
      <c r="L129" s="18">
        <f t="shared" si="57"/>
        <v>7796</v>
      </c>
      <c r="M129" s="37">
        <f t="shared" si="47"/>
        <v>7796</v>
      </c>
      <c r="N129" s="17" t="s">
        <v>3642</v>
      </c>
      <c r="O129" s="41">
        <f ca="1">SUMIFS(Stock!$O:$O,Stock!$A:$A,'Asset Line A share'!$A129,Stock!$I:$I,O$2)</f>
        <v>0</v>
      </c>
      <c r="P129" s="41">
        <f ca="1">SUMIFS(Stock!$O:$O,Stock!$A:$A,'Asset Line A share'!$A129,Stock!$I:$I,P$2)</f>
        <v>0</v>
      </c>
      <c r="Q129" s="40" t="str">
        <f t="shared" ca="1" si="42"/>
        <v/>
      </c>
      <c r="R129" s="40" t="str">
        <f t="shared" ca="1" si="43"/>
        <v/>
      </c>
      <c r="S129" s="41">
        <f t="shared" ca="1" si="28"/>
        <v>2034887.6500000004</v>
      </c>
      <c r="T129">
        <v>1322672</v>
      </c>
      <c r="U129" s="20">
        <f t="shared" si="35"/>
        <v>2968539.4945762712</v>
      </c>
      <c r="V129" s="20"/>
      <c r="W129" s="4">
        <f t="shared" si="58"/>
        <v>1.3481919612754245E-2</v>
      </c>
      <c r="X129" s="20">
        <f t="shared" si="37"/>
        <v>39489.220338982996</v>
      </c>
      <c r="Y129" s="17" t="s">
        <v>3643</v>
      </c>
      <c r="Z129" s="30">
        <f t="shared" si="51"/>
        <v>1.0193644391527779</v>
      </c>
      <c r="AA129" s="18">
        <f t="shared" si="38"/>
        <v>1.1534626512640354</v>
      </c>
    </row>
    <row r="130" spans="1:27" x14ac:dyDescent="0.15">
      <c r="A130" s="1">
        <v>42870</v>
      </c>
      <c r="B130">
        <f t="shared" si="34"/>
        <v>1</v>
      </c>
      <c r="C130" s="30">
        <v>0</v>
      </c>
      <c r="D130" s="20">
        <v>1868845.48</v>
      </c>
      <c r="E130" s="20">
        <v>1868845.48</v>
      </c>
      <c r="F130" s="4">
        <f t="shared" si="49"/>
        <v>1.1481978690745187E-2</v>
      </c>
      <c r="G130">
        <v>-137.54</v>
      </c>
      <c r="H130">
        <v>60.38</v>
      </c>
      <c r="I130">
        <v>-197.92</v>
      </c>
      <c r="J130">
        <v>21352</v>
      </c>
      <c r="K130" s="30">
        <v>0</v>
      </c>
      <c r="L130" s="18">
        <f t="shared" si="57"/>
        <v>21214.46</v>
      </c>
      <c r="M130" s="37">
        <f t="shared" si="47"/>
        <v>21214.459999999963</v>
      </c>
      <c r="N130" s="17" t="s">
        <v>3647</v>
      </c>
      <c r="O130" s="41">
        <f ca="1">SUMIFS(Stock!$O:$O,Stock!$A:$A,'Asset Line A share'!$A130,Stock!$I:$I,O$2)</f>
        <v>48080</v>
      </c>
      <c r="P130" s="41">
        <f ca="1">SUMIFS(Stock!$O:$O,Stock!$A:$A,'Asset Line A share'!$A130,Stock!$I:$I,P$2)</f>
        <v>229436</v>
      </c>
      <c r="Q130" s="40">
        <f t="shared" ca="1" si="42"/>
        <v>1.2558236272878537E-3</v>
      </c>
      <c r="R130" s="40">
        <f t="shared" ca="1" si="43"/>
        <v>-8.626370752628183E-4</v>
      </c>
      <c r="S130" s="41">
        <f t="shared" ca="1" si="28"/>
        <v>1853531.6500000004</v>
      </c>
      <c r="T130" s="30">
        <v>1322854</v>
      </c>
      <c r="U130" s="20">
        <f t="shared" si="35"/>
        <v>2989908.1918644067</v>
      </c>
      <c r="V130" s="20"/>
      <c r="W130" s="4">
        <f t="shared" si="58"/>
        <v>7.1983873979704072E-3</v>
      </c>
      <c r="X130" s="20">
        <f t="shared" si="37"/>
        <v>21368.697288135532</v>
      </c>
      <c r="Y130" s="17" t="s">
        <v>3647</v>
      </c>
      <c r="Z130" s="30">
        <f t="shared" si="51"/>
        <v>1.0267022192855144</v>
      </c>
      <c r="AA130" s="18">
        <f t="shared" si="38"/>
        <v>1.7356864748494765</v>
      </c>
    </row>
    <row r="131" spans="1:27" x14ac:dyDescent="0.15">
      <c r="A131" s="1">
        <v>42871</v>
      </c>
      <c r="B131">
        <f t="shared" si="34"/>
        <v>2</v>
      </c>
      <c r="C131" s="30">
        <v>0</v>
      </c>
      <c r="D131" s="20">
        <v>1903910.87</v>
      </c>
      <c r="E131" s="20">
        <v>1903910.87</v>
      </c>
      <c r="F131" s="4">
        <f t="shared" si="49"/>
        <v>1.8763129630171571E-2</v>
      </c>
      <c r="G131">
        <v>302.37</v>
      </c>
      <c r="H131">
        <v>1890.85</v>
      </c>
      <c r="I131">
        <v>-1588.4839999999999</v>
      </c>
      <c r="J131">
        <v>34769</v>
      </c>
      <c r="K131" s="30">
        <v>-6</v>
      </c>
      <c r="L131" s="18">
        <f t="shared" si="57"/>
        <v>35065.370000000003</v>
      </c>
      <c r="M131" s="37">
        <f t="shared" si="47"/>
        <v>35065.39000000013</v>
      </c>
      <c r="N131" s="17" t="s">
        <v>3653</v>
      </c>
      <c r="O131" s="41">
        <f ca="1">SUMIFS(Stock!$O:$O,Stock!$A:$A,'Asset Line A share'!$A131,Stock!$I:$I,O$2)</f>
        <v>95730</v>
      </c>
      <c r="P131" s="41">
        <f ca="1">SUMIFS(Stock!$O:$O,Stock!$A:$A,'Asset Line A share'!$A131,Stock!$I:$I,P$2)</f>
        <v>541370</v>
      </c>
      <c r="Q131" s="40">
        <f t="shared" ca="1" si="42"/>
        <v>1.9751906403426302E-2</v>
      </c>
      <c r="R131" s="40">
        <f t="shared" ca="1" si="43"/>
        <v>-2.9341928810240683E-3</v>
      </c>
      <c r="S131" s="41">
        <f t="shared" ca="1" si="28"/>
        <v>1407891.6500000004</v>
      </c>
      <c r="T131" s="30">
        <v>1322396</v>
      </c>
      <c r="U131" s="20">
        <f t="shared" si="35"/>
        <v>3024585.4462711867</v>
      </c>
      <c r="V131" s="20"/>
      <c r="W131" s="4">
        <f t="shared" si="58"/>
        <v>1.1598100069138306E-2</v>
      </c>
      <c r="X131" s="20">
        <f t="shared" si="37"/>
        <v>34677.254406780005</v>
      </c>
      <c r="Y131" s="17" t="s">
        <v>3652</v>
      </c>
      <c r="Z131" s="30">
        <f t="shared" si="51"/>
        <v>1.0386100143659942</v>
      </c>
      <c r="AA131" s="18">
        <f t="shared" si="38"/>
        <v>2.426426863129334</v>
      </c>
    </row>
    <row r="132" spans="1:27" x14ac:dyDescent="0.15">
      <c r="A132" s="1">
        <v>42872</v>
      </c>
      <c r="B132">
        <f t="shared" si="34"/>
        <v>3</v>
      </c>
      <c r="C132" s="30">
        <v>0</v>
      </c>
      <c r="D132" s="20">
        <v>1890222.67</v>
      </c>
      <c r="E132" s="20">
        <v>1890222.67</v>
      </c>
      <c r="F132" s="4">
        <f t="shared" si="49"/>
        <v>-7.1895172277681718E-3</v>
      </c>
      <c r="G132">
        <v>-535.41999999999996</v>
      </c>
      <c r="H132">
        <v>-3513.76</v>
      </c>
      <c r="I132">
        <v>2978.34</v>
      </c>
      <c r="J132">
        <v>-13213</v>
      </c>
      <c r="K132" s="30">
        <v>60.25</v>
      </c>
      <c r="L132" s="18">
        <f t="shared" si="57"/>
        <v>-13688.17</v>
      </c>
      <c r="M132" s="37">
        <f t="shared" si="47"/>
        <v>-13688.200000000186</v>
      </c>
      <c r="N132" s="17" t="s">
        <v>3669</v>
      </c>
      <c r="O132" s="41">
        <f ca="1">SUMIFS(Stock!$O:$O,Stock!$A:$A,'Asset Line A share'!$A132,Stock!$I:$I,O$2)</f>
        <v>722797.5</v>
      </c>
      <c r="P132" s="41">
        <f ca="1">SUMIFS(Stock!$O:$O,Stock!$A:$A,'Asset Line A share'!$A132,Stock!$I:$I,P$2)</f>
        <v>143052</v>
      </c>
      <c r="Q132" s="40">
        <f t="shared" ref="Q132:Q163" ca="1" si="59">IF(O132&lt;&gt;0,+H132/O132,"")</f>
        <v>-4.8613339144089459E-3</v>
      </c>
      <c r="R132" s="40">
        <f t="shared" ref="R132:R163" ca="1" si="60">IF(P132&lt;&gt;0,+I132/P132,"")</f>
        <v>2.0819981545172384E-2</v>
      </c>
      <c r="S132" s="41">
        <f t="shared" ca="1" si="28"/>
        <v>1987637.1500000004</v>
      </c>
      <c r="T132">
        <v>1314178</v>
      </c>
      <c r="U132" s="20">
        <f t="shared" si="35"/>
        <v>3003932.8394915257</v>
      </c>
      <c r="V132" s="20"/>
      <c r="W132" s="4">
        <f>U132/U131-1</f>
        <v>-6.828243786308752E-3</v>
      </c>
      <c r="X132" s="20">
        <f t="shared" si="37"/>
        <v>-20652.60677966103</v>
      </c>
      <c r="Y132" s="17" t="s">
        <v>3670</v>
      </c>
      <c r="Z132" s="30">
        <f t="shared" si="51"/>
        <v>1.0315181319890017</v>
      </c>
      <c r="AA132" s="18">
        <f t="shared" si="38"/>
        <v>1.8878778757594674</v>
      </c>
    </row>
    <row r="133" spans="1:27" ht="27" x14ac:dyDescent="0.15">
      <c r="A133" s="1">
        <v>42873</v>
      </c>
      <c r="B133">
        <f t="shared" si="34"/>
        <v>4</v>
      </c>
      <c r="C133" s="30">
        <v>0</v>
      </c>
      <c r="D133" s="20">
        <v>1879273.82</v>
      </c>
      <c r="E133" s="20">
        <v>1879273.82</v>
      </c>
      <c r="F133" s="4">
        <f t="shared" si="49"/>
        <v>-5.7923599022330352E-3</v>
      </c>
      <c r="G133">
        <v>722.15</v>
      </c>
      <c r="H133">
        <v>392.79</v>
      </c>
      <c r="I133">
        <v>329.36</v>
      </c>
      <c r="J133">
        <v>-11671</v>
      </c>
      <c r="K133" s="30">
        <v>0</v>
      </c>
      <c r="L133" s="18">
        <f t="shared" si="57"/>
        <v>-10948.85</v>
      </c>
      <c r="M133" s="37">
        <f t="shared" si="47"/>
        <v>-10948.84999999986</v>
      </c>
      <c r="N133" s="17" t="s">
        <v>3673</v>
      </c>
      <c r="O133" s="41">
        <f ca="1">SUMIFS(Stock!$O:$O,Stock!$A:$A,'Asset Line A share'!$A133,Stock!$I:$I,O$2)</f>
        <v>91478</v>
      </c>
      <c r="P133" s="41">
        <f ca="1">SUMIFS(Stock!$O:$O,Stock!$A:$A,'Asset Line A share'!$A133,Stock!$I:$I,P$2)</f>
        <v>49710</v>
      </c>
      <c r="Q133" s="40">
        <f t="shared" ca="1" si="59"/>
        <v>4.2938192789523169E-3</v>
      </c>
      <c r="R133" s="40">
        <f t="shared" ca="1" si="60"/>
        <v>6.6256286461476568E-3</v>
      </c>
      <c r="S133" s="41">
        <f t="shared" ca="1" si="28"/>
        <v>2029405.1500000004</v>
      </c>
      <c r="T133">
        <v>1303976</v>
      </c>
      <c r="U133" s="20">
        <f t="shared" si="35"/>
        <v>2984338.2267796611</v>
      </c>
      <c r="V133" s="20"/>
      <c r="W133" s="4">
        <f>U133/U132-1</f>
        <v>-6.5229862846005737E-3</v>
      </c>
      <c r="X133" s="20">
        <f t="shared" si="37"/>
        <v>-19594.612711864524</v>
      </c>
      <c r="Y133" s="17"/>
      <c r="Z133" s="30">
        <f t="shared" si="51"/>
        <v>1.0247895533617206</v>
      </c>
      <c r="AA133" s="18">
        <f t="shared" si="38"/>
        <v>1.3077734532470844</v>
      </c>
    </row>
    <row r="134" spans="1:27" x14ac:dyDescent="0.15">
      <c r="A134" s="1">
        <v>42874</v>
      </c>
      <c r="B134">
        <f t="shared" si="34"/>
        <v>5</v>
      </c>
      <c r="C134" s="30">
        <v>0</v>
      </c>
      <c r="D134" s="20">
        <v>1903986.22</v>
      </c>
      <c r="E134" s="20">
        <v>1903986.22</v>
      </c>
      <c r="F134" s="4">
        <f t="shared" si="49"/>
        <v>1.3149973003933946E-2</v>
      </c>
      <c r="G134">
        <v>-201.6</v>
      </c>
      <c r="H134">
        <v>0</v>
      </c>
      <c r="I134">
        <v>201.6</v>
      </c>
      <c r="J134">
        <v>24914</v>
      </c>
      <c r="K134" s="30">
        <v>0</v>
      </c>
      <c r="L134" s="18">
        <f t="shared" ref="L134" si="61">G134+J134+K134</f>
        <v>24712.400000000001</v>
      </c>
      <c r="M134" s="37">
        <f t="shared" si="47"/>
        <v>24712.399999999907</v>
      </c>
      <c r="O134" s="41">
        <f ca="1">SUMIFS(Stock!$O:$O,Stock!$A:$A,'Asset Line A share'!$A134,Stock!$I:$I,O$2)</f>
        <v>0</v>
      </c>
      <c r="P134" s="41">
        <f ca="1">SUMIFS(Stock!$O:$O,Stock!$A:$A,'Asset Line A share'!$A134,Stock!$I:$I,P$2)</f>
        <v>168000</v>
      </c>
      <c r="Q134" s="40" t="str">
        <f t="shared" ca="1" si="59"/>
        <v/>
      </c>
      <c r="R134" s="40">
        <f t="shared" ca="1" si="60"/>
        <v>1.1999999999999999E-3</v>
      </c>
      <c r="S134" s="41">
        <f t="shared" ref="S134:S177" ca="1" si="62">+S135+P135-O135</f>
        <v>1861405.1500000004</v>
      </c>
      <c r="T134" s="30">
        <v>1311175</v>
      </c>
      <c r="U134" s="20">
        <f t="shared" si="35"/>
        <v>3015151.4742372883</v>
      </c>
      <c r="V134" s="20"/>
      <c r="W134" s="4">
        <f t="shared" ref="W134" si="63">U134/U133-1</f>
        <v>1.0324985010454757E-2</v>
      </c>
      <c r="X134" s="20">
        <f t="shared" si="37"/>
        <v>30813.247457627207</v>
      </c>
      <c r="Y134" s="17" t="s">
        <v>3675</v>
      </c>
      <c r="Z134" s="30">
        <f t="shared" si="51"/>
        <v>1.035370490139051</v>
      </c>
      <c r="AA134" s="18">
        <f t="shared" si="38"/>
        <v>1.8838293742830741</v>
      </c>
    </row>
    <row r="135" spans="1:27" x14ac:dyDescent="0.15">
      <c r="A135" s="1">
        <v>42877</v>
      </c>
      <c r="B135">
        <f t="shared" si="34"/>
        <v>1</v>
      </c>
      <c r="C135" s="30">
        <v>0</v>
      </c>
      <c r="D135" s="20">
        <v>1920510.61</v>
      </c>
      <c r="E135" s="20">
        <v>1920510.61</v>
      </c>
      <c r="F135" s="4">
        <f t="shared" si="49"/>
        <v>8.678839072690403E-3</v>
      </c>
      <c r="G135">
        <v>-754.61</v>
      </c>
      <c r="H135" s="30">
        <v>-754.61</v>
      </c>
      <c r="I135">
        <v>0</v>
      </c>
      <c r="J135">
        <v>17279</v>
      </c>
      <c r="K135" s="30">
        <v>0</v>
      </c>
      <c r="L135" s="18">
        <f t="shared" ref="L135:L138" si="64">G135+J135+K135</f>
        <v>16524.39</v>
      </c>
      <c r="M135" s="37">
        <f t="shared" si="47"/>
        <v>16524.39000000013</v>
      </c>
      <c r="O135" s="41">
        <f ca="1">SUMIFS(Stock!$O:$O,Stock!$A:$A,'Asset Line A share'!$A135,Stock!$I:$I,O$2)</f>
        <v>148238</v>
      </c>
      <c r="P135" s="41">
        <f ca="1">SUMIFS(Stock!$O:$O,Stock!$A:$A,'Asset Line A share'!$A135,Stock!$I:$I,P$2)</f>
        <v>0</v>
      </c>
      <c r="Q135" s="40">
        <f t="shared" ca="1" si="59"/>
        <v>-5.0905300934982935E-3</v>
      </c>
      <c r="R135" s="40" t="str">
        <f t="shared" ca="1" si="60"/>
        <v/>
      </c>
      <c r="S135" s="41">
        <f t="shared" ca="1" si="62"/>
        <v>2009643.1500000004</v>
      </c>
      <c r="T135" s="30">
        <v>1328304</v>
      </c>
      <c r="U135" s="20">
        <f t="shared" si="35"/>
        <v>3046191.9659322035</v>
      </c>
      <c r="V135" s="20"/>
      <c r="W135" s="4">
        <f t="shared" ref="W135" si="65">U135/U134-1</f>
        <v>1.0294836581225875E-2</v>
      </c>
      <c r="X135" s="20">
        <f t="shared" si="37"/>
        <v>31040.491694915108</v>
      </c>
      <c r="Y135" s="17"/>
      <c r="Z135" s="30">
        <f t="shared" si="51"/>
        <v>1.0460294601360562</v>
      </c>
      <c r="AA135" s="18">
        <f t="shared" si="38"/>
        <v>2.2438859704330234</v>
      </c>
    </row>
    <row r="136" spans="1:27" x14ac:dyDescent="0.15">
      <c r="A136" s="1">
        <v>42878</v>
      </c>
      <c r="B136">
        <f t="shared" si="34"/>
        <v>2</v>
      </c>
      <c r="C136" s="30">
        <v>0</v>
      </c>
      <c r="D136" s="20">
        <v>1954250.56</v>
      </c>
      <c r="E136" s="20">
        <v>1954250.56</v>
      </c>
      <c r="F136" s="4">
        <f t="shared" si="49"/>
        <v>1.7568218485395359E-2</v>
      </c>
      <c r="G136">
        <v>-5458.04</v>
      </c>
      <c r="H136">
        <v>2059.39</v>
      </c>
      <c r="I136">
        <v>-7517.43</v>
      </c>
      <c r="J136">
        <v>39198</v>
      </c>
      <c r="K136" s="30">
        <v>0</v>
      </c>
      <c r="L136" s="18">
        <f t="shared" si="64"/>
        <v>33739.96</v>
      </c>
      <c r="M136" s="37">
        <f t="shared" si="47"/>
        <v>33739.949999999953</v>
      </c>
      <c r="N136" s="17" t="s">
        <v>3687</v>
      </c>
      <c r="O136" s="41">
        <f ca="1">SUMIFS(Stock!$O:$O,Stock!$A:$A,'Asset Line A share'!$A136,Stock!$I:$I,O$2)</f>
        <v>223668</v>
      </c>
      <c r="P136" s="41">
        <f ca="1">SUMIFS(Stock!$O:$O,Stock!$A:$A,'Asset Line A share'!$A136,Stock!$I:$I,P$2)</f>
        <v>201207</v>
      </c>
      <c r="Q136" s="40">
        <f t="shared" ca="1" si="59"/>
        <v>9.2073519680955698E-3</v>
      </c>
      <c r="R136" s="40">
        <f t="shared" ca="1" si="60"/>
        <v>-3.7361672307623495E-2</v>
      </c>
      <c r="S136" s="41">
        <f t="shared" ca="1" si="62"/>
        <v>2032104.1500000004</v>
      </c>
      <c r="T136">
        <v>1643140</v>
      </c>
      <c r="U136" s="20">
        <f t="shared" si="35"/>
        <v>3346742.0854237289</v>
      </c>
      <c r="V136" s="20">
        <f>34000*6.8</f>
        <v>231200</v>
      </c>
      <c r="W136" s="4">
        <f>(U136-V136)/(U135)-1</f>
        <v>2.2766168471034964E-2</v>
      </c>
      <c r="X136" s="20">
        <f t="shared" si="37"/>
        <v>69350.11949152546</v>
      </c>
      <c r="Y136" s="17"/>
      <c r="Z136" s="30">
        <f t="shared" si="51"/>
        <v>1.0698435430511795</v>
      </c>
      <c r="AA136" s="18">
        <f t="shared" si="38"/>
        <v>4.2117468580902715</v>
      </c>
    </row>
    <row r="137" spans="1:27" ht="40.5" x14ac:dyDescent="0.15">
      <c r="A137" s="1">
        <v>42879</v>
      </c>
      <c r="B137">
        <f t="shared" si="34"/>
        <v>3</v>
      </c>
      <c r="C137" s="30">
        <v>0</v>
      </c>
      <c r="D137" s="20">
        <v>1955084.59</v>
      </c>
      <c r="E137" s="20">
        <v>1955084.59</v>
      </c>
      <c r="F137" s="4">
        <f t="shared" si="49"/>
        <v>4.2677741384400392E-4</v>
      </c>
      <c r="G137">
        <v>1598.02</v>
      </c>
      <c r="H137">
        <v>1332.85</v>
      </c>
      <c r="I137">
        <v>265.17</v>
      </c>
      <c r="J137">
        <v>-762</v>
      </c>
      <c r="K137" s="30">
        <v>-2</v>
      </c>
      <c r="L137" s="18">
        <f t="shared" si="64"/>
        <v>834.02</v>
      </c>
      <c r="M137" s="37">
        <f t="shared" si="47"/>
        <v>834.03000000002794</v>
      </c>
      <c r="N137" s="17" t="s">
        <v>3693</v>
      </c>
      <c r="O137" s="41">
        <f ca="1">SUMIFS(Stock!$O:$O,Stock!$A:$A,'Asset Line A share'!$A137,Stock!$I:$I,O$2)</f>
        <v>185750</v>
      </c>
      <c r="P137" s="41">
        <f ca="1">SUMIFS(Stock!$O:$O,Stock!$A:$A,'Asset Line A share'!$A137,Stock!$I:$I,P$2)</f>
        <v>389858</v>
      </c>
      <c r="Q137" s="40">
        <f t="shared" ca="1" si="59"/>
        <v>7.1755047106325702E-3</v>
      </c>
      <c r="R137" s="40">
        <f t="shared" ca="1" si="60"/>
        <v>6.8017072882947129E-4</v>
      </c>
      <c r="S137" s="41">
        <f t="shared" ca="1" si="62"/>
        <v>1827996.1500000001</v>
      </c>
      <c r="T137" s="30">
        <v>1641301</v>
      </c>
      <c r="U137" s="20">
        <f t="shared" si="35"/>
        <v>3346017.6408474576</v>
      </c>
      <c r="V137" s="20"/>
      <c r="W137" s="4">
        <f>U137/U136-1</f>
        <v>-2.164626247797008E-4</v>
      </c>
      <c r="X137" s="20">
        <f t="shared" si="37"/>
        <v>-724.44457627134398</v>
      </c>
      <c r="Y137" s="17" t="s">
        <v>3694</v>
      </c>
      <c r="Z137" s="30">
        <f t="shared" si="51"/>
        <v>1.0696119619097471</v>
      </c>
      <c r="AA137" s="18">
        <f t="shared" si="38"/>
        <v>3.3661877054118632</v>
      </c>
    </row>
    <row r="138" spans="1:27" x14ac:dyDescent="0.15">
      <c r="A138" s="1">
        <v>42880</v>
      </c>
      <c r="B138">
        <f t="shared" si="34"/>
        <v>4</v>
      </c>
      <c r="C138" s="30">
        <v>0</v>
      </c>
      <c r="D138" s="20">
        <v>1958037.43</v>
      </c>
      <c r="E138" s="20">
        <v>1958037.43</v>
      </c>
      <c r="F138" s="4">
        <f t="shared" si="49"/>
        <v>1.5103387419159731E-3</v>
      </c>
      <c r="G138">
        <v>1138.8</v>
      </c>
      <c r="H138">
        <v>1400.46</v>
      </c>
      <c r="I138">
        <v>-261.66000000000003</v>
      </c>
      <c r="J138">
        <v>1801</v>
      </c>
      <c r="K138" s="30">
        <v>14.4444</v>
      </c>
      <c r="L138" s="18">
        <f t="shared" si="64"/>
        <v>2954.2444</v>
      </c>
      <c r="M138" s="37">
        <f t="shared" ref="M138:M169" si="66">+E138-E137</f>
        <v>2952.839999999851</v>
      </c>
      <c r="O138" s="41">
        <f ca="1">SUMIFS(Stock!$O:$O,Stock!$A:$A,'Asset Line A share'!$A138,Stock!$I:$I,O$2)</f>
        <v>289243.8</v>
      </c>
      <c r="P138" s="41">
        <f ca="1">SUMIFS(Stock!$O:$O,Stock!$A:$A,'Asset Line A share'!$A138,Stock!$I:$I,P$2)</f>
        <v>118575</v>
      </c>
      <c r="Q138" s="40">
        <f t="shared" ca="1" si="59"/>
        <v>4.841797819002517E-3</v>
      </c>
      <c r="R138" s="40">
        <f t="shared" ca="1" si="60"/>
        <v>-2.2067046173308035E-3</v>
      </c>
      <c r="S138" s="41">
        <f t="shared" ca="1" si="62"/>
        <v>1998664.9500000002</v>
      </c>
      <c r="T138" s="30">
        <v>1697607</v>
      </c>
      <c r="U138" s="20">
        <f t="shared" si="35"/>
        <v>3396687.4299999997</v>
      </c>
      <c r="V138" s="20"/>
      <c r="W138" s="4">
        <f>U138/U137-1</f>
        <v>1.5143312017837696E-2</v>
      </c>
      <c r="X138" s="20">
        <f t="shared" si="37"/>
        <v>50669.789152542129</v>
      </c>
      <c r="Y138" s="17" t="s">
        <v>3702</v>
      </c>
      <c r="Z138" s="30">
        <f t="shared" si="51"/>
        <v>1.0858094295869578</v>
      </c>
      <c r="AA138" s="18">
        <f t="shared" si="38"/>
        <v>3.5046659772602364</v>
      </c>
    </row>
    <row r="139" spans="1:27" x14ac:dyDescent="0.15">
      <c r="A139" s="1">
        <v>42881</v>
      </c>
      <c r="B139">
        <f t="shared" si="34"/>
        <v>5</v>
      </c>
      <c r="C139" s="30">
        <v>0</v>
      </c>
      <c r="D139" s="20">
        <v>1957469.43</v>
      </c>
      <c r="E139" s="20">
        <v>1957469.43</v>
      </c>
      <c r="F139" s="4">
        <f t="shared" si="49"/>
        <v>-2.9008638512084683E-4</v>
      </c>
      <c r="G139" s="30">
        <v>0</v>
      </c>
      <c r="H139" s="30">
        <v>0</v>
      </c>
      <c r="I139" s="30">
        <v>0</v>
      </c>
      <c r="J139">
        <v>-568</v>
      </c>
      <c r="K139" s="30">
        <v>0</v>
      </c>
      <c r="L139" s="18">
        <f t="shared" ref="L139" si="67">G139+J139+K139</f>
        <v>-568</v>
      </c>
      <c r="M139" s="37">
        <f t="shared" si="66"/>
        <v>-568</v>
      </c>
      <c r="O139" s="41">
        <f ca="1">SUMIFS(Stock!$O:$O,Stock!$A:$A,'Asset Line A share'!$A139,Stock!$I:$I,O$2)</f>
        <v>0</v>
      </c>
      <c r="P139" s="41">
        <f ca="1">SUMIFS(Stock!$O:$O,Stock!$A:$A,'Asset Line A share'!$A139,Stock!$I:$I,P$2)</f>
        <v>0</v>
      </c>
      <c r="Q139" s="40" t="str">
        <f t="shared" ca="1" si="59"/>
        <v/>
      </c>
      <c r="R139" s="40" t="str">
        <f t="shared" ca="1" si="60"/>
        <v/>
      </c>
      <c r="S139" s="41">
        <f t="shared" ca="1" si="62"/>
        <v>1998664.9500000002</v>
      </c>
      <c r="T139" s="30">
        <v>1697607</v>
      </c>
      <c r="U139" s="20">
        <f t="shared" si="35"/>
        <v>3396119.4299999997</v>
      </c>
      <c r="V139" s="20"/>
      <c r="W139" s="4">
        <f t="shared" ref="W139:W140" si="68">U139/U138-1</f>
        <v>-1.6722174521666133E-4</v>
      </c>
      <c r="X139" s="20">
        <f t="shared" si="37"/>
        <v>-568</v>
      </c>
      <c r="Y139" s="17"/>
      <c r="Z139" s="30">
        <f t="shared" si="51"/>
        <v>1.0856278586391697</v>
      </c>
      <c r="AA139" s="18">
        <f t="shared" si="38"/>
        <v>3.2422938788092748</v>
      </c>
    </row>
    <row r="140" spans="1:27" x14ac:dyDescent="0.15">
      <c r="A140" s="1">
        <v>42886</v>
      </c>
      <c r="B140">
        <f t="shared" si="34"/>
        <v>3</v>
      </c>
      <c r="C140" s="30">
        <v>0</v>
      </c>
      <c r="D140" s="20">
        <v>1954150.98</v>
      </c>
      <c r="E140" s="20">
        <v>1954150.98</v>
      </c>
      <c r="F140" s="4">
        <f t="shared" si="49"/>
        <v>-1.6952755170229761E-3</v>
      </c>
      <c r="G140">
        <v>-260.44</v>
      </c>
      <c r="H140">
        <v>-18.84</v>
      </c>
      <c r="I140">
        <v>-241.6</v>
      </c>
      <c r="J140">
        <v>-3058</v>
      </c>
      <c r="K140" s="30">
        <v>0</v>
      </c>
      <c r="L140" s="18">
        <f t="shared" ref="L140:L142" si="69">G140+J140+K140</f>
        <v>-3318.44</v>
      </c>
      <c r="M140" s="37">
        <f t="shared" si="66"/>
        <v>-3318.4499999999534</v>
      </c>
      <c r="N140" s="17" t="s">
        <v>3706</v>
      </c>
      <c r="O140" s="41">
        <f ca="1">SUMIFS(Stock!$O:$O,Stock!$A:$A,'Asset Line A share'!$A140,Stock!$I:$I,O$2)</f>
        <v>199756</v>
      </c>
      <c r="P140" s="41">
        <f ca="1">SUMIFS(Stock!$O:$O,Stock!$A:$A,'Asset Line A share'!$A140,Stock!$I:$I,P$2)</f>
        <v>182660</v>
      </c>
      <c r="Q140" s="40">
        <f t="shared" ca="1" si="59"/>
        <v>-9.4315064378541825E-5</v>
      </c>
      <c r="R140" s="40">
        <f t="shared" ca="1" si="60"/>
        <v>-1.3226760100733604E-3</v>
      </c>
      <c r="S140" s="41">
        <f t="shared" ca="1" si="62"/>
        <v>2015760.9500000002</v>
      </c>
      <c r="T140" s="30">
        <v>1694821</v>
      </c>
      <c r="U140" s="20">
        <f t="shared" si="35"/>
        <v>3390439.9630508474</v>
      </c>
      <c r="V140" s="20"/>
      <c r="W140" s="4">
        <f t="shared" si="68"/>
        <v>-1.6723401712501751E-3</v>
      </c>
      <c r="X140" s="20">
        <f t="shared" si="37"/>
        <v>-5679.4669491522945</v>
      </c>
      <c r="Y140" s="17"/>
      <c r="Z140" s="30">
        <f t="shared" si="51"/>
        <v>1.083812319560139</v>
      </c>
      <c r="AA140" s="18">
        <f t="shared" si="38"/>
        <v>3.7799986692149563</v>
      </c>
    </row>
    <row r="141" spans="1:27" ht="27" x14ac:dyDescent="0.15">
      <c r="A141" s="1">
        <v>42887</v>
      </c>
      <c r="B141">
        <f t="shared" si="34"/>
        <v>4</v>
      </c>
      <c r="C141" s="30">
        <v>0</v>
      </c>
      <c r="D141" s="20">
        <v>1973566.67</v>
      </c>
      <c r="E141" s="20">
        <v>1973566.67</v>
      </c>
      <c r="F141" s="4">
        <f t="shared" si="49"/>
        <v>9.935614084434663E-3</v>
      </c>
      <c r="G141">
        <v>-149.31</v>
      </c>
      <c r="H141" s="30">
        <v>-149.31</v>
      </c>
      <c r="I141">
        <v>0</v>
      </c>
      <c r="J141">
        <v>19565</v>
      </c>
      <c r="K141" s="30">
        <v>0</v>
      </c>
      <c r="L141" s="18">
        <f t="shared" si="69"/>
        <v>19415.689999999999</v>
      </c>
      <c r="M141" s="37">
        <f t="shared" si="66"/>
        <v>19415.689999999944</v>
      </c>
      <c r="N141" s="17" t="s">
        <v>3708</v>
      </c>
      <c r="O141" s="41">
        <f ca="1">SUMIFS(Stock!$O:$O,Stock!$A:$A,'Asset Line A share'!$A141,Stock!$I:$I,O$2)</f>
        <v>15378</v>
      </c>
      <c r="P141" s="41">
        <f ca="1">SUMIFS(Stock!$O:$O,Stock!$A:$A,'Asset Line A share'!$A141,Stock!$I:$I,P$2)</f>
        <v>0</v>
      </c>
      <c r="Q141" s="40">
        <f t="shared" ca="1" si="59"/>
        <v>-9.7093250097541953E-3</v>
      </c>
      <c r="R141" s="40" t="str">
        <f t="shared" ca="1" si="60"/>
        <v/>
      </c>
      <c r="S141" s="41">
        <f t="shared" ca="1" si="62"/>
        <v>2031138.9500000002</v>
      </c>
      <c r="T141" s="30">
        <v>1702829</v>
      </c>
      <c r="U141" s="20">
        <f t="shared" si="35"/>
        <v>3416642.0937288133</v>
      </c>
      <c r="V141" s="20"/>
      <c r="W141" s="4">
        <f t="shared" ref="W141" si="70">U141/U140-1</f>
        <v>7.7282390968480552E-3</v>
      </c>
      <c r="X141" s="20">
        <f t="shared" si="37"/>
        <v>26202.130677965935</v>
      </c>
      <c r="Y141" s="17"/>
      <c r="Z141" s="30">
        <f t="shared" si="51"/>
        <v>1.0921882803018093</v>
      </c>
      <c r="AA141" s="18">
        <f t="shared" si="38"/>
        <v>4.4152804162228341</v>
      </c>
    </row>
    <row r="142" spans="1:27" x14ac:dyDescent="0.15">
      <c r="A142" s="1">
        <v>42888</v>
      </c>
      <c r="B142">
        <f t="shared" si="34"/>
        <v>5</v>
      </c>
      <c r="C142" s="30">
        <v>0</v>
      </c>
      <c r="D142" s="20">
        <v>1976829.81</v>
      </c>
      <c r="E142" s="20">
        <v>1976829.81</v>
      </c>
      <c r="F142" s="4">
        <f t="shared" si="49"/>
        <v>1.653422734383847E-3</v>
      </c>
      <c r="G142">
        <v>-239.86</v>
      </c>
      <c r="H142">
        <v>47.82</v>
      </c>
      <c r="I142">
        <v>-287.68</v>
      </c>
      <c r="J142">
        <v>3503</v>
      </c>
      <c r="K142" s="30">
        <v>0</v>
      </c>
      <c r="L142" s="18">
        <f t="shared" si="69"/>
        <v>3263.14</v>
      </c>
      <c r="M142" s="37">
        <f t="shared" si="66"/>
        <v>3263.1400000001304</v>
      </c>
      <c r="O142" s="41">
        <f ca="1">SUMIFS(Stock!$O:$O,Stock!$A:$A,'Asset Line A share'!$A142,Stock!$I:$I,O$2)</f>
        <v>191216</v>
      </c>
      <c r="P142" s="41">
        <f ca="1">SUMIFS(Stock!$O:$O,Stock!$A:$A,'Asset Line A share'!$A142,Stock!$I:$I,P$2)</f>
        <v>235800</v>
      </c>
      <c r="Q142" s="40">
        <f t="shared" ca="1" si="59"/>
        <v>2.500836750062756E-4</v>
      </c>
      <c r="R142" s="40">
        <f t="shared" ca="1" si="60"/>
        <v>-1.2200169635284139E-3</v>
      </c>
      <c r="S142" s="41">
        <f t="shared" ca="1" si="62"/>
        <v>1986554.9500000002</v>
      </c>
      <c r="T142" s="30">
        <v>1696435</v>
      </c>
      <c r="U142" s="20">
        <f t="shared" si="35"/>
        <v>3414486.5896610171</v>
      </c>
      <c r="V142" s="20"/>
      <c r="W142" s="4">
        <f t="shared" ref="W142" si="71">U142/U141-1</f>
        <v>-6.3088377672115836E-4</v>
      </c>
      <c r="X142" s="20">
        <f t="shared" si="37"/>
        <v>-2155.5040677962825</v>
      </c>
      <c r="Y142" s="17" t="s">
        <v>3713</v>
      </c>
      <c r="Z142" s="30">
        <f t="shared" si="51"/>
        <v>1.0914992364346419</v>
      </c>
      <c r="AA142" s="18">
        <f t="shared" si="38"/>
        <v>4.4294013752171422</v>
      </c>
    </row>
    <row r="143" spans="1:27" x14ac:dyDescent="0.15">
      <c r="A143" s="1">
        <v>42891</v>
      </c>
      <c r="B143">
        <f t="shared" si="34"/>
        <v>1</v>
      </c>
      <c r="C143" s="30">
        <v>0</v>
      </c>
      <c r="D143" s="20">
        <v>1973719</v>
      </c>
      <c r="E143" s="20">
        <v>1973719</v>
      </c>
      <c r="F143" s="4">
        <f t="shared" si="49"/>
        <v>-1.5736357193035788E-3</v>
      </c>
      <c r="G143" s="30">
        <v>504.22</v>
      </c>
      <c r="H143">
        <v>270.85000000000002</v>
      </c>
      <c r="I143">
        <v>233.36</v>
      </c>
      <c r="J143">
        <v>-3615</v>
      </c>
      <c r="K143" s="30">
        <v>0</v>
      </c>
      <c r="L143" s="18">
        <f t="shared" ref="L143" si="72">G143+J143+K143</f>
        <v>-3110.7799999999997</v>
      </c>
      <c r="M143" s="37">
        <f t="shared" si="66"/>
        <v>-3110.8100000000559</v>
      </c>
      <c r="N143" s="17" t="s">
        <v>3724</v>
      </c>
      <c r="O143" s="41">
        <f ca="1">SUMIFS(Stock!$O:$O,Stock!$A:$A,'Asset Line A share'!$A143,Stock!$I:$I,O$2)</f>
        <v>95798</v>
      </c>
      <c r="P143" s="41">
        <f ca="1">SUMIFS(Stock!$O:$O,Stock!$A:$A,'Asset Line A share'!$A143,Stock!$I:$I,P$2)</f>
        <v>143030</v>
      </c>
      <c r="Q143" s="40">
        <f t="shared" ca="1" si="59"/>
        <v>2.8273032839934032E-3</v>
      </c>
      <c r="R143" s="40">
        <f t="shared" ca="1" si="60"/>
        <v>1.6315458295462491E-3</v>
      </c>
      <c r="S143" s="41">
        <f t="shared" ca="1" si="62"/>
        <v>1939322.9500000002</v>
      </c>
      <c r="T143" s="30">
        <v>1687108</v>
      </c>
      <c r="U143" s="20">
        <f t="shared" si="35"/>
        <v>3403471.5423728814</v>
      </c>
      <c r="V143" s="20"/>
      <c r="W143" s="4">
        <f>U143/U142-1</f>
        <v>-3.2259746813734225E-3</v>
      </c>
      <c r="X143" s="20">
        <f t="shared" si="37"/>
        <v>-11015.047288135625</v>
      </c>
      <c r="Y143" s="17" t="s">
        <v>3725</v>
      </c>
      <c r="Z143" s="30">
        <f t="shared" si="51"/>
        <v>1.0879780875331653</v>
      </c>
      <c r="AA143" s="18">
        <f t="shared" si="38"/>
        <v>4.6542720240788595</v>
      </c>
    </row>
    <row r="144" spans="1:27" x14ac:dyDescent="0.15">
      <c r="A144" s="1">
        <v>42892</v>
      </c>
      <c r="B144">
        <f t="shared" si="34"/>
        <v>2</v>
      </c>
      <c r="C144" s="30">
        <v>0</v>
      </c>
      <c r="D144" s="20">
        <v>2000933.68</v>
      </c>
      <c r="E144" s="20">
        <v>2000933.68</v>
      </c>
      <c r="F144" s="4">
        <f t="shared" si="49"/>
        <v>1.3788528154210278E-2</v>
      </c>
      <c r="G144" s="20">
        <v>2874.66</v>
      </c>
      <c r="H144">
        <v>3221.58</v>
      </c>
      <c r="I144">
        <v>-346.92</v>
      </c>
      <c r="J144">
        <v>24418</v>
      </c>
      <c r="K144" s="30">
        <v>0</v>
      </c>
      <c r="L144" s="18">
        <f t="shared" ref="L144:L151" si="73">G144+J144+K144</f>
        <v>27292.66</v>
      </c>
      <c r="M144" s="37">
        <f t="shared" si="66"/>
        <v>27214.679999999935</v>
      </c>
      <c r="O144" s="41">
        <f ca="1">SUMIFS(Stock!$O:$O,Stock!$A:$A,'Asset Line A share'!$A144,Stock!$I:$I,O$2)</f>
        <v>212558</v>
      </c>
      <c r="P144" s="41">
        <f ca="1">SUMIFS(Stock!$O:$O,Stock!$A:$A,'Asset Line A share'!$A144,Stock!$I:$I,P$2)</f>
        <v>473827</v>
      </c>
      <c r="Q144" s="40">
        <f t="shared" ca="1" si="59"/>
        <v>1.5156239708691274E-2</v>
      </c>
      <c r="R144" s="40">
        <f t="shared" ca="1" si="60"/>
        <v>-7.3216595930582261E-4</v>
      </c>
      <c r="S144" s="41">
        <f t="shared" ca="1" si="62"/>
        <v>1678053.9500000002</v>
      </c>
      <c r="T144">
        <v>1699605</v>
      </c>
      <c r="U144" s="20">
        <f t="shared" si="35"/>
        <v>3441276.9003389832</v>
      </c>
      <c r="V144" s="20"/>
      <c r="W144" s="4">
        <f>U144/U143-1</f>
        <v>1.1107881319243784E-2</v>
      </c>
      <c r="X144" s="20">
        <f t="shared" si="37"/>
        <v>37805.357966101728</v>
      </c>
      <c r="Y144" s="17" t="s">
        <v>3736</v>
      </c>
      <c r="Z144" s="30">
        <f t="shared" si="51"/>
        <v>1.1000632190074215</v>
      </c>
      <c r="AA144" s="18">
        <f t="shared" si="38"/>
        <v>7.3135362965143704</v>
      </c>
    </row>
    <row r="145" spans="1:27" x14ac:dyDescent="0.15">
      <c r="A145" s="1">
        <v>42893</v>
      </c>
      <c r="B145">
        <f t="shared" si="34"/>
        <v>3</v>
      </c>
      <c r="C145" s="30">
        <v>0</v>
      </c>
      <c r="D145" s="20">
        <v>2023289.15</v>
      </c>
      <c r="E145" s="20">
        <v>2023289.15</v>
      </c>
      <c r="F145" s="4">
        <f t="shared" si="49"/>
        <v>1.117251922112672E-2</v>
      </c>
      <c r="G145">
        <v>717.28</v>
      </c>
      <c r="H145">
        <v>782.56</v>
      </c>
      <c r="I145">
        <v>-65.28</v>
      </c>
      <c r="J145">
        <v>21613</v>
      </c>
      <c r="K145" s="30">
        <f>28.5833333-3</f>
        <v>25.5833333</v>
      </c>
      <c r="L145" s="18">
        <f t="shared" si="73"/>
        <v>22355.8633333</v>
      </c>
      <c r="M145" s="37">
        <f t="shared" si="66"/>
        <v>22355.469999999972</v>
      </c>
      <c r="N145" s="17" t="s">
        <v>3741</v>
      </c>
      <c r="O145" s="41">
        <f ca="1">SUMIFS(Stock!$O:$O,Stock!$A:$A,'Asset Line A share'!$A145,Stock!$I:$I,O$2)</f>
        <v>170127</v>
      </c>
      <c r="P145" s="41">
        <f ca="1">SUMIFS(Stock!$O:$O,Stock!$A:$A,'Asset Line A share'!$A145,Stock!$I:$I,P$2)</f>
        <v>117249</v>
      </c>
      <c r="Q145" s="40">
        <f t="shared" ca="1" si="59"/>
        <v>4.5998577533254564E-3</v>
      </c>
      <c r="R145" s="40">
        <f t="shared" ca="1" si="60"/>
        <v>-5.5676381035232707E-4</v>
      </c>
      <c r="S145" s="41">
        <f t="shared" ca="1" si="62"/>
        <v>1730931.9500000002</v>
      </c>
      <c r="T145" s="30">
        <v>1717879</v>
      </c>
      <c r="U145" s="20">
        <f t="shared" si="35"/>
        <v>3479118.8110169489</v>
      </c>
      <c r="V145" s="20"/>
      <c r="W145" s="4">
        <f>U145/U144-1</f>
        <v>1.099647362705336E-2</v>
      </c>
      <c r="X145" s="20">
        <f t="shared" si="37"/>
        <v>37841.91067796573</v>
      </c>
      <c r="Y145" s="17" t="s">
        <v>3742</v>
      </c>
      <c r="Z145" s="30">
        <f t="shared" si="51"/>
        <v>1.1121600351833281</v>
      </c>
      <c r="AA145" s="18">
        <f t="shared" si="38"/>
        <v>12.254558373840991</v>
      </c>
    </row>
    <row r="146" spans="1:27" x14ac:dyDescent="0.15">
      <c r="A146" s="1">
        <v>42894</v>
      </c>
      <c r="B146">
        <f t="shared" si="34"/>
        <v>4</v>
      </c>
      <c r="C146" s="30">
        <v>0</v>
      </c>
      <c r="D146" s="20">
        <v>2054799.85</v>
      </c>
      <c r="E146" s="20">
        <v>2054799.85</v>
      </c>
      <c r="F146" s="4">
        <f t="shared" si="49"/>
        <v>1.5573997419004781E-2</v>
      </c>
      <c r="G146" s="30">
        <v>-3171.35</v>
      </c>
      <c r="H146">
        <v>0</v>
      </c>
      <c r="I146">
        <v>0</v>
      </c>
      <c r="J146">
        <v>34661</v>
      </c>
      <c r="K146" s="30">
        <f>26.4166666-7</f>
        <v>19.416666599999999</v>
      </c>
      <c r="L146" s="18">
        <f t="shared" si="73"/>
        <v>31509.0666666</v>
      </c>
      <c r="M146" s="37">
        <f t="shared" si="66"/>
        <v>31510.700000000186</v>
      </c>
      <c r="N146" s="17" t="s">
        <v>3748</v>
      </c>
      <c r="O146" s="41">
        <f ca="1">SUMIFS(Stock!$O:$O,Stock!$A:$A,'Asset Line A share'!$A146,Stock!$I:$I,O$2)</f>
        <v>0</v>
      </c>
      <c r="P146" s="41">
        <f ca="1">SUMIFS(Stock!$O:$O,Stock!$A:$A,'Asset Line A share'!$A146,Stock!$I:$I,P$2)</f>
        <v>430236</v>
      </c>
      <c r="Q146" s="40" t="str">
        <f t="shared" ca="1" si="59"/>
        <v/>
      </c>
      <c r="R146" s="40">
        <f t="shared" ca="1" si="60"/>
        <v>0</v>
      </c>
      <c r="S146" s="41">
        <f t="shared" ca="1" si="62"/>
        <v>1300695.9500000002</v>
      </c>
      <c r="T146" s="30">
        <v>1980956</v>
      </c>
      <c r="U146" s="20">
        <f t="shared" si="35"/>
        <v>3733576.1211864408</v>
      </c>
      <c r="V146" s="20">
        <f>32000*6.8</f>
        <v>217600</v>
      </c>
      <c r="W146" s="4">
        <f t="shared" ref="W146:W153" si="74">(U146-V146)/(U145)-1</f>
        <v>1.0593863610745213E-2</v>
      </c>
      <c r="X146" s="20">
        <f t="shared" si="37"/>
        <v>36857.310169491917</v>
      </c>
      <c r="Y146" s="17" t="s">
        <v>3750</v>
      </c>
      <c r="Z146" s="30">
        <f t="shared" si="51"/>
        <v>1.1239421069093818</v>
      </c>
      <c r="AA146" s="18">
        <f t="shared" si="38"/>
        <v>12.555476988086166</v>
      </c>
    </row>
    <row r="147" spans="1:27" x14ac:dyDescent="0.15">
      <c r="A147" s="1">
        <v>42895</v>
      </c>
      <c r="B147">
        <f t="shared" si="34"/>
        <v>5</v>
      </c>
      <c r="C147" s="30">
        <v>0</v>
      </c>
      <c r="D147" s="20">
        <v>2062524.13</v>
      </c>
      <c r="E147" s="20">
        <v>2062524.13</v>
      </c>
      <c r="F147" s="4">
        <f t="shared" si="49"/>
        <v>3.7591398500442796E-3</v>
      </c>
      <c r="G147">
        <v>373.61</v>
      </c>
      <c r="H147" s="30">
        <v>373.61</v>
      </c>
      <c r="I147" s="30">
        <v>0</v>
      </c>
      <c r="J147">
        <v>7192</v>
      </c>
      <c r="K147" s="30">
        <f>54.688888-3</f>
        <v>51.688887999999999</v>
      </c>
      <c r="L147" s="18">
        <f t="shared" si="73"/>
        <v>7617.2988879999994</v>
      </c>
      <c r="M147" s="37">
        <f t="shared" si="66"/>
        <v>7724.2799999997951</v>
      </c>
      <c r="N147" s="17" t="s">
        <v>3759</v>
      </c>
      <c r="O147" s="41">
        <f ca="1">SUMIFS(Stock!$O:$O,Stock!$A:$A,'Asset Line A share'!$A147,Stock!$I:$I,O$2)</f>
        <v>337168</v>
      </c>
      <c r="P147" s="41">
        <f ca="1">SUMIFS(Stock!$O:$O,Stock!$A:$A,'Asset Line A share'!$A147,Stock!$I:$I,P$2)</f>
        <v>0</v>
      </c>
      <c r="Q147" s="40">
        <f t="shared" ca="1" si="59"/>
        <v>1.1080826175675035E-3</v>
      </c>
      <c r="R147" s="40" t="str">
        <f t="shared" ca="1" si="60"/>
        <v/>
      </c>
      <c r="S147" s="41">
        <f t="shared" ca="1" si="62"/>
        <v>1637863.9500000002</v>
      </c>
      <c r="T147" s="30">
        <v>1988410</v>
      </c>
      <c r="U147" s="20">
        <f t="shared" si="35"/>
        <v>3747617.3503389833</v>
      </c>
      <c r="V147" s="20"/>
      <c r="W147" s="4">
        <f t="shared" si="74"/>
        <v>3.7607989489927274E-3</v>
      </c>
      <c r="X147" s="20">
        <f t="shared" si="37"/>
        <v>14041.229152542539</v>
      </c>
      <c r="Y147" s="17" t="s">
        <v>3758</v>
      </c>
      <c r="Z147" s="30">
        <f t="shared" si="51"/>
        <v>1.1281690272037752</v>
      </c>
      <c r="AA147" s="18">
        <f t="shared" si="38"/>
        <v>12.751507905562473</v>
      </c>
    </row>
    <row r="148" spans="1:27" x14ac:dyDescent="0.15">
      <c r="A148" s="1">
        <v>42898</v>
      </c>
      <c r="B148">
        <f t="shared" si="34"/>
        <v>1</v>
      </c>
      <c r="C148" s="30">
        <v>0</v>
      </c>
      <c r="D148" s="20">
        <v>2077391.66</v>
      </c>
      <c r="E148" s="20">
        <v>2077391.66</v>
      </c>
      <c r="F148" s="4">
        <f t="shared" si="49"/>
        <v>7.2084150598519248E-3</v>
      </c>
      <c r="G148">
        <v>227.94</v>
      </c>
      <c r="H148" s="30">
        <v>318.11</v>
      </c>
      <c r="I148">
        <v>-90.17</v>
      </c>
      <c r="J148">
        <v>14617</v>
      </c>
      <c r="K148" s="30">
        <v>22.916666599999999</v>
      </c>
      <c r="L148" s="18">
        <f t="shared" si="73"/>
        <v>14867.856666600001</v>
      </c>
      <c r="M148" s="37">
        <f t="shared" si="66"/>
        <v>14867.530000000028</v>
      </c>
      <c r="N148" s="17" t="s">
        <v>3766</v>
      </c>
      <c r="O148" s="41">
        <f ca="1">SUMIFS(Stock!$O:$O,Stock!$A:$A,'Asset Line A share'!$A148,Stock!$I:$I,O$2)</f>
        <v>359460</v>
      </c>
      <c r="P148" s="41">
        <f ca="1">SUMIFS(Stock!$O:$O,Stock!$A:$A,'Asset Line A share'!$A148,Stock!$I:$I,P$2)</f>
        <v>75140</v>
      </c>
      <c r="Q148" s="40">
        <f t="shared" ca="1" si="59"/>
        <v>8.8496633839648363E-4</v>
      </c>
      <c r="R148" s="40">
        <f t="shared" ca="1" si="60"/>
        <v>-1.2000266169816343E-3</v>
      </c>
      <c r="S148" s="41">
        <f t="shared" ca="1" si="62"/>
        <v>1922183.9500000002</v>
      </c>
      <c r="T148" s="30">
        <v>1981327</v>
      </c>
      <c r="U148" s="20">
        <f t="shared" si="35"/>
        <v>3756482.3379661017</v>
      </c>
      <c r="V148" s="20"/>
      <c r="W148" s="4">
        <f t="shared" si="74"/>
        <v>2.3654996757651592E-3</v>
      </c>
      <c r="X148" s="20">
        <f t="shared" si="37"/>
        <v>8864.9876271183603</v>
      </c>
      <c r="Y148" s="17" t="s">
        <v>3765</v>
      </c>
      <c r="Z148" s="30">
        <f t="shared" si="51"/>
        <v>1.1308377106718341</v>
      </c>
      <c r="AA148" s="18">
        <f t="shared" si="38"/>
        <v>11.946053476104174</v>
      </c>
    </row>
    <row r="149" spans="1:27" ht="40.5" x14ac:dyDescent="0.15">
      <c r="A149" s="1">
        <v>42899</v>
      </c>
      <c r="B149">
        <f t="shared" si="34"/>
        <v>2</v>
      </c>
      <c r="C149" s="30">
        <v>0</v>
      </c>
      <c r="D149" s="20">
        <v>2089255.09</v>
      </c>
      <c r="E149" s="20">
        <v>2089255.09</v>
      </c>
      <c r="F149" s="4">
        <f t="shared" si="49"/>
        <v>5.7107334300168233E-3</v>
      </c>
      <c r="G149">
        <v>1379.42</v>
      </c>
      <c r="H149">
        <v>1819.89</v>
      </c>
      <c r="I149">
        <v>-440.47</v>
      </c>
      <c r="J149">
        <v>10486</v>
      </c>
      <c r="K149" s="30">
        <v>-2</v>
      </c>
      <c r="L149" s="18">
        <f t="shared" si="73"/>
        <v>11863.42</v>
      </c>
      <c r="M149" s="37">
        <f t="shared" si="66"/>
        <v>11863.430000000168</v>
      </c>
      <c r="N149" s="17" t="s">
        <v>3772</v>
      </c>
      <c r="O149" s="41">
        <f ca="1">SUMIFS(Stock!$O:$O,Stock!$A:$A,'Asset Line A share'!$A149,Stock!$I:$I,O$2)</f>
        <v>100528</v>
      </c>
      <c r="P149" s="41">
        <f ca="1">SUMIFS(Stock!$O:$O,Stock!$A:$A,'Asset Line A share'!$A149,Stock!$I:$I,P$2)</f>
        <v>307164</v>
      </c>
      <c r="Q149" s="40">
        <f t="shared" ca="1" si="59"/>
        <v>1.8103314499442941E-2</v>
      </c>
      <c r="R149" s="40">
        <f t="shared" ca="1" si="60"/>
        <v>-1.4339896602466435E-3</v>
      </c>
      <c r="S149" s="41">
        <f t="shared" ca="1" si="62"/>
        <v>1715547.9500000002</v>
      </c>
      <c r="T149" s="30">
        <v>1982381</v>
      </c>
      <c r="U149" s="20">
        <f t="shared" si="35"/>
        <v>3769238.9883050849</v>
      </c>
      <c r="V149" s="20"/>
      <c r="W149" s="4">
        <f t="shared" si="74"/>
        <v>3.3959031858219468E-3</v>
      </c>
      <c r="X149" s="20">
        <f t="shared" si="37"/>
        <v>12756.650338983163</v>
      </c>
      <c r="Y149" s="17" t="s">
        <v>3773</v>
      </c>
      <c r="Z149" s="30">
        <f t="shared" si="51"/>
        <v>1.1346779260561521</v>
      </c>
      <c r="AA149" s="18">
        <f t="shared" si="38"/>
        <v>11.198120574719077</v>
      </c>
    </row>
    <row r="150" spans="1:27" ht="40.5" x14ac:dyDescent="0.15">
      <c r="A150" s="1">
        <v>42900</v>
      </c>
      <c r="B150">
        <f t="shared" si="34"/>
        <v>3</v>
      </c>
      <c r="C150" s="30">
        <v>0</v>
      </c>
      <c r="D150" s="20">
        <v>2046042.38</v>
      </c>
      <c r="E150" s="20">
        <v>2046042.38</v>
      </c>
      <c r="F150" s="4">
        <f t="shared" si="49"/>
        <v>-2.0683309667083427E-2</v>
      </c>
      <c r="G150">
        <v>-4219.42</v>
      </c>
      <c r="H150" s="30">
        <v>-4219.42</v>
      </c>
      <c r="I150">
        <v>0</v>
      </c>
      <c r="J150">
        <v>-39010</v>
      </c>
      <c r="K150" s="30">
        <v>16.805555600000002</v>
      </c>
      <c r="L150" s="18">
        <f t="shared" si="73"/>
        <v>-43212.614444399995</v>
      </c>
      <c r="M150" s="37">
        <f t="shared" si="66"/>
        <v>-43212.710000000196</v>
      </c>
      <c r="N150" s="17" t="s">
        <v>3782</v>
      </c>
      <c r="O150" s="41">
        <f ca="1">SUMIFS(Stock!$O:$O,Stock!$A:$A,'Asset Line A share'!$A150,Stock!$I:$I,O$2)</f>
        <v>323636</v>
      </c>
      <c r="P150" s="41">
        <f ca="1">SUMIFS(Stock!$O:$O,Stock!$A:$A,'Asset Line A share'!$A150,Stock!$I:$I,P$2)</f>
        <v>0</v>
      </c>
      <c r="Q150" s="40">
        <f t="shared" ca="1" si="59"/>
        <v>-1.3037548356795907E-2</v>
      </c>
      <c r="R150" s="40" t="str">
        <f t="shared" ca="1" si="60"/>
        <v/>
      </c>
      <c r="S150" s="41">
        <f t="shared" ca="1" si="62"/>
        <v>2039183.9500000002</v>
      </c>
      <c r="T150" s="30">
        <v>1949626</v>
      </c>
      <c r="U150" s="20">
        <f t="shared" si="35"/>
        <v>3698267.8037288133</v>
      </c>
      <c r="V150" s="20"/>
      <c r="W150" s="4">
        <f t="shared" si="74"/>
        <v>-1.8829048727468822E-2</v>
      </c>
      <c r="X150" s="20">
        <f t="shared" si="37"/>
        <v>-70971.184576271567</v>
      </c>
      <c r="Y150" s="17" t="s">
        <v>3781</v>
      </c>
      <c r="Z150" s="30">
        <f t="shared" si="51"/>
        <v>1.1133130200964576</v>
      </c>
      <c r="AA150" s="18">
        <f t="shared" si="38"/>
        <v>6.9542177648629497</v>
      </c>
    </row>
    <row r="151" spans="1:27" x14ac:dyDescent="0.15">
      <c r="A151" s="1">
        <v>42901</v>
      </c>
      <c r="B151">
        <f t="shared" si="34"/>
        <v>4</v>
      </c>
      <c r="C151" s="30">
        <v>0</v>
      </c>
      <c r="D151" s="20">
        <v>2040739.59</v>
      </c>
      <c r="E151" s="20">
        <v>2040739.59</v>
      </c>
      <c r="F151" s="4">
        <f t="shared" si="49"/>
        <v>-2.5917302846873991E-3</v>
      </c>
      <c r="G151">
        <v>-143.79</v>
      </c>
      <c r="H151">
        <v>0</v>
      </c>
      <c r="I151">
        <v>-143.79</v>
      </c>
      <c r="J151">
        <v>-5159</v>
      </c>
      <c r="K151" s="30">
        <v>0</v>
      </c>
      <c r="L151" s="18">
        <f t="shared" si="73"/>
        <v>-5302.79</v>
      </c>
      <c r="M151" s="37">
        <f t="shared" si="66"/>
        <v>-5302.7899999998044</v>
      </c>
      <c r="N151" s="17" t="s">
        <v>3783</v>
      </c>
      <c r="O151" s="41">
        <f ca="1">SUMIFS(Stock!$O:$O,Stock!$A:$A,'Asset Line A share'!$A151,Stock!$I:$I,O$2)</f>
        <v>0</v>
      </c>
      <c r="P151" s="41">
        <f ca="1">SUMIFS(Stock!$O:$O,Stock!$A:$A,'Asset Line A share'!$A151,Stock!$I:$I,P$2)</f>
        <v>27700</v>
      </c>
      <c r="Q151" s="40" t="str">
        <f t="shared" ca="1" si="59"/>
        <v/>
      </c>
      <c r="R151" s="40">
        <f t="shared" ca="1" si="60"/>
        <v>-5.1909747292418771E-3</v>
      </c>
      <c r="S151" s="41">
        <f t="shared" ca="1" si="62"/>
        <v>2011483.9500000002</v>
      </c>
      <c r="T151" s="30">
        <v>1924952</v>
      </c>
      <c r="U151" s="20">
        <f t="shared" si="35"/>
        <v>3672054.8442372885</v>
      </c>
      <c r="V151" s="20"/>
      <c r="W151" s="4">
        <f t="shared" si="74"/>
        <v>-7.0879019267061638E-3</v>
      </c>
      <c r="X151" s="20">
        <f t="shared" si="37"/>
        <v>-26212.959491524845</v>
      </c>
      <c r="Y151" s="17" t="s">
        <v>3784</v>
      </c>
      <c r="Z151" s="30">
        <f t="shared" si="51"/>
        <v>1.1054219665962888</v>
      </c>
      <c r="AA151" s="18">
        <f t="shared" si="38"/>
        <v>5.2880127762205023</v>
      </c>
    </row>
    <row r="152" spans="1:27" x14ac:dyDescent="0.15">
      <c r="A152" s="1">
        <v>42902</v>
      </c>
      <c r="B152">
        <f t="shared" si="34"/>
        <v>5</v>
      </c>
      <c r="C152" s="30">
        <v>0</v>
      </c>
      <c r="D152" s="20">
        <v>2035138.59</v>
      </c>
      <c r="E152" s="20">
        <v>2035138.59</v>
      </c>
      <c r="F152" s="4">
        <f t="shared" si="49"/>
        <v>-2.7445931991744166E-3</v>
      </c>
      <c r="G152">
        <v>0</v>
      </c>
      <c r="H152">
        <v>0</v>
      </c>
      <c r="I152">
        <v>0</v>
      </c>
      <c r="J152">
        <v>-5557</v>
      </c>
      <c r="K152" s="30">
        <v>-44</v>
      </c>
      <c r="L152" s="18">
        <f t="shared" ref="L152:L153" si="75">G152+J152+K152</f>
        <v>-5601</v>
      </c>
      <c r="M152" s="37">
        <f t="shared" si="66"/>
        <v>-5601</v>
      </c>
      <c r="N152" s="54" t="s">
        <v>3792</v>
      </c>
      <c r="O152" s="41">
        <f ca="1">SUMIFS(Stock!$O:$O,Stock!$A:$A,'Asset Line A share'!$A152,Stock!$I:$I,O$2)</f>
        <v>0</v>
      </c>
      <c r="P152" s="41">
        <f ca="1">SUMIFS(Stock!$O:$O,Stock!$A:$A,'Asset Line A share'!$A152,Stock!$I:$I,P$2)</f>
        <v>0</v>
      </c>
      <c r="Q152" s="40" t="str">
        <f t="shared" ca="1" si="59"/>
        <v/>
      </c>
      <c r="R152" s="40" t="str">
        <f t="shared" ca="1" si="60"/>
        <v/>
      </c>
      <c r="S152" s="41">
        <f t="shared" ca="1" si="62"/>
        <v>2011483.9500000002</v>
      </c>
      <c r="T152">
        <v>1921615</v>
      </c>
      <c r="U152" s="20">
        <f t="shared" si="35"/>
        <v>3663625.8781355936</v>
      </c>
      <c r="V152" s="20"/>
      <c r="W152" s="4">
        <f t="shared" si="74"/>
        <v>-2.2954357871105557E-3</v>
      </c>
      <c r="X152" s="20">
        <f t="shared" si="37"/>
        <v>-8428.9661016948521</v>
      </c>
      <c r="Y152" s="17" t="s">
        <v>3785</v>
      </c>
      <c r="Z152" s="30">
        <f t="shared" si="51"/>
        <v>1.1028845414543056</v>
      </c>
      <c r="AA152" s="18">
        <f t="shared" si="38"/>
        <v>5.7878968469977625</v>
      </c>
    </row>
    <row r="153" spans="1:27" x14ac:dyDescent="0.15">
      <c r="A153" s="1">
        <v>42905</v>
      </c>
      <c r="B153">
        <f t="shared" si="34"/>
        <v>1</v>
      </c>
      <c r="C153" s="30">
        <v>0</v>
      </c>
      <c r="D153" s="20">
        <v>2052765.08</v>
      </c>
      <c r="E153" s="20">
        <v>2052765.08</v>
      </c>
      <c r="F153" s="4">
        <f t="shared" si="49"/>
        <v>8.6610760007257426E-3</v>
      </c>
      <c r="G153">
        <v>-76.510000000000005</v>
      </c>
      <c r="H153">
        <v>425.62</v>
      </c>
      <c r="I153">
        <v>-502.13</v>
      </c>
      <c r="J153">
        <v>17703</v>
      </c>
      <c r="K153" s="30">
        <v>0</v>
      </c>
      <c r="L153" s="18">
        <f t="shared" si="75"/>
        <v>17626.490000000002</v>
      </c>
      <c r="M153" s="37">
        <f t="shared" si="66"/>
        <v>17626.489999999991</v>
      </c>
      <c r="N153" s="17" t="s">
        <v>3790</v>
      </c>
      <c r="O153" s="41">
        <f ca="1">SUMIFS(Stock!$O:$O,Stock!$A:$A,'Asset Line A share'!$A153,Stock!$I:$I,O$2)</f>
        <v>72983</v>
      </c>
      <c r="P153" s="41">
        <f ca="1">SUMIFS(Stock!$O:$O,Stock!$A:$A,'Asset Line A share'!$A153,Stock!$I:$I,P$2)</f>
        <v>195991</v>
      </c>
      <c r="Q153" s="40">
        <f t="shared" ca="1" si="59"/>
        <v>5.8317690421056962E-3</v>
      </c>
      <c r="R153" s="40">
        <f t="shared" ca="1" si="60"/>
        <v>-2.5620053982070607E-3</v>
      </c>
      <c r="S153" s="41">
        <f t="shared" ca="1" si="62"/>
        <v>1888475.9500000002</v>
      </c>
      <c r="T153" s="30">
        <v>1950841</v>
      </c>
      <c r="U153" s="20">
        <f t="shared" ref="U153:U203" si="76">T153/1.18+E153</f>
        <v>3706020.1647457629</v>
      </c>
      <c r="V153" s="20"/>
      <c r="W153" s="4">
        <f t="shared" si="74"/>
        <v>1.1571674625178607E-2</v>
      </c>
      <c r="X153" s="20">
        <f t="shared" si="37"/>
        <v>42394.286610169336</v>
      </c>
      <c r="Y153" s="17" t="s">
        <v>3791</v>
      </c>
      <c r="Z153" s="30">
        <f t="shared" si="51"/>
        <v>1.1156467625171542</v>
      </c>
      <c r="AA153" s="18">
        <f t="shared" si="38"/>
        <v>7.4407731514707596</v>
      </c>
    </row>
    <row r="154" spans="1:27" ht="67.5" x14ac:dyDescent="0.15">
      <c r="A154" s="1">
        <v>42906</v>
      </c>
      <c r="B154">
        <f t="shared" si="34"/>
        <v>2</v>
      </c>
      <c r="C154" s="30">
        <v>0</v>
      </c>
      <c r="D154" s="20">
        <v>2043917.79</v>
      </c>
      <c r="E154" s="20">
        <v>2043917.79</v>
      </c>
      <c r="F154" s="4">
        <f t="shared" si="49"/>
        <v>-4.3099378911882757E-3</v>
      </c>
      <c r="G154">
        <v>-248.25</v>
      </c>
      <c r="H154">
        <v>-466.55</v>
      </c>
      <c r="I154">
        <v>218.3</v>
      </c>
      <c r="J154">
        <v>-8599</v>
      </c>
      <c r="K154" s="30">
        <v>0</v>
      </c>
      <c r="L154" s="18">
        <f t="shared" ref="L154:L155" si="77">G154+J154+K154</f>
        <v>-8847.25</v>
      </c>
      <c r="M154" s="37">
        <f t="shared" si="66"/>
        <v>-8847.2900000000373</v>
      </c>
      <c r="N154" s="17" t="s">
        <v>3812</v>
      </c>
      <c r="O154" s="41">
        <f ca="1">SUMIFS(Stock!$O:$O,Stock!$A:$A,'Asset Line A share'!$A154,Stock!$I:$I,O$2)</f>
        <v>325992</v>
      </c>
      <c r="P154" s="41">
        <f ca="1">SUMIFS(Stock!$O:$O,Stock!$A:$A,'Asset Line A share'!$A154,Stock!$I:$I,P$2)</f>
        <v>193077</v>
      </c>
      <c r="Q154" s="40">
        <f t="shared" ca="1" si="59"/>
        <v>-1.43117009006356E-3</v>
      </c>
      <c r="R154" s="40">
        <f t="shared" ca="1" si="60"/>
        <v>1.1306369997462153E-3</v>
      </c>
      <c r="S154" s="41">
        <f t="shared" ca="1" si="62"/>
        <v>2021390.9500000002</v>
      </c>
      <c r="T154" s="30">
        <v>1939197</v>
      </c>
      <c r="U154" s="20">
        <f t="shared" si="76"/>
        <v>3687305.0781355933</v>
      </c>
      <c r="V154" s="2"/>
      <c r="W154" s="4">
        <f t="shared" ref="W154" si="78">(U154-V154)/(U153)-1</f>
        <v>-5.049914943313194E-3</v>
      </c>
      <c r="X154" s="20">
        <f t="shared" ref="X154:X162" si="79">(U154-V154)-(U153)</f>
        <v>-18715.086610169616</v>
      </c>
      <c r="Y154" s="17" t="s">
        <v>3814</v>
      </c>
      <c r="Z154" s="30">
        <f t="shared" si="51"/>
        <v>1.1100128412596599</v>
      </c>
      <c r="AA154" s="18">
        <f t="shared" si="38"/>
        <v>6.0357212596148706</v>
      </c>
    </row>
    <row r="155" spans="1:27" ht="54" x14ac:dyDescent="0.15">
      <c r="A155" s="1">
        <v>42907</v>
      </c>
      <c r="B155">
        <f t="shared" si="34"/>
        <v>3</v>
      </c>
      <c r="C155" s="30">
        <v>0</v>
      </c>
      <c r="D155" s="20">
        <v>2086394.72</v>
      </c>
      <c r="E155" s="20">
        <v>2086394.72</v>
      </c>
      <c r="F155" s="4">
        <f t="shared" si="49"/>
        <v>2.0782112767852468E-2</v>
      </c>
      <c r="G155">
        <v>-3904.52</v>
      </c>
      <c r="H155">
        <v>-1169.8399999999999</v>
      </c>
      <c r="I155">
        <v>-2734.68</v>
      </c>
      <c r="J155">
        <v>46332</v>
      </c>
      <c r="K155" s="30">
        <v>0</v>
      </c>
      <c r="L155" s="18">
        <f t="shared" si="77"/>
        <v>42427.48</v>
      </c>
      <c r="M155" s="37">
        <f t="shared" si="66"/>
        <v>42476.929999999935</v>
      </c>
      <c r="N155" s="17" t="s">
        <v>3820</v>
      </c>
      <c r="O155" s="41">
        <f ca="1">SUMIFS(Stock!$O:$O,Stock!$A:$A,'Asset Line A share'!$A155,Stock!$I:$I,O$2)</f>
        <v>49200</v>
      </c>
      <c r="P155" s="41">
        <f ca="1">SUMIFS(Stock!$O:$O,Stock!$A:$A,'Asset Line A share'!$A155,Stock!$I:$I,P$2)</f>
        <v>626535</v>
      </c>
      <c r="Q155" s="40">
        <f t="shared" ca="1" si="59"/>
        <v>-2.377723577235772E-2</v>
      </c>
      <c r="R155" s="40">
        <f t="shared" ca="1" si="60"/>
        <v>-4.3647681294740111E-3</v>
      </c>
      <c r="S155" s="41">
        <f t="shared" ca="1" si="62"/>
        <v>1444055.9500000002</v>
      </c>
      <c r="T155" s="30">
        <v>1971193</v>
      </c>
      <c r="U155" s="20">
        <f t="shared" si="76"/>
        <v>3756897.2623728812</v>
      </c>
      <c r="V155" s="2"/>
      <c r="W155" s="4">
        <f t="shared" ref="W155:W159" si="80">(U155-V155)/(U154)-1</f>
        <v>1.8873454396259426E-2</v>
      </c>
      <c r="X155" s="20">
        <f t="shared" si="79"/>
        <v>69592.184237287845</v>
      </c>
      <c r="Y155" s="17" t="s">
        <v>3821</v>
      </c>
      <c r="Z155" s="30">
        <f t="shared" si="51"/>
        <v>1.1309626179984364</v>
      </c>
      <c r="AA155" s="18">
        <f t="shared" ref="AA155:AA218" si="81">AVERAGE(W136:W155)/STDEV(W136:W155)*SQRT(252)</f>
        <v>6.4146465017957617</v>
      </c>
    </row>
    <row r="156" spans="1:27" ht="40.5" x14ac:dyDescent="0.15">
      <c r="A156" s="1">
        <v>42908</v>
      </c>
      <c r="B156">
        <f t="shared" si="34"/>
        <v>4</v>
      </c>
      <c r="C156" s="30">
        <v>0</v>
      </c>
      <c r="D156" s="20">
        <v>2082909.96</v>
      </c>
      <c r="E156" s="20">
        <v>2082909.96</v>
      </c>
      <c r="F156" s="4">
        <f t="shared" si="49"/>
        <v>-1.6702304538041002E-3</v>
      </c>
      <c r="G156">
        <v>-2452.9699999999998</v>
      </c>
      <c r="H156">
        <v>-739.52</v>
      </c>
      <c r="I156">
        <v>-1713.44</v>
      </c>
      <c r="J156">
        <v>1016</v>
      </c>
      <c r="K156" s="30">
        <f>+-3-2044.8</f>
        <v>-2047.8</v>
      </c>
      <c r="L156" s="18">
        <f t="shared" ref="L156:L162" si="82">G156+J156+K156</f>
        <v>-3484.7699999999995</v>
      </c>
      <c r="M156" s="37">
        <f t="shared" si="66"/>
        <v>-3484.7600000000093</v>
      </c>
      <c r="N156" s="17" t="s">
        <v>3852</v>
      </c>
      <c r="O156" s="41">
        <f ca="1">SUMIFS(Stock!$O:$O,Stock!$A:$A,'Asset Line A share'!$A156,Stock!$I:$I,O$2)</f>
        <v>252564</v>
      </c>
      <c r="P156" s="41">
        <f ca="1">SUMIFS(Stock!$O:$O,Stock!$A:$A,'Asset Line A share'!$A156,Stock!$I:$I,P$2)</f>
        <v>43800</v>
      </c>
      <c r="Q156" s="40">
        <f t="shared" ca="1" si="59"/>
        <v>-2.928049920020272E-3</v>
      </c>
      <c r="R156" s="40">
        <f t="shared" ca="1" si="60"/>
        <v>-3.9119634703196349E-2</v>
      </c>
      <c r="S156" s="41">
        <f t="shared" ca="1" si="62"/>
        <v>1652819.9500000002</v>
      </c>
      <c r="T156">
        <v>1981054</v>
      </c>
      <c r="U156" s="20">
        <f t="shared" si="76"/>
        <v>3761769.2820338984</v>
      </c>
      <c r="W156" s="4">
        <f t="shared" si="80"/>
        <v>1.2968200407854624E-3</v>
      </c>
      <c r="X156" s="20">
        <f t="shared" si="79"/>
        <v>4872.0196610172279</v>
      </c>
      <c r="Y156" s="17" t="s">
        <v>3906</v>
      </c>
      <c r="Z156" s="30">
        <f t="shared" si="51"/>
        <v>1.1324292729868359</v>
      </c>
      <c r="AA156" s="18">
        <f t="shared" si="81"/>
        <v>5.2357978086642234</v>
      </c>
    </row>
    <row r="157" spans="1:27" ht="54" x14ac:dyDescent="0.15">
      <c r="A157" s="1">
        <v>42909</v>
      </c>
      <c r="B157">
        <f t="shared" si="34"/>
        <v>5</v>
      </c>
      <c r="C157" s="30">
        <v>0</v>
      </c>
      <c r="D157" s="20">
        <v>2095485.23</v>
      </c>
      <c r="E157" s="20">
        <v>2095485.23</v>
      </c>
      <c r="F157" s="4">
        <f t="shared" si="49"/>
        <v>6.037356506759517E-3</v>
      </c>
      <c r="G157">
        <v>-5286.42</v>
      </c>
      <c r="H157">
        <v>1281.32</v>
      </c>
      <c r="I157">
        <v>-6567.73</v>
      </c>
      <c r="J157">
        <v>18125</v>
      </c>
      <c r="K157" s="30">
        <f>39.69863-7-296</f>
        <v>-263.30137000000002</v>
      </c>
      <c r="L157" s="18">
        <f t="shared" si="82"/>
        <v>12575.278630000001</v>
      </c>
      <c r="M157" s="37">
        <f t="shared" si="66"/>
        <v>12575.270000000019</v>
      </c>
      <c r="N157" s="17" t="s">
        <v>3855</v>
      </c>
      <c r="O157" s="41">
        <f ca="1">SUMIFS(Stock!$O:$O,Stock!$A:$A,'Asset Line A share'!$A157,Stock!$I:$I,O$2)</f>
        <v>48545</v>
      </c>
      <c r="P157" s="41">
        <f ca="1">SUMIFS(Stock!$O:$O,Stock!$A:$A,'Asset Line A share'!$A157,Stock!$I:$I,P$2)</f>
        <v>537085</v>
      </c>
      <c r="Q157" s="40">
        <f t="shared" ca="1" si="59"/>
        <v>2.6394479349057573E-2</v>
      </c>
      <c r="R157" s="40">
        <f t="shared" ca="1" si="60"/>
        <v>-1.222847407765996E-2</v>
      </c>
      <c r="S157" s="41">
        <f t="shared" ca="1" si="62"/>
        <v>1164279.9500000002</v>
      </c>
      <c r="T157" s="30">
        <v>1988776</v>
      </c>
      <c r="U157" s="20">
        <f t="shared" si="76"/>
        <v>3780888.6198305087</v>
      </c>
      <c r="W157" s="4">
        <f t="shared" si="80"/>
        <v>5.0825386575203968E-3</v>
      </c>
      <c r="X157" s="20">
        <f t="shared" si="79"/>
        <v>19119.337796610314</v>
      </c>
      <c r="Y157" s="17" t="s">
        <v>3854</v>
      </c>
      <c r="Z157" s="30">
        <f t="shared" si="51"/>
        <v>1.1381848885436991</v>
      </c>
      <c r="AA157" s="18">
        <f t="shared" si="81"/>
        <v>5.7291749368903044</v>
      </c>
    </row>
    <row r="158" spans="1:27" ht="27" x14ac:dyDescent="0.15">
      <c r="A158" s="1">
        <v>42912</v>
      </c>
      <c r="B158">
        <f t="shared" si="34"/>
        <v>1</v>
      </c>
      <c r="C158" s="30">
        <v>0</v>
      </c>
      <c r="D158" s="20">
        <v>2107502.31</v>
      </c>
      <c r="E158" s="20">
        <v>2107502.31</v>
      </c>
      <c r="F158" s="4">
        <f t="shared" si="49"/>
        <v>5.7347481280027868E-3</v>
      </c>
      <c r="G158">
        <v>0</v>
      </c>
      <c r="H158">
        <v>0</v>
      </c>
      <c r="I158">
        <v>0</v>
      </c>
      <c r="J158">
        <v>8397</v>
      </c>
      <c r="K158" s="30">
        <f>54.08+3720-154</f>
        <v>3620.08</v>
      </c>
      <c r="L158" s="18">
        <f t="shared" si="82"/>
        <v>12017.08</v>
      </c>
      <c r="M158" s="37">
        <f t="shared" si="66"/>
        <v>12017.080000000075</v>
      </c>
      <c r="N158" s="17" t="s">
        <v>3857</v>
      </c>
      <c r="O158" s="41">
        <f ca="1">SUMIFS(Stock!$O:$O,Stock!$A:$A,'Asset Line A share'!$A158,Stock!$I:$I,O$2)</f>
        <v>0</v>
      </c>
      <c r="P158" s="41">
        <f ca="1">SUMIFS(Stock!$O:$O,Stock!$A:$A,'Asset Line A share'!$A158,Stock!$I:$I,P$2)</f>
        <v>0</v>
      </c>
      <c r="Q158" s="40" t="str">
        <f t="shared" ca="1" si="59"/>
        <v/>
      </c>
      <c r="R158" s="40" t="str">
        <f t="shared" ca="1" si="60"/>
        <v/>
      </c>
      <c r="S158" s="41">
        <f t="shared" ca="1" si="62"/>
        <v>1164279.9500000002</v>
      </c>
      <c r="T158" s="30">
        <v>1999903</v>
      </c>
      <c r="U158" s="20">
        <f t="shared" si="76"/>
        <v>3802335.3608474578</v>
      </c>
      <c r="V158" s="20"/>
      <c r="W158" s="4">
        <f t="shared" si="80"/>
        <v>5.6724075140595076E-3</v>
      </c>
      <c r="X158" s="20">
        <f t="shared" si="79"/>
        <v>21446.741016949061</v>
      </c>
      <c r="Y158" s="17" t="s">
        <v>3856</v>
      </c>
      <c r="Z158" s="30">
        <f t="shared" si="51"/>
        <v>1.1446411370578633</v>
      </c>
      <c r="AA158" s="18">
        <f t="shared" si="81"/>
        <v>5.1255944825252708</v>
      </c>
    </row>
    <row r="159" spans="1:27" x14ac:dyDescent="0.15">
      <c r="A159" s="1">
        <v>42913</v>
      </c>
      <c r="B159">
        <f t="shared" si="34"/>
        <v>2</v>
      </c>
      <c r="C159" s="30">
        <v>0</v>
      </c>
      <c r="D159" s="20">
        <v>2109948.31</v>
      </c>
      <c r="E159" s="20">
        <v>2109948.31</v>
      </c>
      <c r="F159" s="4">
        <f t="shared" si="49"/>
        <v>1.1606155724688261E-3</v>
      </c>
      <c r="G159">
        <v>0</v>
      </c>
      <c r="H159">
        <v>0</v>
      </c>
      <c r="I159">
        <v>0</v>
      </c>
      <c r="J159">
        <v>1234</v>
      </c>
      <c r="K159" s="30">
        <f>+-8+1220</f>
        <v>1212</v>
      </c>
      <c r="L159" s="18">
        <f t="shared" si="82"/>
        <v>2446</v>
      </c>
      <c r="M159" s="37">
        <f t="shared" si="66"/>
        <v>2446</v>
      </c>
      <c r="N159" s="17" t="s">
        <v>3859</v>
      </c>
      <c r="O159" s="41">
        <f ca="1">SUMIFS(Stock!$O:$O,Stock!$A:$A,'Asset Line A share'!$A159,Stock!$I:$I,O$2)</f>
        <v>0</v>
      </c>
      <c r="P159" s="41">
        <f ca="1">SUMIFS(Stock!$O:$O,Stock!$A:$A,'Asset Line A share'!$A159,Stock!$I:$I,P$2)</f>
        <v>0</v>
      </c>
      <c r="Q159" s="40" t="str">
        <f t="shared" ca="1" si="59"/>
        <v/>
      </c>
      <c r="R159" s="40" t="str">
        <f t="shared" ca="1" si="60"/>
        <v/>
      </c>
      <c r="S159" s="41">
        <f t="shared" ca="1" si="62"/>
        <v>1164279.9500000002</v>
      </c>
      <c r="T159" s="30">
        <v>2000517</v>
      </c>
      <c r="U159" s="20">
        <f t="shared" si="76"/>
        <v>3805301.6998305088</v>
      </c>
      <c r="W159" s="4">
        <f t="shared" si="80"/>
        <v>7.8013607468596646E-4</v>
      </c>
      <c r="X159" s="20">
        <f t="shared" si="79"/>
        <v>2966.3389830510132</v>
      </c>
      <c r="Y159" s="17" t="s">
        <v>3858</v>
      </c>
      <c r="Z159" s="30">
        <f t="shared" si="51"/>
        <v>1.1455341129014518</v>
      </c>
      <c r="AA159" s="18">
        <f t="shared" si="81"/>
        <v>5.2254696900393931</v>
      </c>
    </row>
    <row r="160" spans="1:27" ht="27" x14ac:dyDescent="0.15">
      <c r="A160" s="1">
        <v>42914</v>
      </c>
      <c r="B160">
        <f t="shared" si="34"/>
        <v>3</v>
      </c>
      <c r="C160" s="30">
        <v>0</v>
      </c>
      <c r="D160" s="20">
        <v>2091185.38</v>
      </c>
      <c r="E160" s="20">
        <v>2091185.38</v>
      </c>
      <c r="F160" s="4">
        <f t="shared" si="49"/>
        <v>-8.89260173392592E-3</v>
      </c>
      <c r="G160">
        <v>-1531.08</v>
      </c>
      <c r="H160">
        <v>-1531.08</v>
      </c>
      <c r="I160">
        <v>0</v>
      </c>
      <c r="J160" s="30">
        <v>-22907</v>
      </c>
      <c r="K160" s="30">
        <f>94.35616+1340+4240</f>
        <v>5674.3561600000003</v>
      </c>
      <c r="L160" s="18">
        <f t="shared" si="82"/>
        <v>-18763.723840000002</v>
      </c>
      <c r="M160" s="37">
        <f t="shared" si="66"/>
        <v>-18762.930000000168</v>
      </c>
      <c r="N160" s="17" t="s">
        <v>3897</v>
      </c>
      <c r="O160" s="41">
        <f ca="1">SUMIFS(Stock!$O:$O,Stock!$A:$A,'Asset Line A share'!$A160,Stock!$I:$I,O$2)</f>
        <v>825162.7</v>
      </c>
      <c r="P160" s="41">
        <f ca="1">SUMIFS(Stock!$O:$O,Stock!$A:$A,'Asset Line A share'!$A160,Stock!$I:$I,P$2)</f>
        <v>0</v>
      </c>
      <c r="Q160" s="40">
        <f t="shared" ca="1" si="59"/>
        <v>-1.8554886206077904E-3</v>
      </c>
      <c r="R160" s="40" t="str">
        <f t="shared" ca="1" si="60"/>
        <v/>
      </c>
      <c r="S160" s="41">
        <f t="shared" ca="1" si="62"/>
        <v>1989442.6500000001</v>
      </c>
      <c r="T160" s="30">
        <v>1994160</v>
      </c>
      <c r="U160" s="20">
        <f t="shared" si="76"/>
        <v>3781151.4816949153</v>
      </c>
      <c r="W160" s="4">
        <f t="shared" ref="W160:W161" si="83">(U160-V160)/(U159)-1</f>
        <v>-6.3464660730235822E-3</v>
      </c>
      <c r="X160" s="20">
        <f t="shared" si="79"/>
        <v>-24150.218135593459</v>
      </c>
      <c r="Y160" s="39" t="s">
        <v>3898</v>
      </c>
      <c r="Z160" s="30">
        <f t="shared" si="51"/>
        <v>1.1382640195184315</v>
      </c>
      <c r="AA160" s="18">
        <f t="shared" si="81"/>
        <v>4.6669844502346436</v>
      </c>
    </row>
    <row r="161" spans="1:27" ht="27" x14ac:dyDescent="0.15">
      <c r="A161" s="1">
        <v>42915</v>
      </c>
      <c r="B161">
        <f t="shared" si="34"/>
        <v>4</v>
      </c>
      <c r="C161" s="30">
        <v>0</v>
      </c>
      <c r="D161" s="20">
        <v>2104699.38</v>
      </c>
      <c r="E161" s="20">
        <v>2104699.38</v>
      </c>
      <c r="F161" s="4">
        <f t="shared" si="49"/>
        <v>6.4623634658349527E-3</v>
      </c>
      <c r="G161">
        <v>0</v>
      </c>
      <c r="H161">
        <v>0</v>
      </c>
      <c r="I161">
        <v>0</v>
      </c>
      <c r="J161">
        <v>10654</v>
      </c>
      <c r="K161" s="30">
        <f>1470+1390</f>
        <v>2860</v>
      </c>
      <c r="L161" s="18">
        <f t="shared" si="82"/>
        <v>13514</v>
      </c>
      <c r="M161" s="37">
        <f t="shared" si="66"/>
        <v>13514</v>
      </c>
      <c r="N161" s="17" t="s">
        <v>3899</v>
      </c>
      <c r="O161" s="41">
        <f ca="1">SUMIFS(Stock!$O:$O,Stock!$A:$A,'Asset Line A share'!$A161,Stock!$I:$I,O$2)</f>
        <v>0</v>
      </c>
      <c r="P161" s="41">
        <f ca="1">SUMIFS(Stock!$O:$O,Stock!$A:$A,'Asset Line A share'!$A161,Stock!$I:$I,P$2)</f>
        <v>0</v>
      </c>
      <c r="Q161" s="40" t="str">
        <f t="shared" ca="1" si="59"/>
        <v/>
      </c>
      <c r="R161" s="40" t="str">
        <f t="shared" ca="1" si="60"/>
        <v/>
      </c>
      <c r="S161" s="41">
        <f t="shared" ca="1" si="62"/>
        <v>1989442.6500000001</v>
      </c>
      <c r="T161" s="30">
        <v>2127016</v>
      </c>
      <c r="U161" s="20">
        <f t="shared" si="76"/>
        <v>3907255.3122033896</v>
      </c>
      <c r="V161" s="30">
        <f>16000*6.8</f>
        <v>108800</v>
      </c>
      <c r="W161" s="4">
        <f t="shared" si="83"/>
        <v>4.5763388724955334E-3</v>
      </c>
      <c r="X161" s="20">
        <f t="shared" si="79"/>
        <v>17303.830508474261</v>
      </c>
      <c r="Y161" s="39" t="s">
        <v>3900</v>
      </c>
      <c r="Z161" s="30">
        <f t="shared" si="51"/>
        <v>1.1434731013981168</v>
      </c>
      <c r="AA161" s="18">
        <f t="shared" si="81"/>
        <v>4.4097683316433143</v>
      </c>
    </row>
    <row r="162" spans="1:27" x14ac:dyDescent="0.15">
      <c r="A162" s="1">
        <v>42916</v>
      </c>
      <c r="B162">
        <f t="shared" si="34"/>
        <v>5</v>
      </c>
      <c r="C162" s="30">
        <v>0</v>
      </c>
      <c r="D162" s="20">
        <v>2110484.4500000002</v>
      </c>
      <c r="E162" s="20">
        <v>2110484.4500000002</v>
      </c>
      <c r="F162" s="4">
        <f t="shared" si="49"/>
        <v>2.7486443218320833E-3</v>
      </c>
      <c r="G162">
        <v>-452.91</v>
      </c>
      <c r="H162" s="30">
        <v>-452.91</v>
      </c>
      <c r="I162">
        <v>0</v>
      </c>
      <c r="J162">
        <v>3898</v>
      </c>
      <c r="K162" s="30">
        <f>810+1530</f>
        <v>2340</v>
      </c>
      <c r="L162" s="18">
        <f t="shared" si="82"/>
        <v>5785.09</v>
      </c>
      <c r="M162" s="37">
        <f t="shared" si="66"/>
        <v>5785.070000000298</v>
      </c>
      <c r="N162" s="17" t="s">
        <v>3904</v>
      </c>
      <c r="O162" s="41">
        <f ca="1">SUMIFS(Stock!$O:$O,Stock!$A:$A,'Asset Line A share'!$A162,Stock!$I:$I,O$2)</f>
        <v>0</v>
      </c>
      <c r="P162" s="41">
        <f ca="1">SUMIFS(Stock!$O:$O,Stock!$A:$A,'Asset Line A share'!$A162,Stock!$I:$I,P$2)</f>
        <v>389733</v>
      </c>
      <c r="Q162" s="40" t="str">
        <f t="shared" ca="1" si="59"/>
        <v/>
      </c>
      <c r="R162" s="40">
        <f t="shared" ca="1" si="60"/>
        <v>0</v>
      </c>
      <c r="S162" s="41">
        <f t="shared" ca="1" si="62"/>
        <v>1599709.6500000001</v>
      </c>
      <c r="T162" s="30">
        <v>2123738</v>
      </c>
      <c r="U162" s="20">
        <f t="shared" si="76"/>
        <v>3910262.416101695</v>
      </c>
      <c r="W162" s="4">
        <f t="shared" ref="W162" si="84">(U162-V162)/(U161)-1</f>
        <v>7.69620528485504E-4</v>
      </c>
      <c r="X162" s="20">
        <f t="shared" si="79"/>
        <v>3007.1038983054459</v>
      </c>
      <c r="Y162" s="17" t="s">
        <v>3905</v>
      </c>
      <c r="Z162" s="30">
        <f t="shared" si="51"/>
        <v>1.1443531417707238</v>
      </c>
      <c r="AA162" s="18">
        <f t="shared" si="81"/>
        <v>4.5532379901517128</v>
      </c>
    </row>
    <row r="163" spans="1:27" ht="27" x14ac:dyDescent="0.15">
      <c r="A163" s="1">
        <v>42919</v>
      </c>
      <c r="B163">
        <f t="shared" si="34"/>
        <v>1</v>
      </c>
      <c r="C163" s="30">
        <v>0</v>
      </c>
      <c r="D163" s="20">
        <v>2082465.97</v>
      </c>
      <c r="E163" s="20">
        <v>2082465.97</v>
      </c>
      <c r="F163" s="4">
        <f t="shared" si="49"/>
        <v>-1.3275852375979502E-2</v>
      </c>
      <c r="G163">
        <v>0</v>
      </c>
      <c r="H163">
        <v>0</v>
      </c>
      <c r="I163">
        <v>0</v>
      </c>
      <c r="J163">
        <v>-29111</v>
      </c>
      <c r="K163" s="30">
        <f>1680-460-21.88-105.6</f>
        <v>1092.52</v>
      </c>
      <c r="L163" s="18">
        <f t="shared" ref="L163:L175" si="85">G163+J163+K163</f>
        <v>-28018.48</v>
      </c>
      <c r="M163" s="37">
        <f t="shared" si="66"/>
        <v>-28018.480000000214</v>
      </c>
      <c r="N163" s="17" t="s">
        <v>3908</v>
      </c>
      <c r="O163" s="41">
        <f ca="1">SUMIFS(Stock!$O:$O,Stock!$A:$A,'Asset Line A share'!$A163,Stock!$I:$I,O$2)</f>
        <v>0</v>
      </c>
      <c r="P163" s="41">
        <f ca="1">SUMIFS(Stock!$O:$O,Stock!$A:$A,'Asset Line A share'!$A163,Stock!$I:$I,P$2)</f>
        <v>0</v>
      </c>
      <c r="Q163" s="40" t="str">
        <f t="shared" ca="1" si="59"/>
        <v/>
      </c>
      <c r="R163" s="40" t="str">
        <f t="shared" ca="1" si="60"/>
        <v/>
      </c>
      <c r="S163" s="41">
        <f t="shared" ca="1" si="62"/>
        <v>1599709.6500000001</v>
      </c>
      <c r="T163">
        <v>2115818</v>
      </c>
      <c r="U163" s="20">
        <f t="shared" si="76"/>
        <v>3875532.0716949152</v>
      </c>
      <c r="W163" s="4">
        <f t="shared" ref="W163:W168" si="86">(U163-V163)/(U162)-1</f>
        <v>-8.8818449277897615E-3</v>
      </c>
      <c r="X163" s="20">
        <f t="shared" ref="X163:X168" si="87">(U163-V163)-(U162)</f>
        <v>-34730.344406779855</v>
      </c>
      <c r="Y163" s="17" t="s">
        <v>3907</v>
      </c>
      <c r="Z163" s="30">
        <f t="shared" ref="Z163:Z206" si="88">Z162*(1+W163)</f>
        <v>1.1341891746228872</v>
      </c>
      <c r="AA163" s="18">
        <f t="shared" si="81"/>
        <v>3.882007915437518</v>
      </c>
    </row>
    <row r="164" spans="1:27" x14ac:dyDescent="0.15">
      <c r="A164" s="1">
        <v>42920</v>
      </c>
      <c r="B164">
        <f t="shared" si="34"/>
        <v>2</v>
      </c>
      <c r="C164" s="30">
        <v>0</v>
      </c>
      <c r="D164" s="20">
        <v>2085794.64</v>
      </c>
      <c r="E164" s="20">
        <v>2085794.64</v>
      </c>
      <c r="F164" s="4">
        <f t="shared" si="49"/>
        <v>1.598427080179432E-3</v>
      </c>
      <c r="G164">
        <v>1000.875</v>
      </c>
      <c r="H164">
        <v>1583.04</v>
      </c>
      <c r="I164">
        <v>-582.16999999999996</v>
      </c>
      <c r="J164">
        <v>478</v>
      </c>
      <c r="K164" s="30">
        <v>1850</v>
      </c>
      <c r="L164" s="18">
        <f t="shared" si="85"/>
        <v>3328.875</v>
      </c>
      <c r="M164" s="37">
        <f t="shared" si="66"/>
        <v>3328.6699999999255</v>
      </c>
      <c r="N164" s="17" t="s">
        <v>3934</v>
      </c>
      <c r="O164" s="41">
        <f ca="1">SUMIFS(Stock!$O:$O,Stock!$A:$A,'Asset Line A share'!$A164,Stock!$I:$I,O$2)</f>
        <v>370167.8</v>
      </c>
      <c r="P164" s="41">
        <f ca="1">SUMIFS(Stock!$O:$O,Stock!$A:$A,'Asset Line A share'!$A164,Stock!$I:$I,P$2)</f>
        <v>345625</v>
      </c>
      <c r="Q164" s="40">
        <f t="shared" ref="Q164:Q180" ca="1" si="89">IF(O164&lt;&gt;0,+H164/O164,"")</f>
        <v>4.2765470146241789E-3</v>
      </c>
      <c r="R164" s="40">
        <f t="shared" ref="R164:R180" ca="1" si="90">IF(P164&lt;&gt;0,+I164/P164,"")</f>
        <v>-1.6843978300180831E-3</v>
      </c>
      <c r="S164" s="41">
        <f t="shared" ca="1" si="62"/>
        <v>1624252.4500000002</v>
      </c>
      <c r="T164" s="30">
        <v>2105763</v>
      </c>
      <c r="U164" s="20">
        <f t="shared" si="76"/>
        <v>3870339.5552542373</v>
      </c>
      <c r="W164" s="4">
        <f t="shared" si="86"/>
        <v>-1.3398202736087939E-3</v>
      </c>
      <c r="X164" s="20">
        <f t="shared" si="87"/>
        <v>-5192.5164406779222</v>
      </c>
      <c r="Y164" s="17" t="s">
        <v>3933</v>
      </c>
      <c r="Z164" s="30">
        <f t="shared" si="88"/>
        <v>1.1326695649726197</v>
      </c>
      <c r="AA164" s="18">
        <f t="shared" si="81"/>
        <v>2.8178793557409541</v>
      </c>
    </row>
    <row r="165" spans="1:27" ht="40.5" x14ac:dyDescent="0.15">
      <c r="A165" s="1">
        <v>42921</v>
      </c>
      <c r="B165">
        <f t="shared" si="34"/>
        <v>3</v>
      </c>
      <c r="C165" s="30">
        <v>0</v>
      </c>
      <c r="D165" s="20">
        <v>2124895.09</v>
      </c>
      <c r="E165" s="20">
        <v>2124895.09</v>
      </c>
      <c r="F165" s="4">
        <f t="shared" si="49"/>
        <v>1.8746068884327061E-2</v>
      </c>
      <c r="G165">
        <v>3269.66</v>
      </c>
      <c r="H165">
        <v>3664.48</v>
      </c>
      <c r="I165">
        <v>-394.83</v>
      </c>
      <c r="J165">
        <v>33844</v>
      </c>
      <c r="K165" s="30">
        <f>2030-43.2</f>
        <v>1986.8</v>
      </c>
      <c r="L165" s="18">
        <f t="shared" si="85"/>
        <v>39100.460000000006</v>
      </c>
      <c r="M165" s="37">
        <f t="shared" si="66"/>
        <v>39100.449999999953</v>
      </c>
      <c r="N165" s="17" t="s">
        <v>3948</v>
      </c>
      <c r="O165" s="41">
        <f ca="1">SUMIFS(Stock!$O:$O,Stock!$A:$A,'Asset Line A share'!$A165,Stock!$I:$I,O$2)</f>
        <v>221266</v>
      </c>
      <c r="P165" s="41">
        <f ca="1">SUMIFS(Stock!$O:$O,Stock!$A:$A,'Asset Line A share'!$A165,Stock!$I:$I,P$2)</f>
        <v>355380.45</v>
      </c>
      <c r="Q165" s="40">
        <f t="shared" ca="1" si="89"/>
        <v>1.6561423806639972E-2</v>
      </c>
      <c r="R165" s="40">
        <f t="shared" ca="1" si="90"/>
        <v>-1.1110065283557382E-3</v>
      </c>
      <c r="S165" s="41">
        <f t="shared" ca="1" si="62"/>
        <v>1490138.0000000002</v>
      </c>
      <c r="T165">
        <v>2130289</v>
      </c>
      <c r="U165" s="20">
        <f t="shared" si="76"/>
        <v>3930224.7510169493</v>
      </c>
      <c r="W165" s="4">
        <f t="shared" si="86"/>
        <v>1.5472853197444625E-2</v>
      </c>
      <c r="X165" s="20">
        <f t="shared" si="87"/>
        <v>59885.195762712043</v>
      </c>
      <c r="Y165" s="17" t="s">
        <v>3949</v>
      </c>
      <c r="Z165" s="30">
        <f t="shared" si="88"/>
        <v>1.1501951948726545</v>
      </c>
      <c r="AA165" s="18">
        <f t="shared" si="81"/>
        <v>3.1214073260424255</v>
      </c>
    </row>
    <row r="166" spans="1:27" x14ac:dyDescent="0.15">
      <c r="A166" s="1">
        <v>42922</v>
      </c>
      <c r="B166">
        <f t="shared" si="34"/>
        <v>4</v>
      </c>
      <c r="C166" s="30">
        <v>0</v>
      </c>
      <c r="D166" s="20">
        <v>2132193.19</v>
      </c>
      <c r="E166" s="20">
        <v>2132193.19</v>
      </c>
      <c r="F166" s="4">
        <f t="shared" si="49"/>
        <v>3.4345695626789574E-3</v>
      </c>
      <c r="G166">
        <v>1999.3</v>
      </c>
      <c r="H166">
        <v>2298.37</v>
      </c>
      <c r="I166">
        <v>-299.07</v>
      </c>
      <c r="J166">
        <v>3225.6</v>
      </c>
      <c r="K166" s="30">
        <f>+-4+2240-162.8</f>
        <v>2073.1999999999998</v>
      </c>
      <c r="L166" s="18">
        <f t="shared" si="85"/>
        <v>7298.0999999999995</v>
      </c>
      <c r="M166" s="37">
        <f t="shared" si="66"/>
        <v>7298.1000000000931</v>
      </c>
      <c r="N166" s="17" t="s">
        <v>3966</v>
      </c>
      <c r="O166" s="41">
        <f ca="1">SUMIFS(Stock!$O:$O,Stock!$A:$A,'Asset Line A share'!$A166,Stock!$I:$I,O$2)</f>
        <v>241211</v>
      </c>
      <c r="P166" s="41">
        <f ca="1">SUMIFS(Stock!$O:$O,Stock!$A:$A,'Asset Line A share'!$A166,Stock!$I:$I,P$2)</f>
        <v>269087</v>
      </c>
      <c r="Q166" s="40">
        <f t="shared" ca="1" si="89"/>
        <v>9.5284626323011799E-3</v>
      </c>
      <c r="R166" s="40">
        <f t="shared" ca="1" si="90"/>
        <v>-1.1114249294837729E-3</v>
      </c>
      <c r="S166" s="41">
        <f t="shared" ca="1" si="62"/>
        <v>1462262.0000000002</v>
      </c>
      <c r="T166">
        <v>2131684</v>
      </c>
      <c r="U166" s="20">
        <f t="shared" si="76"/>
        <v>3938705.0544067798</v>
      </c>
      <c r="W166" s="4">
        <f t="shared" si="86"/>
        <v>2.1577146161009253E-3</v>
      </c>
      <c r="X166" s="20">
        <f t="shared" si="87"/>
        <v>8480.3033898305148</v>
      </c>
      <c r="Y166" s="17" t="s">
        <v>3967</v>
      </c>
      <c r="Z166" s="30">
        <f t="shared" si="88"/>
        <v>1.1526769878560004</v>
      </c>
      <c r="AA166" s="18">
        <f t="shared" si="81"/>
        <v>2.4250802335399371</v>
      </c>
    </row>
    <row r="167" spans="1:27" ht="54" x14ac:dyDescent="0.15">
      <c r="A167" s="1">
        <v>42923</v>
      </c>
      <c r="B167">
        <f t="shared" si="34"/>
        <v>5</v>
      </c>
      <c r="C167" s="30">
        <v>0</v>
      </c>
      <c r="D167" s="20">
        <v>2118422.11</v>
      </c>
      <c r="E167" s="20">
        <v>2118422.11</v>
      </c>
      <c r="F167" s="4">
        <f t="shared" si="49"/>
        <v>-6.4586455226414152E-3</v>
      </c>
      <c r="G167">
        <v>-273.56</v>
      </c>
      <c r="H167">
        <v>647.69000000000005</v>
      </c>
      <c r="I167">
        <v>-921.26</v>
      </c>
      <c r="J167">
        <v>-16025.15</v>
      </c>
      <c r="K167" s="30">
        <f>79.561644-11+2460</f>
        <v>2528.5616439999999</v>
      </c>
      <c r="L167" s="18">
        <f t="shared" si="85"/>
        <v>-13770.148356</v>
      </c>
      <c r="M167" s="37">
        <f t="shared" si="66"/>
        <v>-13771.080000000075</v>
      </c>
      <c r="N167" s="17" t="s">
        <v>3987</v>
      </c>
      <c r="O167" s="41">
        <f ca="1">SUMIFS(Stock!$O:$O,Stock!$A:$A,'Asset Line A share'!$A167,Stock!$I:$I,O$2)</f>
        <v>161442</v>
      </c>
      <c r="P167" s="41">
        <f ca="1">SUMIFS(Stock!$O:$O,Stock!$A:$A,'Asset Line A share'!$A167,Stock!$I:$I,P$2)</f>
        <v>897298</v>
      </c>
      <c r="Q167" s="40">
        <f t="shared" ca="1" si="89"/>
        <v>4.0119052043458333E-3</v>
      </c>
      <c r="R167" s="40">
        <f t="shared" ca="1" si="90"/>
        <v>-1.0267046176409621E-3</v>
      </c>
      <c r="S167" s="41">
        <f t="shared" ca="1" si="62"/>
        <v>726406.00000000023</v>
      </c>
      <c r="T167" s="30">
        <v>2126936</v>
      </c>
      <c r="U167" s="20">
        <f t="shared" si="76"/>
        <v>3920910.24559322</v>
      </c>
      <c r="W167" s="4">
        <f t="shared" si="86"/>
        <v>-4.5179338304731642E-3</v>
      </c>
      <c r="X167" s="20">
        <f t="shared" si="87"/>
        <v>-17794.808813559823</v>
      </c>
      <c r="Y167" s="17" t="s">
        <v>3985</v>
      </c>
      <c r="Z167" s="30">
        <f t="shared" si="88"/>
        <v>1.1474692694969579</v>
      </c>
      <c r="AA167" s="18">
        <f t="shared" si="81"/>
        <v>1.636813114580643</v>
      </c>
    </row>
    <row r="168" spans="1:27" ht="40.5" x14ac:dyDescent="0.15">
      <c r="A168" s="1">
        <v>42926</v>
      </c>
      <c r="B168">
        <f t="shared" si="34"/>
        <v>1</v>
      </c>
      <c r="C168" s="30">
        <v>0</v>
      </c>
      <c r="D168" s="20">
        <v>2114121.91</v>
      </c>
      <c r="E168" s="20">
        <v>2114121.91</v>
      </c>
      <c r="F168" s="4">
        <f t="shared" si="49"/>
        <v>-2.0299070613456482E-3</v>
      </c>
      <c r="G168">
        <v>-187.25</v>
      </c>
      <c r="H168" s="30">
        <v>647.69000000000005</v>
      </c>
      <c r="I168" s="30">
        <v>-921.26</v>
      </c>
      <c r="J168">
        <v>-5907</v>
      </c>
      <c r="K168" s="30">
        <f>74.62+2300-135.74-396-13-35.82</f>
        <v>1794.0600000000002</v>
      </c>
      <c r="L168" s="18">
        <f t="shared" si="85"/>
        <v>-4300.1899999999996</v>
      </c>
      <c r="M168" s="37">
        <f t="shared" si="66"/>
        <v>-4300.1999999997206</v>
      </c>
      <c r="N168" s="17" t="s">
        <v>4062</v>
      </c>
      <c r="O168" s="41">
        <f ca="1">SUMIFS(Stock!$O:$O,Stock!$A:$A,'Asset Line A share'!$A168,Stock!$I:$I,O$2)</f>
        <v>19619</v>
      </c>
      <c r="P168" s="41">
        <f ca="1">SUMIFS(Stock!$O:$O,Stock!$A:$A,'Asset Line A share'!$A168,Stock!$I:$I,P$2)</f>
        <v>116502</v>
      </c>
      <c r="Q168" s="40">
        <f t="shared" ca="1" si="89"/>
        <v>3.3013405372343138E-2</v>
      </c>
      <c r="R168" s="40">
        <f t="shared" ca="1" si="90"/>
        <v>-7.9076754047140829E-3</v>
      </c>
      <c r="S168" s="41">
        <f t="shared" ca="1" si="62"/>
        <v>629523.00000000023</v>
      </c>
      <c r="T168" s="30">
        <v>2131024</v>
      </c>
      <c r="U168" s="20">
        <f t="shared" si="76"/>
        <v>3920074.4523728816</v>
      </c>
      <c r="W168" s="4">
        <f t="shared" si="86"/>
        <v>-2.1316305857232987E-4</v>
      </c>
      <c r="X168" s="20">
        <f t="shared" si="87"/>
        <v>-835.79322033841163</v>
      </c>
      <c r="Y168" s="17" t="s">
        <v>3994</v>
      </c>
      <c r="Z168" s="30">
        <f t="shared" si="88"/>
        <v>1.1472246714378542</v>
      </c>
      <c r="AA168" s="18">
        <f t="shared" si="81"/>
        <v>1.398565181715185</v>
      </c>
    </row>
    <row r="169" spans="1:27" ht="40.5" x14ac:dyDescent="0.15">
      <c r="A169" s="1">
        <v>42927</v>
      </c>
      <c r="B169">
        <f t="shared" si="34"/>
        <v>2</v>
      </c>
      <c r="C169" s="30">
        <v>0</v>
      </c>
      <c r="D169" s="20">
        <v>2117363.1800000002</v>
      </c>
      <c r="E169" s="20">
        <v>2117363.1800000002</v>
      </c>
      <c r="F169" s="4">
        <f t="shared" si="49"/>
        <v>1.5331518890506768E-3</v>
      </c>
      <c r="G169">
        <v>-1765.66</v>
      </c>
      <c r="H169">
        <v>-1196.76</v>
      </c>
      <c r="I169">
        <v>-568.9</v>
      </c>
      <c r="J169">
        <v>4919</v>
      </c>
      <c r="K169" s="30">
        <f>-3+(1300*2.545/36.5)</f>
        <v>87.643835616438352</v>
      </c>
      <c r="L169" s="18">
        <f t="shared" si="85"/>
        <v>3240.9838356164387</v>
      </c>
      <c r="M169" s="37">
        <f t="shared" si="66"/>
        <v>3241.2700000000186</v>
      </c>
      <c r="N169" s="17" t="s">
        <v>4063</v>
      </c>
      <c r="O169" s="41">
        <f ca="1">SUMIFS(Stock!$O:$O,Stock!$A:$A,'Asset Line A share'!$A169,Stock!$I:$I,O$2)</f>
        <v>1398018</v>
      </c>
      <c r="P169" s="41">
        <f ca="1">SUMIFS(Stock!$O:$O,Stock!$A:$A,'Asset Line A share'!$A169,Stock!$I:$I,P$2)</f>
        <v>334900</v>
      </c>
      <c r="Q169" s="40">
        <f t="shared" ca="1" si="89"/>
        <v>-8.5604048016549143E-4</v>
      </c>
      <c r="R169" s="40">
        <f t="shared" ca="1" si="90"/>
        <v>-1.6987160346372051E-3</v>
      </c>
      <c r="S169" s="41">
        <f t="shared" ca="1" si="62"/>
        <v>1692641.0000000002</v>
      </c>
      <c r="T169" s="30">
        <v>2151549</v>
      </c>
      <c r="U169" s="20">
        <f t="shared" si="76"/>
        <v>3940709.7901694919</v>
      </c>
      <c r="W169" s="4">
        <f t="shared" ref="W169:W171" si="91">(U169-V169)/(U168)-1</f>
        <v>5.2640168056297121E-3</v>
      </c>
      <c r="X169" s="20">
        <f t="shared" ref="X169:X171" si="92">(U169-V169)-(U168)</f>
        <v>20635.337796610314</v>
      </c>
      <c r="Y169" s="17" t="s">
        <v>4064</v>
      </c>
      <c r="Z169" s="30">
        <f t="shared" si="88"/>
        <v>1.1532636813881361</v>
      </c>
      <c r="AA169" s="18">
        <f t="shared" si="81"/>
        <v>1.5643435257192688</v>
      </c>
    </row>
    <row r="170" spans="1:27" ht="108" x14ac:dyDescent="0.15">
      <c r="A170" s="1">
        <v>42928</v>
      </c>
      <c r="B170">
        <f t="shared" si="34"/>
        <v>3</v>
      </c>
      <c r="C170" s="30">
        <v>0</v>
      </c>
      <c r="D170" s="20">
        <v>2126306.29</v>
      </c>
      <c r="E170" s="20">
        <v>2126306.29</v>
      </c>
      <c r="F170" s="4">
        <f t="shared" si="49"/>
        <v>4.2237014813868434E-3</v>
      </c>
      <c r="G170">
        <v>78.5</v>
      </c>
      <c r="H170">
        <v>2007.11</v>
      </c>
      <c r="I170">
        <v>-1928.62</v>
      </c>
      <c r="J170">
        <v>9024</v>
      </c>
      <c r="K170" s="30">
        <f>21.45205-180</f>
        <v>-158.54795000000001</v>
      </c>
      <c r="L170" s="18">
        <f t="shared" si="85"/>
        <v>8943.9520499999999</v>
      </c>
      <c r="M170" s="37">
        <f t="shared" ref="M170:M187" si="93">+E170-E169</f>
        <v>8943.1099999998696</v>
      </c>
      <c r="N170" s="17" t="s">
        <v>4095</v>
      </c>
      <c r="O170" s="41">
        <f ca="1">SUMIFS(Stock!$O:$O,Stock!$A:$A,'Asset Line A share'!$A170,Stock!$I:$I,O$2)</f>
        <v>375571.20000000001</v>
      </c>
      <c r="P170" s="41">
        <f ca="1">SUMIFS(Stock!$O:$O,Stock!$A:$A,'Asset Line A share'!$A170,Stock!$I:$I,P$2)</f>
        <v>907488</v>
      </c>
      <c r="Q170" s="40">
        <f t="shared" ca="1" si="89"/>
        <v>5.3441531193020118E-3</v>
      </c>
      <c r="R170" s="40">
        <f t="shared" ca="1" si="90"/>
        <v>-2.1252292041327265E-3</v>
      </c>
      <c r="S170" s="41">
        <f t="shared" ca="1" si="62"/>
        <v>1160724.2000000002</v>
      </c>
      <c r="T170">
        <v>2137948</v>
      </c>
      <c r="U170" s="20">
        <f t="shared" si="76"/>
        <v>3938126.6289830511</v>
      </c>
      <c r="W170" s="4">
        <f t="shared" si="91"/>
        <v>-6.5550657723767447E-4</v>
      </c>
      <c r="X170" s="20">
        <f t="shared" si="92"/>
        <v>-2583.1611864408478</v>
      </c>
      <c r="Y170" s="17" t="s">
        <v>4094</v>
      </c>
      <c r="Z170" s="30">
        <f t="shared" si="88"/>
        <v>1.1525077094596967</v>
      </c>
      <c r="AA170" s="18">
        <f t="shared" si="81"/>
        <v>3.8341134384703883</v>
      </c>
    </row>
    <row r="171" spans="1:27" ht="81" x14ac:dyDescent="0.15">
      <c r="A171" s="1">
        <v>42929</v>
      </c>
      <c r="B171">
        <f t="shared" si="34"/>
        <v>4</v>
      </c>
      <c r="C171" s="30">
        <v>0</v>
      </c>
      <c r="D171" s="20">
        <v>2113386.61</v>
      </c>
      <c r="E171" s="20">
        <v>2113386.61</v>
      </c>
      <c r="F171" s="4">
        <f t="shared" si="49"/>
        <v>-6.0761142742046248E-3</v>
      </c>
      <c r="G171">
        <v>-2950.09</v>
      </c>
      <c r="H171">
        <v>-2383.86</v>
      </c>
      <c r="I171">
        <v>-566.22</v>
      </c>
      <c r="J171">
        <v>-10010</v>
      </c>
      <c r="K171" s="30">
        <v>-4</v>
      </c>
      <c r="L171" s="18">
        <f t="shared" si="85"/>
        <v>-12964.09</v>
      </c>
      <c r="M171" s="37">
        <f t="shared" si="93"/>
        <v>-12919.680000000168</v>
      </c>
      <c r="N171" s="17" t="s">
        <v>4134</v>
      </c>
      <c r="O171" s="41">
        <f ca="1">SUMIFS(Stock!$O:$O,Stock!$A:$A,'Asset Line A share'!$A171,Stock!$I:$I,O$2)</f>
        <v>981384.4</v>
      </c>
      <c r="P171" s="41">
        <f ca="1">SUMIFS(Stock!$O:$O,Stock!$A:$A,'Asset Line A share'!$A171,Stock!$I:$I,P$2)</f>
        <v>653866</v>
      </c>
      <c r="Q171" s="40">
        <f t="shared" ca="1" si="89"/>
        <v>-2.4290787585374294E-3</v>
      </c>
      <c r="R171" s="40">
        <f t="shared" ca="1" si="90"/>
        <v>-8.6595724506244407E-4</v>
      </c>
      <c r="S171" s="41">
        <f t="shared" ca="1" si="62"/>
        <v>1488242.6</v>
      </c>
      <c r="T171">
        <v>2160206</v>
      </c>
      <c r="U171" s="20">
        <f t="shared" si="76"/>
        <v>3944069.6608474576</v>
      </c>
      <c r="W171" s="4">
        <f t="shared" si="91"/>
        <v>1.5091012616679222E-3</v>
      </c>
      <c r="X171" s="20">
        <f t="shared" si="92"/>
        <v>5943.031864406541</v>
      </c>
      <c r="Y171" s="17" t="s">
        <v>4133</v>
      </c>
      <c r="Z171" s="30">
        <f t="shared" si="88"/>
        <v>1.1542469602981245</v>
      </c>
      <c r="AA171" s="18">
        <f t="shared" si="81"/>
        <v>4.9795329141845697</v>
      </c>
    </row>
    <row r="172" spans="1:27" ht="121.5" x14ac:dyDescent="0.15">
      <c r="A172" s="1">
        <v>42930</v>
      </c>
      <c r="B172">
        <f t="shared" si="34"/>
        <v>5</v>
      </c>
      <c r="C172" s="30">
        <v>0</v>
      </c>
      <c r="D172" s="20">
        <v>2128899.7000000002</v>
      </c>
      <c r="E172" s="20">
        <v>2128899.7000000002</v>
      </c>
      <c r="F172" s="4">
        <f t="shared" si="49"/>
        <v>7.340393814646351E-3</v>
      </c>
      <c r="G172">
        <v>-775.08</v>
      </c>
      <c r="H172">
        <v>0</v>
      </c>
      <c r="I172" s="30">
        <v>-775.08</v>
      </c>
      <c r="J172">
        <v>16309</v>
      </c>
      <c r="K172" s="30">
        <f>92.38356-167.2</f>
        <v>-74.816439999999986</v>
      </c>
      <c r="L172" s="18">
        <f t="shared" si="85"/>
        <v>15459.10356</v>
      </c>
      <c r="M172" s="37">
        <f t="shared" si="93"/>
        <v>15513.090000000317</v>
      </c>
      <c r="N172" s="17" t="s">
        <v>4140</v>
      </c>
      <c r="O172" s="41">
        <f ca="1">SUMIFS(Stock!$O:$O,Stock!$A:$A,'Asset Line A share'!$A172,Stock!$I:$I,O$2)</f>
        <v>0</v>
      </c>
      <c r="P172" s="41">
        <f ca="1">SUMIFS(Stock!$O:$O,Stock!$A:$A,'Asset Line A share'!$A172,Stock!$I:$I,P$2)</f>
        <v>593448</v>
      </c>
      <c r="Q172" s="40" t="str">
        <f t="shared" ca="1" si="89"/>
        <v/>
      </c>
      <c r="R172" s="40">
        <f t="shared" ca="1" si="90"/>
        <v>-1.3060621992154325E-3</v>
      </c>
      <c r="S172" s="41">
        <f t="shared" ca="1" si="62"/>
        <v>894794.60000000021</v>
      </c>
      <c r="T172">
        <v>2164729</v>
      </c>
      <c r="U172" s="20">
        <f t="shared" si="76"/>
        <v>3963415.8016949156</v>
      </c>
      <c r="W172" s="4">
        <f t="shared" ref="W172" si="94">(U172-V172)/(U171)-1</f>
        <v>4.9051214889803685E-3</v>
      </c>
      <c r="X172" s="20">
        <f t="shared" ref="X172" si="95">(U172-V172)-(U171)</f>
        <v>19346.140847458038</v>
      </c>
      <c r="Y172" s="17" t="s">
        <v>4141</v>
      </c>
      <c r="Z172" s="30">
        <f t="shared" si="88"/>
        <v>1.1599086818666731</v>
      </c>
      <c r="AA172" s="18">
        <f t="shared" si="81"/>
        <v>5.8481541763925424</v>
      </c>
    </row>
    <row r="173" spans="1:27" ht="40.5" x14ac:dyDescent="0.15">
      <c r="A173" s="1">
        <v>42933</v>
      </c>
      <c r="B173">
        <f t="shared" si="34"/>
        <v>1</v>
      </c>
      <c r="C173" s="30">
        <v>0</v>
      </c>
      <c r="D173" s="20">
        <v>2129142.42</v>
      </c>
      <c r="E173" s="20">
        <v>2129142.42</v>
      </c>
      <c r="F173" s="4">
        <f t="shared" si="49"/>
        <v>1.1401194711035956E-4</v>
      </c>
      <c r="G173">
        <v>6666.56</v>
      </c>
      <c r="H173">
        <v>7063.41</v>
      </c>
      <c r="I173">
        <v>-396.85</v>
      </c>
      <c r="J173">
        <v>-6153</v>
      </c>
      <c r="K173" s="30">
        <f>85.9-5-135.74-216</f>
        <v>-270.84000000000003</v>
      </c>
      <c r="L173" s="18">
        <f t="shared" si="85"/>
        <v>242.72000000000037</v>
      </c>
      <c r="M173" s="37">
        <f t="shared" si="93"/>
        <v>242.71999999973923</v>
      </c>
      <c r="N173" s="17" t="s">
        <v>4167</v>
      </c>
      <c r="O173" s="41">
        <f ca="1">SUMIFS(Stock!$O:$O,Stock!$A:$A,'Asset Line A share'!$A173,Stock!$I:$I,O$2)</f>
        <v>828967.6</v>
      </c>
      <c r="P173" s="41">
        <f ca="1">SUMIFS(Stock!$O:$O,Stock!$A:$A,'Asset Line A share'!$A173,Stock!$I:$I,P$2)</f>
        <v>180068</v>
      </c>
      <c r="Q173" s="40">
        <f t="shared" ca="1" si="89"/>
        <v>8.5207310876806285E-3</v>
      </c>
      <c r="R173" s="40">
        <f t="shared" ca="1" si="90"/>
        <v>-2.2038896416909171E-3</v>
      </c>
      <c r="S173" s="41">
        <f t="shared" ca="1" si="62"/>
        <v>1543694.2000000002</v>
      </c>
      <c r="T173" s="30">
        <v>2167356</v>
      </c>
      <c r="U173" s="20">
        <f t="shared" si="76"/>
        <v>3965884.7928813556</v>
      </c>
      <c r="W173" s="4">
        <f t="shared" ref="W173" si="96">(U173-V173)/(U172)-1</f>
        <v>6.2294528507056413E-4</v>
      </c>
      <c r="X173" s="20">
        <f t="shared" ref="X173" si="97">(U173-V173)-(U172)</f>
        <v>2468.991186439991</v>
      </c>
      <c r="Y173" s="17" t="s">
        <v>4166</v>
      </c>
      <c r="Z173" s="30">
        <f t="shared" si="88"/>
        <v>1.1606312415111544</v>
      </c>
      <c r="AA173" s="18">
        <f t="shared" si="81"/>
        <v>4.8185381684773274</v>
      </c>
    </row>
    <row r="174" spans="1:27" ht="135" x14ac:dyDescent="0.15">
      <c r="A174" s="1">
        <v>42934</v>
      </c>
      <c r="B174">
        <f t="shared" si="34"/>
        <v>2</v>
      </c>
      <c r="C174" s="30">
        <v>0</v>
      </c>
      <c r="D174" s="20">
        <v>2115714.86</v>
      </c>
      <c r="E174" s="20">
        <v>2115714.86</v>
      </c>
      <c r="F174" s="4">
        <f t="shared" si="49"/>
        <v>-6.306557923917544E-3</v>
      </c>
      <c r="G174">
        <v>-2934.38</v>
      </c>
      <c r="H174">
        <v>1573.38</v>
      </c>
      <c r="I174">
        <v>-4507.76</v>
      </c>
      <c r="J174">
        <v>-10523.8</v>
      </c>
      <c r="K174" s="30">
        <f>44.63-14</f>
        <v>30.630000000000003</v>
      </c>
      <c r="L174" s="18">
        <f t="shared" si="85"/>
        <v>-13427.550000000001</v>
      </c>
      <c r="M174" s="37">
        <f t="shared" si="93"/>
        <v>-13427.560000000056</v>
      </c>
      <c r="N174" s="17" t="s">
        <v>4181</v>
      </c>
      <c r="O174" s="41">
        <f ca="1">SUMIFS(Stock!$O:$O,Stock!$A:$A,'Asset Line A share'!$A174,Stock!$I:$I,O$2)</f>
        <v>121000</v>
      </c>
      <c r="P174" s="41">
        <f ca="1">SUMIFS(Stock!$O:$O,Stock!$A:$A,'Asset Line A share'!$A174,Stock!$I:$I,P$2)</f>
        <v>1046370</v>
      </c>
      <c r="Q174" s="40">
        <f t="shared" ca="1" si="89"/>
        <v>1.300314049586777E-2</v>
      </c>
      <c r="R174" s="40">
        <f t="shared" ca="1" si="90"/>
        <v>-4.3079981268576125E-3</v>
      </c>
      <c r="S174" s="41">
        <f t="shared" ca="1" si="62"/>
        <v>618324.20000000007</v>
      </c>
      <c r="T174" s="30">
        <v>2171895</v>
      </c>
      <c r="U174" s="20">
        <f t="shared" si="76"/>
        <v>3956303.8430508478</v>
      </c>
      <c r="W174" s="4">
        <f t="shared" ref="W174" si="98">(U174-V174)/(U173)-1</f>
        <v>-2.4158416925538218E-3</v>
      </c>
      <c r="X174" s="20">
        <f t="shared" ref="X174" si="99">(U174-V174)-(U173)</f>
        <v>-9580.9498305078596</v>
      </c>
      <c r="Y174" s="17" t="s">
        <v>4180</v>
      </c>
      <c r="Z174" s="30">
        <f t="shared" si="88"/>
        <v>1.1578273401682313</v>
      </c>
      <c r="AA174" s="18">
        <f t="shared" si="81"/>
        <v>5.2339399604999048</v>
      </c>
    </row>
    <row r="175" spans="1:27" ht="162" x14ac:dyDescent="0.15">
      <c r="A175" s="1">
        <v>42935</v>
      </c>
      <c r="B175">
        <f t="shared" si="34"/>
        <v>3</v>
      </c>
      <c r="C175" s="30">
        <v>0</v>
      </c>
      <c r="D175" s="20">
        <v>2124713.7000000002</v>
      </c>
      <c r="E175" s="20">
        <v>2124713.7000000002</v>
      </c>
      <c r="F175" s="4">
        <f t="shared" si="49"/>
        <v>4.2533330791090229E-3</v>
      </c>
      <c r="G175">
        <v>175.86</v>
      </c>
      <c r="H175" s="30">
        <v>175.86</v>
      </c>
      <c r="I175">
        <v>0</v>
      </c>
      <c r="J175">
        <v>8713.65</v>
      </c>
      <c r="K175" s="30">
        <f>123.34-14</f>
        <v>109.34</v>
      </c>
      <c r="L175" s="18">
        <f t="shared" si="85"/>
        <v>8998.85</v>
      </c>
      <c r="M175" s="37">
        <f t="shared" si="93"/>
        <v>8998.8400000003166</v>
      </c>
      <c r="N175" s="17" t="s">
        <v>4186</v>
      </c>
      <c r="O175" s="41">
        <f ca="1">SUMIFS(Stock!$O:$O,Stock!$A:$A,'Asset Line A share'!$A175,Stock!$I:$I,O$2)</f>
        <v>56885</v>
      </c>
      <c r="P175" s="41">
        <f ca="1">SUMIFS(Stock!$O:$O,Stock!$A:$A,'Asset Line A share'!$A175,Stock!$I:$I,P$2)</f>
        <v>0</v>
      </c>
      <c r="Q175" s="40">
        <f t="shared" ca="1" si="89"/>
        <v>3.0915003955348515E-3</v>
      </c>
      <c r="R175" s="40" t="str">
        <f t="shared" ca="1" si="90"/>
        <v/>
      </c>
      <c r="S175" s="41">
        <f t="shared" ca="1" si="62"/>
        <v>675209.20000000007</v>
      </c>
      <c r="T175">
        <v>2180052</v>
      </c>
      <c r="U175" s="20">
        <f t="shared" si="76"/>
        <v>3972215.3949152548</v>
      </c>
      <c r="W175" s="4">
        <f t="shared" ref="W175" si="100">(U175-V175)/(U174)-1</f>
        <v>4.021822513039508E-3</v>
      </c>
      <c r="X175" s="20">
        <f t="shared" ref="X175" si="101">(U175-V175)-(U174)</f>
        <v>15911.551864407025</v>
      </c>
      <c r="Y175" s="17" t="s">
        <v>4187</v>
      </c>
      <c r="Z175" s="30">
        <f t="shared" si="88"/>
        <v>1.1624839162311325</v>
      </c>
      <c r="AA175" s="18">
        <f t="shared" si="81"/>
        <v>4.2712108872796302</v>
      </c>
    </row>
    <row r="176" spans="1:27" ht="54" x14ac:dyDescent="0.15">
      <c r="A176" s="1">
        <v>42936</v>
      </c>
      <c r="B176">
        <f t="shared" si="34"/>
        <v>4</v>
      </c>
      <c r="C176" s="30">
        <v>0</v>
      </c>
      <c r="D176" s="20">
        <v>2130907.33</v>
      </c>
      <c r="E176" s="20">
        <v>2130907.33</v>
      </c>
      <c r="F176" s="4">
        <f t="shared" si="49"/>
        <v>2.9150421536792148E-3</v>
      </c>
      <c r="G176">
        <v>-894.3</v>
      </c>
      <c r="H176">
        <v>0</v>
      </c>
      <c r="I176" s="30">
        <v>-894.3</v>
      </c>
      <c r="J176">
        <v>6922.55</v>
      </c>
      <c r="K176" s="30">
        <f>180.37-15</f>
        <v>165.37</v>
      </c>
      <c r="L176" s="18">
        <f t="shared" ref="L176:L181" si="102">G176+J176+K176</f>
        <v>6193.62</v>
      </c>
      <c r="M176" s="37">
        <f t="shared" si="93"/>
        <v>6193.6299999998882</v>
      </c>
      <c r="N176" s="17" t="s">
        <v>4193</v>
      </c>
      <c r="O176" s="41">
        <f ca="1">SUMIFS(Stock!$O:$O,Stock!$A:$A,'Asset Line A share'!$A176,Stock!$I:$I,O$2)</f>
        <v>0</v>
      </c>
      <c r="P176" s="41">
        <f ca="1">SUMIFS(Stock!$O:$O,Stock!$A:$A,'Asset Line A share'!$A176,Stock!$I:$I,P$2)</f>
        <v>100276</v>
      </c>
      <c r="Q176" s="40" t="str">
        <f t="shared" ca="1" si="89"/>
        <v/>
      </c>
      <c r="R176" s="40">
        <f t="shared" ca="1" si="90"/>
        <v>-8.9183852566915318E-3</v>
      </c>
      <c r="S176" s="41">
        <f t="shared" ca="1" si="62"/>
        <v>574933.20000000007</v>
      </c>
      <c r="T176" s="30">
        <v>2181069</v>
      </c>
      <c r="U176" s="20">
        <f t="shared" si="76"/>
        <v>3979270.8893220341</v>
      </c>
      <c r="W176" s="4">
        <f t="shared" ref="W176" si="103">(U176-V176)/(U175)-1</f>
        <v>1.7762114350119429E-3</v>
      </c>
      <c r="X176" s="20">
        <f t="shared" ref="X176" si="104">(U176-V176)-(U175)</f>
        <v>7055.4944067792967</v>
      </c>
      <c r="Y176" s="17" t="s">
        <v>4192</v>
      </c>
      <c r="Z176" s="30">
        <f t="shared" si="88"/>
        <v>1.1645487334561597</v>
      </c>
      <c r="AA176" s="18">
        <f t="shared" si="81"/>
        <v>4.3444066305553068</v>
      </c>
    </row>
    <row r="177" spans="1:27" ht="81" x14ac:dyDescent="0.15">
      <c r="A177" s="1">
        <v>42937</v>
      </c>
      <c r="B177">
        <f t="shared" si="34"/>
        <v>5</v>
      </c>
      <c r="C177" s="30">
        <v>0</v>
      </c>
      <c r="D177" s="20">
        <v>2127005.4</v>
      </c>
      <c r="E177" s="20">
        <v>2127005.4</v>
      </c>
      <c r="F177" s="4">
        <f t="shared" si="49"/>
        <v>-1.8311120080478638E-3</v>
      </c>
      <c r="G177">
        <v>-2544.5700000000002</v>
      </c>
      <c r="H177" s="30">
        <v>-2544.5700000000002</v>
      </c>
      <c r="I177">
        <v>0</v>
      </c>
      <c r="J177">
        <v>-1847.15</v>
      </c>
      <c r="K177" s="30">
        <f>509.38-13-6.6</f>
        <v>489.78</v>
      </c>
      <c r="L177" s="18">
        <f t="shared" si="102"/>
        <v>-3901.9400000000005</v>
      </c>
      <c r="M177" s="37">
        <f t="shared" si="93"/>
        <v>-3901.9300000001676</v>
      </c>
      <c r="N177" s="17" t="s">
        <v>4201</v>
      </c>
      <c r="O177" s="41">
        <f ca="1">SUMIFS(Stock!$O:$O,Stock!$A:$A,'Asset Line A share'!$A177,Stock!$I:$I,O$2)</f>
        <v>111636</v>
      </c>
      <c r="P177" s="41">
        <f ca="1">SUMIFS(Stock!$O:$O,Stock!$A:$A,'Asset Line A share'!$A177,Stock!$I:$I,P$2)</f>
        <v>0</v>
      </c>
      <c r="Q177" s="40">
        <f t="shared" ca="1" si="89"/>
        <v>-2.2793453724604968E-2</v>
      </c>
      <c r="R177" s="40" t="str">
        <f t="shared" ca="1" si="90"/>
        <v/>
      </c>
      <c r="S177" s="41">
        <f t="shared" ca="1" si="62"/>
        <v>686569.20000000007</v>
      </c>
      <c r="T177">
        <v>2178861</v>
      </c>
      <c r="U177" s="20">
        <f t="shared" si="76"/>
        <v>3973497.7728813561</v>
      </c>
      <c r="V177" s="20"/>
      <c r="W177" s="4">
        <f t="shared" ref="W177:W178" si="105">(U177-V177)/(U176)-1</f>
        <v>-1.4507975458944999E-3</v>
      </c>
      <c r="X177" s="20">
        <f t="shared" ref="X177:X178" si="106">(U177-V177)-(U176)</f>
        <v>-5773.1164406780154</v>
      </c>
      <c r="Y177" s="17" t="s">
        <v>4198</v>
      </c>
      <c r="Z177" s="30">
        <f t="shared" si="88"/>
        <v>1.162859209011587</v>
      </c>
      <c r="AA177" s="18">
        <f t="shared" si="81"/>
        <v>3.3640729470437662</v>
      </c>
    </row>
    <row r="178" spans="1:27" ht="27" x14ac:dyDescent="0.15">
      <c r="A178" s="1">
        <v>42940</v>
      </c>
      <c r="B178">
        <f t="shared" si="34"/>
        <v>1</v>
      </c>
      <c r="C178" s="30">
        <v>0</v>
      </c>
      <c r="D178" s="20">
        <v>2129195.35</v>
      </c>
      <c r="E178" s="20">
        <v>2129195.35</v>
      </c>
      <c r="F178" s="4">
        <f t="shared" si="49"/>
        <v>1.0295930607417958E-3</v>
      </c>
      <c r="G178">
        <v>-972.84</v>
      </c>
      <c r="H178" s="30">
        <v>-972.84</v>
      </c>
      <c r="I178">
        <v>0</v>
      </c>
      <c r="J178">
        <v>3028.05</v>
      </c>
      <c r="K178" s="30">
        <f>145.73-11</f>
        <v>134.72999999999999</v>
      </c>
      <c r="L178" s="18">
        <f t="shared" si="102"/>
        <v>2189.94</v>
      </c>
      <c r="M178" s="37">
        <f t="shared" si="93"/>
        <v>2189.9500000001863</v>
      </c>
      <c r="N178" s="17" t="s">
        <v>4214</v>
      </c>
      <c r="O178" s="41">
        <f ca="1">SUMIFS(Stock!$O:$O,Stock!$A:$A,'Asset Line A share'!$A178,Stock!$I:$I,O$2)</f>
        <v>288875.59999999998</v>
      </c>
      <c r="P178" s="41">
        <f ca="1">SUMIFS(Stock!$O:$O,Stock!$A:$A,'Asset Line A share'!$A178,Stock!$I:$I,P$2)</f>
        <v>0</v>
      </c>
      <c r="Q178" s="40">
        <f t="shared" ca="1" si="89"/>
        <v>-3.3676779901106223E-3</v>
      </c>
      <c r="R178" s="40" t="str">
        <f t="shared" ca="1" si="90"/>
        <v/>
      </c>
      <c r="S178" s="41">
        <f t="shared" ref="S178:S185" ca="1" si="107">+S179+P179-O179</f>
        <v>975444.8</v>
      </c>
      <c r="T178">
        <v>2180896</v>
      </c>
      <c r="U178" s="20">
        <f t="shared" si="76"/>
        <v>3977412.2991525428</v>
      </c>
      <c r="V178" s="20"/>
      <c r="W178" s="4">
        <f t="shared" si="105"/>
        <v>9.8515879331873002E-4</v>
      </c>
      <c r="X178" s="20">
        <f t="shared" si="106"/>
        <v>3914.526271186769</v>
      </c>
      <c r="Y178" s="17" t="s">
        <v>4215</v>
      </c>
      <c r="Z178" s="30">
        <f t="shared" si="88"/>
        <v>1.1640048099867364</v>
      </c>
      <c r="AA178" s="18">
        <f t="shared" si="81"/>
        <v>2.6982426233576886</v>
      </c>
    </row>
    <row r="179" spans="1:27" ht="67.5" x14ac:dyDescent="0.15">
      <c r="A179" s="1">
        <v>42941</v>
      </c>
      <c r="B179">
        <f t="shared" si="34"/>
        <v>2</v>
      </c>
      <c r="C179" s="30">
        <v>0</v>
      </c>
      <c r="D179" s="20">
        <v>2121443.35</v>
      </c>
      <c r="E179" s="20">
        <v>2121443.35</v>
      </c>
      <c r="F179" s="4">
        <f t="shared" si="49"/>
        <v>-3.6408120091000473E-3</v>
      </c>
      <c r="G179">
        <v>-1116.42</v>
      </c>
      <c r="H179" s="30">
        <v>-1116.42</v>
      </c>
      <c r="I179">
        <v>0</v>
      </c>
      <c r="J179">
        <v>-6775.05</v>
      </c>
      <c r="K179" s="30">
        <f>144.05-7</f>
        <v>137.05000000000001</v>
      </c>
      <c r="L179" s="18">
        <f t="shared" si="102"/>
        <v>-7754.42</v>
      </c>
      <c r="M179" s="37">
        <f t="shared" si="93"/>
        <v>-7752</v>
      </c>
      <c r="N179" s="17" t="s">
        <v>4227</v>
      </c>
      <c r="O179" s="41">
        <f ca="1">SUMIFS(Stock!$O:$O,Stock!$A:$A,'Asset Line A share'!$A179,Stock!$I:$I,O$2)</f>
        <v>394587.8</v>
      </c>
      <c r="P179" s="41">
        <f ca="1">SUMIFS(Stock!$O:$O,Stock!$A:$A,'Asset Line A share'!$A179,Stock!$I:$I,P$2)</f>
        <v>0</v>
      </c>
      <c r="Q179" s="40">
        <f t="shared" ca="1" si="89"/>
        <v>-2.829332280420226E-3</v>
      </c>
      <c r="R179" s="40" t="str">
        <f t="shared" ca="1" si="90"/>
        <v/>
      </c>
      <c r="S179" s="41">
        <f t="shared" ca="1" si="107"/>
        <v>1370032.6</v>
      </c>
      <c r="T179" s="30">
        <v>2180200</v>
      </c>
      <c r="U179" s="20">
        <f t="shared" si="76"/>
        <v>3969070.4686440676</v>
      </c>
      <c r="V179" s="20"/>
      <c r="W179" s="4">
        <f t="shared" ref="W179" si="108">(U179-V179)/(U178)-1</f>
        <v>-2.0973009286093802E-3</v>
      </c>
      <c r="X179" s="20">
        <f t="shared" ref="X179" si="109">(U179-V179)-(U178)</f>
        <v>-8341.8305084751919</v>
      </c>
      <c r="Y179" s="17" t="s">
        <v>4228</v>
      </c>
      <c r="Z179" s="30">
        <f>Z178*(1+W179)</f>
        <v>1.1615635416178454</v>
      </c>
      <c r="AA179" s="18">
        <f t="shared" si="81"/>
        <v>2.2228387286317717</v>
      </c>
    </row>
    <row r="180" spans="1:27" ht="40.5" x14ac:dyDescent="0.15">
      <c r="A180" s="1">
        <v>42942</v>
      </c>
      <c r="B180">
        <f t="shared" si="34"/>
        <v>3</v>
      </c>
      <c r="C180" s="30">
        <v>0</v>
      </c>
      <c r="D180" s="20">
        <v>2115220.56</v>
      </c>
      <c r="E180" s="20">
        <v>2115220.56</v>
      </c>
      <c r="F180" s="4">
        <f t="shared" si="49"/>
        <v>-2.9332812492965932E-3</v>
      </c>
      <c r="G180">
        <v>3163.78</v>
      </c>
      <c r="H180" s="30">
        <v>3163.78</v>
      </c>
      <c r="I180" s="30">
        <v>0</v>
      </c>
      <c r="J180">
        <v>-9479.4</v>
      </c>
      <c r="K180" s="30">
        <v>92.82</v>
      </c>
      <c r="L180" s="18">
        <f t="shared" si="102"/>
        <v>-6222.7999999999993</v>
      </c>
      <c r="M180" s="37">
        <f t="shared" si="93"/>
        <v>-6222.7900000000373</v>
      </c>
      <c r="N180" s="17" t="s">
        <v>4234</v>
      </c>
      <c r="O180" s="41">
        <f ca="1">SUMIFS(Stock!$O:$O,Stock!$A:$A,'Asset Line A share'!$A180,Stock!$I:$I,O$2)</f>
        <v>706100</v>
      </c>
      <c r="P180" s="41">
        <f ca="1">SUMIFS(Stock!$O:$O,Stock!$A:$A,'Asset Line A share'!$A180,Stock!$I:$I,P$2)</f>
        <v>0</v>
      </c>
      <c r="Q180" s="40">
        <f t="shared" ca="1" si="89"/>
        <v>4.48064013595808E-3</v>
      </c>
      <c r="R180" s="40" t="str">
        <f t="shared" ca="1" si="90"/>
        <v/>
      </c>
      <c r="S180" s="41">
        <f t="shared" ca="1" si="107"/>
        <v>2076132.6</v>
      </c>
      <c r="T180">
        <v>2185992</v>
      </c>
      <c r="U180" s="20">
        <f t="shared" si="76"/>
        <v>3967756.1532203392</v>
      </c>
      <c r="V180" s="20"/>
      <c r="W180" s="4">
        <f t="shared" ref="W180" si="110">(U180-V180)/(U179)-1</f>
        <v>-3.3113935217621293E-4</v>
      </c>
      <c r="X180" s="20">
        <f t="shared" ref="X180" si="111">(U180-V180)-(U179)</f>
        <v>-1314.3154237284325</v>
      </c>
      <c r="Y180" s="17" t="s">
        <v>4235</v>
      </c>
      <c r="Z180" s="30">
        <f>Z179*(1+W180)</f>
        <v>1.1611789022191625</v>
      </c>
      <c r="AA180" s="18">
        <f t="shared" si="81"/>
        <v>3.3475023724245463</v>
      </c>
    </row>
    <row r="181" spans="1:27" ht="108" x14ac:dyDescent="0.15">
      <c r="A181" s="1">
        <v>42943</v>
      </c>
      <c r="B181">
        <f t="shared" si="34"/>
        <v>4</v>
      </c>
      <c r="C181" s="30">
        <v>0</v>
      </c>
      <c r="D181" s="20">
        <v>2118035.48</v>
      </c>
      <c r="E181" s="20">
        <v>2118035.48</v>
      </c>
      <c r="F181" s="4">
        <f t="shared" si="49"/>
        <v>1.3307926621135557E-3</v>
      </c>
      <c r="G181">
        <v>147.114</v>
      </c>
      <c r="H181">
        <v>-166.8</v>
      </c>
      <c r="I181">
        <v>300.65600000000001</v>
      </c>
      <c r="J181">
        <v>2672.8</v>
      </c>
      <c r="K181" s="30">
        <f>-5</f>
        <v>-5</v>
      </c>
      <c r="L181" s="18">
        <f t="shared" si="102"/>
        <v>2814.9140000000002</v>
      </c>
      <c r="M181" s="37">
        <f t="shared" si="93"/>
        <v>2814.9199999999255</v>
      </c>
      <c r="N181" s="17" t="s">
        <v>4242</v>
      </c>
      <c r="O181" s="41">
        <f ca="1">SUMIFS(Stock!$O:$O,Stock!$A:$A,'Asset Line A share'!$A181,Stock!$I:$I,O$2)</f>
        <v>54614</v>
      </c>
      <c r="P181" s="41">
        <f ca="1">SUMIFS(Stock!$O:$O,Stock!$A:$A,'Asset Line A share'!$A181,Stock!$I:$I,P$2)</f>
        <v>663005</v>
      </c>
      <c r="Q181" s="40">
        <f t="shared" ref="Q181:Q187" ca="1" si="112">IF(O181&lt;&gt;0,+H181/O181,"")</f>
        <v>-3.0541619364997988E-3</v>
      </c>
      <c r="S181" s="41">
        <f t="shared" ca="1" si="107"/>
        <v>1467741.6</v>
      </c>
      <c r="T181">
        <v>2189773</v>
      </c>
      <c r="U181" s="20">
        <f t="shared" si="76"/>
        <v>3973775.3105084747</v>
      </c>
      <c r="V181" s="20"/>
      <c r="W181" s="4">
        <f t="shared" ref="W181" si="113">(U181-V181)/(U180)-1</f>
        <v>1.5170179455836763E-3</v>
      </c>
      <c r="X181" s="20">
        <f t="shared" ref="X181" si="114">(U181-V181)-(U180)</f>
        <v>6019.157288135495</v>
      </c>
      <c r="Y181" s="17" t="s">
        <v>4241</v>
      </c>
      <c r="Z181" s="30">
        <f t="shared" si="88"/>
        <v>1.1629404314518621</v>
      </c>
      <c r="AA181" s="18">
        <f t="shared" si="81"/>
        <v>2.8827564936282424</v>
      </c>
    </row>
    <row r="182" spans="1:27" ht="40.5" x14ac:dyDescent="0.15">
      <c r="A182" s="1">
        <v>42944</v>
      </c>
      <c r="B182">
        <f t="shared" si="34"/>
        <v>5</v>
      </c>
      <c r="C182" s="30">
        <v>0</v>
      </c>
      <c r="D182" s="20">
        <v>2128347.06</v>
      </c>
      <c r="E182" s="20">
        <v>2128347.06</v>
      </c>
      <c r="F182" s="4">
        <f t="shared" si="49"/>
        <v>4.8684642431013891E-3</v>
      </c>
      <c r="G182">
        <v>34.14</v>
      </c>
      <c r="H182">
        <v>6.64</v>
      </c>
      <c r="I182">
        <v>27.5</v>
      </c>
      <c r="J182">
        <v>10116.950000000001</v>
      </c>
      <c r="K182" s="30">
        <f>56.16*3-8</f>
        <v>160.47999999999999</v>
      </c>
      <c r="L182" s="18">
        <f t="shared" ref="L182:L187" si="115">G182+J182+K182</f>
        <v>10311.57</v>
      </c>
      <c r="M182" s="37">
        <f t="shared" si="93"/>
        <v>10311.580000000075</v>
      </c>
      <c r="N182" s="17" t="s">
        <v>4245</v>
      </c>
      <c r="O182" s="41">
        <f ca="1">SUMIFS(Stock!$O:$O,Stock!$A:$A,'Asset Line A share'!$A182,Stock!$I:$I,O$2)</f>
        <v>18204</v>
      </c>
      <c r="P182" s="41">
        <f ca="1">SUMIFS(Stock!$O:$O,Stock!$A:$A,'Asset Line A share'!$A182,Stock!$I:$I,P$2)</f>
        <v>290580</v>
      </c>
      <c r="Q182" s="40">
        <f t="shared" ca="1" si="112"/>
        <v>3.6475499890134034E-4</v>
      </c>
      <c r="R182" s="30"/>
      <c r="S182" s="41">
        <f t="shared" ca="1" si="107"/>
        <v>1195365.6000000001</v>
      </c>
      <c r="T182" s="30">
        <v>2190524</v>
      </c>
      <c r="U182" s="20">
        <f t="shared" si="76"/>
        <v>3984723.3311864408</v>
      </c>
      <c r="V182" s="20"/>
      <c r="W182" s="4">
        <f t="shared" ref="W182" si="116">(U182-V182)/(U181)-1</f>
        <v>2.7550678693419872E-3</v>
      </c>
      <c r="X182" s="20">
        <f t="shared" ref="X182" si="117">(U182-V182)-(U181)</f>
        <v>10948.020677966066</v>
      </c>
      <c r="Y182" s="17" t="s">
        <v>4246</v>
      </c>
      <c r="Z182" s="30">
        <f t="shared" si="88"/>
        <v>1.1661444112685138</v>
      </c>
      <c r="AA182" s="18">
        <f t="shared" si="81"/>
        <v>3.204567538901129</v>
      </c>
    </row>
    <row r="183" spans="1:27" ht="27" x14ac:dyDescent="0.15">
      <c r="A183" s="1">
        <v>42947</v>
      </c>
      <c r="B183">
        <f t="shared" si="34"/>
        <v>1</v>
      </c>
      <c r="C183" s="30">
        <v>0</v>
      </c>
      <c r="D183" s="20">
        <v>2127238.87</v>
      </c>
      <c r="E183" s="20">
        <v>2127238.87</v>
      </c>
      <c r="F183" s="4">
        <f t="shared" si="49"/>
        <v>-5.2068105847358215E-4</v>
      </c>
      <c r="G183">
        <v>251.39</v>
      </c>
      <c r="H183">
        <v>251.39</v>
      </c>
      <c r="I183">
        <v>0</v>
      </c>
      <c r="J183">
        <v>-1467.95</v>
      </c>
      <c r="K183" s="30">
        <f>115.37-7</f>
        <v>108.37</v>
      </c>
      <c r="L183" s="18">
        <f t="shared" si="115"/>
        <v>-1108.19</v>
      </c>
      <c r="M183" s="37">
        <f t="shared" si="93"/>
        <v>-1108.1899999999441</v>
      </c>
      <c r="N183" s="17" t="s">
        <v>4250</v>
      </c>
      <c r="O183" s="41">
        <f ca="1">SUMIFS(Stock!$O:$O,Stock!$A:$A,'Asset Line A share'!$A183,Stock!$I:$I,O$2)</f>
        <v>116442</v>
      </c>
      <c r="P183" s="41">
        <f ca="1">SUMIFS(Stock!$O:$O,Stock!$A:$A,'Asset Line A share'!$A183,Stock!$I:$I,P$2)</f>
        <v>0</v>
      </c>
      <c r="Q183" s="40">
        <f t="shared" ca="1" si="112"/>
        <v>2.1589289088129711E-3</v>
      </c>
      <c r="R183" s="30"/>
      <c r="S183" s="41">
        <f t="shared" ca="1" si="107"/>
        <v>1311807.6000000001</v>
      </c>
      <c r="T183" s="30">
        <v>2191174</v>
      </c>
      <c r="U183" s="20">
        <f t="shared" si="76"/>
        <v>3984165.9886440681</v>
      </c>
      <c r="V183" s="20"/>
      <c r="W183" s="4">
        <f t="shared" ref="W183" si="118">(U183-V183)/(U182)-1</f>
        <v>-1.3986982182945251E-4</v>
      </c>
      <c r="X183" s="20">
        <f t="shared" ref="X183" si="119">(U183-V183)-(U182)</f>
        <v>-557.34254237264395</v>
      </c>
      <c r="Y183" s="17" t="s">
        <v>4251</v>
      </c>
      <c r="Z183" s="30">
        <f t="shared" si="88"/>
        <v>1.1659813028574821</v>
      </c>
      <c r="AA183" s="18">
        <f t="shared" si="81"/>
        <v>5.3390474878372967</v>
      </c>
    </row>
    <row r="184" spans="1:27" ht="54" x14ac:dyDescent="0.15">
      <c r="A184" s="1">
        <v>42948</v>
      </c>
      <c r="B184">
        <f t="shared" si="34"/>
        <v>2</v>
      </c>
      <c r="C184" s="30">
        <v>0</v>
      </c>
      <c r="D184" s="20">
        <v>2144214.79</v>
      </c>
      <c r="E184" s="20">
        <v>2144214.79</v>
      </c>
      <c r="F184" s="4">
        <f t="shared" si="49"/>
        <v>7.9802603456564647E-3</v>
      </c>
      <c r="G184">
        <v>2550.2199999999998</v>
      </c>
      <c r="H184">
        <v>2550.2199999999998</v>
      </c>
      <c r="I184">
        <v>0</v>
      </c>
      <c r="J184">
        <v>14305.6</v>
      </c>
      <c r="K184" s="30">
        <f>119.0959+1</f>
        <v>120.0959</v>
      </c>
      <c r="L184" s="18">
        <f t="shared" si="115"/>
        <v>16975.9159</v>
      </c>
      <c r="M184" s="37">
        <f t="shared" si="93"/>
        <v>16975.919999999925</v>
      </c>
      <c r="N184" s="17" t="s">
        <v>4267</v>
      </c>
      <c r="O184" s="41">
        <f ca="1">SUMIFS(Stock!$O:$O,Stock!$A:$A,'Asset Line A share'!$A184,Stock!$I:$I,O$2)</f>
        <v>604902</v>
      </c>
      <c r="P184" s="41">
        <f ca="1">SUMIFS(Stock!$O:$O,Stock!$A:$A,'Asset Line A share'!$A184,Stock!$I:$I,P$2)</f>
        <v>0</v>
      </c>
      <c r="Q184" s="40">
        <f t="shared" ca="1" si="112"/>
        <v>4.2159225791946458E-3</v>
      </c>
      <c r="R184" s="30"/>
      <c r="S184" s="41">
        <f t="shared" ca="1" si="107"/>
        <v>1916709.6</v>
      </c>
      <c r="T184" s="30">
        <v>2198432</v>
      </c>
      <c r="U184" s="20">
        <f t="shared" si="76"/>
        <v>4007292.7561016949</v>
      </c>
      <c r="V184" s="20"/>
      <c r="W184" s="4">
        <f t="shared" ref="W184:W192" si="120">(U184-V184)/(U183)-1</f>
        <v>5.8046696657578778E-3</v>
      </c>
      <c r="X184" s="20">
        <f t="shared" ref="X184:X190" si="121">(U184-V184)-(U183)</f>
        <v>23126.76745762676</v>
      </c>
      <c r="Y184" s="17" t="s">
        <v>4266</v>
      </c>
      <c r="Z184" s="30">
        <f t="shared" si="88"/>
        <v>1.1727494391570199</v>
      </c>
      <c r="AA184" s="18">
        <f t="shared" si="81"/>
        <v>6.6142925538833959</v>
      </c>
    </row>
    <row r="185" spans="1:27" ht="40.5" x14ac:dyDescent="0.15">
      <c r="A185" s="1">
        <v>42949</v>
      </c>
      <c r="B185">
        <f t="shared" si="34"/>
        <v>3</v>
      </c>
      <c r="C185" s="30">
        <v>84071.12</v>
      </c>
      <c r="D185" s="20">
        <v>2219394.06</v>
      </c>
      <c r="E185" s="20">
        <f t="shared" ref="E185:E241" si="122">-C185+D185</f>
        <v>2135322.94</v>
      </c>
      <c r="F185" s="4">
        <f t="shared" si="49"/>
        <v>-4.1469026524157959E-3</v>
      </c>
      <c r="G185">
        <v>210.03</v>
      </c>
      <c r="H185" s="30">
        <v>210.03</v>
      </c>
      <c r="I185">
        <v>0</v>
      </c>
      <c r="J185">
        <v>-9097.4500000000007</v>
      </c>
      <c r="K185" s="30">
        <v>0</v>
      </c>
      <c r="L185" s="18">
        <f t="shared" si="115"/>
        <v>-8887.42</v>
      </c>
      <c r="M185" s="37">
        <f t="shared" si="93"/>
        <v>-8891.8500000000931</v>
      </c>
      <c r="N185" s="17" t="s">
        <v>4273</v>
      </c>
      <c r="O185" s="41">
        <f ca="1">SUMIFS(Stock!$O:$O,Stock!$A:$A,'Asset Line A share'!$A185,Stock!$I:$I,O$2)</f>
        <v>128325</v>
      </c>
      <c r="P185" s="41">
        <f ca="1">SUMIFS(Stock!$O:$O,Stock!$A:$A,'Asset Line A share'!$A185,Stock!$I:$I,P$2)</f>
        <v>0</v>
      </c>
      <c r="Q185" s="40">
        <f t="shared" ca="1" si="112"/>
        <v>1.6367036820572765E-3</v>
      </c>
      <c r="S185" s="41">
        <f t="shared" ca="1" si="107"/>
        <v>2045034.6</v>
      </c>
      <c r="T185">
        <v>2200726</v>
      </c>
      <c r="U185" s="20">
        <f t="shared" si="76"/>
        <v>4000344.9738983051</v>
      </c>
      <c r="V185" s="20"/>
      <c r="W185" s="4">
        <f t="shared" si="120"/>
        <v>-1.7337845339128188E-3</v>
      </c>
      <c r="X185" s="20">
        <f t="shared" si="121"/>
        <v>-6947.7822033897974</v>
      </c>
      <c r="Y185" s="17" t="s">
        <v>4274</v>
      </c>
      <c r="Z185" s="30">
        <f t="shared" si="88"/>
        <v>1.1707161443172545</v>
      </c>
      <c r="AA185" s="18">
        <f t="shared" si="81"/>
        <v>5.1292683154366667</v>
      </c>
    </row>
    <row r="186" spans="1:27" ht="40.5" x14ac:dyDescent="0.15">
      <c r="A186" s="1">
        <v>42950</v>
      </c>
      <c r="B186">
        <f t="shared" si="34"/>
        <v>4</v>
      </c>
      <c r="C186" s="30">
        <v>645637.79</v>
      </c>
      <c r="D186" s="20">
        <v>2740484.05</v>
      </c>
      <c r="E186" s="20">
        <f t="shared" si="122"/>
        <v>2094846.2599999998</v>
      </c>
      <c r="F186" s="4">
        <f t="shared" si="49"/>
        <v>-1.8955765070364561E-2</v>
      </c>
      <c r="G186">
        <v>-5353.22</v>
      </c>
      <c r="H186" s="30">
        <v>-5353.22</v>
      </c>
      <c r="I186">
        <v>0</v>
      </c>
      <c r="J186">
        <v>-35106.550000000003</v>
      </c>
      <c r="K186" s="30">
        <v>-15.88</v>
      </c>
      <c r="L186" s="18">
        <f t="shared" si="115"/>
        <v>-40475.65</v>
      </c>
      <c r="M186" s="37">
        <f t="shared" si="93"/>
        <v>-40476.680000000168</v>
      </c>
      <c r="N186" s="17" t="s">
        <v>4320</v>
      </c>
      <c r="O186" s="41">
        <f ca="1">SUMIFS(Stock!$O:$O,Stock!$A:$A,'Asset Line A share'!$A186,Stock!$I:$I,O$2)</f>
        <v>677400</v>
      </c>
      <c r="P186" s="41">
        <f ca="1">SUMIFS(Stock!$O:$O,Stock!$A:$A,'Asset Line A share'!$A186,Stock!$I:$I,P$2)</f>
        <v>0</v>
      </c>
      <c r="Q186" s="40">
        <f t="shared" ca="1" si="112"/>
        <v>-7.9025981694715083E-3</v>
      </c>
      <c r="R186" s="30"/>
      <c r="S186" s="41">
        <f ca="1">+S187+P187-O187</f>
        <v>2722434.6</v>
      </c>
      <c r="T186" s="30">
        <v>2165217</v>
      </c>
      <c r="U186" s="20">
        <f t="shared" si="76"/>
        <v>3929775.9210169492</v>
      </c>
      <c r="W186" s="4">
        <f t="shared" si="120"/>
        <v>-1.7640741821470129E-2</v>
      </c>
      <c r="X186" s="20">
        <f t="shared" si="121"/>
        <v>-70569.052881355863</v>
      </c>
      <c r="Y186" s="17" t="s">
        <v>4284</v>
      </c>
      <c r="Z186" s="30">
        <f t="shared" si="88"/>
        <v>1.1500638430691268</v>
      </c>
      <c r="AA186" s="18">
        <f t="shared" si="81"/>
        <v>-0.32625686463724618</v>
      </c>
    </row>
    <row r="187" spans="1:27" ht="54" x14ac:dyDescent="0.15">
      <c r="A187" s="1">
        <v>42951</v>
      </c>
      <c r="B187">
        <f t="shared" si="34"/>
        <v>5</v>
      </c>
      <c r="C187" s="30">
        <v>0</v>
      </c>
      <c r="D187" s="20">
        <v>2073703.7</v>
      </c>
      <c r="E187" s="20">
        <f t="shared" si="122"/>
        <v>2073703.7</v>
      </c>
      <c r="F187" s="4">
        <f t="shared" si="49"/>
        <v>-1.0092654723024785E-2</v>
      </c>
      <c r="G187">
        <v>-102.05</v>
      </c>
      <c r="H187">
        <v>0</v>
      </c>
      <c r="I187">
        <v>-102.05</v>
      </c>
      <c r="J187">
        <v>-20901.95</v>
      </c>
      <c r="K187" s="30">
        <v>-121.94</v>
      </c>
      <c r="L187" s="18">
        <f t="shared" si="115"/>
        <v>-21125.94</v>
      </c>
      <c r="M187" s="37">
        <f t="shared" si="93"/>
        <v>-21142.559999999823</v>
      </c>
      <c r="N187" s="17" t="s">
        <v>4297</v>
      </c>
      <c r="O187" s="41">
        <f ca="1">SUMIFS(Stock!$O:$O,Stock!$A:$A,'Asset Line A share'!$A187,Stock!$I:$I,O$2)</f>
        <v>0</v>
      </c>
      <c r="P187" s="41">
        <f ca="1">SUMIFS(Stock!$O:$O,Stock!$A:$A,'Asset Line A share'!$A187,Stock!$I:$I,P$2)</f>
        <v>2180119.6</v>
      </c>
      <c r="Q187" s="40" t="str">
        <f t="shared" ca="1" si="112"/>
        <v/>
      </c>
      <c r="S187" s="41">
        <v>542315</v>
      </c>
      <c r="T187">
        <v>2152990</v>
      </c>
      <c r="U187" s="20">
        <f t="shared" si="76"/>
        <v>3898271.4966101693</v>
      </c>
      <c r="W187" s="4">
        <f t="shared" si="120"/>
        <v>-8.0168500799983056E-3</v>
      </c>
      <c r="X187" s="20">
        <f t="shared" si="121"/>
        <v>-31504.42440677993</v>
      </c>
      <c r="Y187" s="17" t="s">
        <v>4296</v>
      </c>
      <c r="Z187" s="30">
        <f t="shared" si="88"/>
        <v>1.1408439536568149</v>
      </c>
      <c r="AA187" s="18">
        <f t="shared" si="81"/>
        <v>-0.84928856949257359</v>
      </c>
    </row>
    <row r="188" spans="1:27" ht="108" x14ac:dyDescent="0.15">
      <c r="A188" s="1">
        <v>42954</v>
      </c>
      <c r="B188">
        <f t="shared" si="34"/>
        <v>1</v>
      </c>
      <c r="C188" s="30">
        <v>0</v>
      </c>
      <c r="D188" s="20">
        <v>2074102.07</v>
      </c>
      <c r="E188" s="20">
        <f t="shared" si="122"/>
        <v>2074102.07</v>
      </c>
      <c r="F188" s="4">
        <f t="shared" si="49"/>
        <v>1.9210555490656311E-4</v>
      </c>
      <c r="G188">
        <v>-642.41</v>
      </c>
      <c r="H188" s="30">
        <v>-642.41</v>
      </c>
      <c r="I188">
        <v>0</v>
      </c>
      <c r="J188">
        <v>1217.8</v>
      </c>
      <c r="K188" s="30">
        <v>-177</v>
      </c>
      <c r="L188" s="18">
        <f t="shared" ref="L188:L195" si="123">G188+J188+K188</f>
        <v>398.39</v>
      </c>
      <c r="M188" s="37">
        <f t="shared" ref="M188:M195" si="124">+E188-E187</f>
        <v>398.37000000011176</v>
      </c>
      <c r="N188" s="17" t="s">
        <v>4323</v>
      </c>
      <c r="O188" s="41">
        <f ca="1">SUMIFS(Stock!$O:$O,Stock!$A:$A,'Asset Line A share'!$A188,Stock!$I:$I,O$2)</f>
        <v>970685</v>
      </c>
      <c r="P188" s="41">
        <f ca="1">SUMIFS(Stock!$O:$O,Stock!$A:$A,'Asset Line A share'!$A188,Stock!$I:$I,P$2)</f>
        <v>0</v>
      </c>
      <c r="Q188" s="40">
        <f t="shared" ref="Q188" ca="1" si="125">IF(O188&lt;&gt;0,+H188/O188,"")</f>
        <v>-6.6181098914683961E-4</v>
      </c>
      <c r="R188" s="30"/>
      <c r="S188" s="41">
        <f t="shared" ref="S188:S193" ca="1" si="126">+S187+O188-P188</f>
        <v>1513000</v>
      </c>
      <c r="T188" s="30">
        <v>2155132</v>
      </c>
      <c r="U188" s="20">
        <f t="shared" si="76"/>
        <v>3900485.120847458</v>
      </c>
      <c r="W188" s="4">
        <f t="shared" si="120"/>
        <v>5.6784763175521391E-4</v>
      </c>
      <c r="X188" s="20">
        <f t="shared" si="121"/>
        <v>2213.6242372887209</v>
      </c>
      <c r="Y188" s="17" t="s">
        <v>4318</v>
      </c>
      <c r="Z188" s="30">
        <f t="shared" si="88"/>
        <v>1.1414917791941013</v>
      </c>
      <c r="AA188" s="18">
        <f t="shared" si="81"/>
        <v>-0.72893932131767603</v>
      </c>
    </row>
    <row r="189" spans="1:27" x14ac:dyDescent="0.15">
      <c r="A189" s="1">
        <v>42955</v>
      </c>
      <c r="B189">
        <f t="shared" si="34"/>
        <v>2</v>
      </c>
      <c r="C189" s="30">
        <v>0</v>
      </c>
      <c r="D189" s="20">
        <v>2074459.45</v>
      </c>
      <c r="E189" s="20">
        <f t="shared" si="122"/>
        <v>2074459.45</v>
      </c>
      <c r="F189" s="4">
        <f t="shared" si="49"/>
        <v>1.7230588849459494E-4</v>
      </c>
      <c r="G189">
        <v>569.73</v>
      </c>
      <c r="H189" s="30">
        <v>569.73</v>
      </c>
      <c r="I189">
        <v>0</v>
      </c>
      <c r="J189">
        <v>-212.35</v>
      </c>
      <c r="K189" s="30">
        <v>0</v>
      </c>
      <c r="L189" s="18">
        <f t="shared" si="123"/>
        <v>357.38</v>
      </c>
      <c r="M189" s="37">
        <f t="shared" si="124"/>
        <v>357.37999999988824</v>
      </c>
      <c r="N189" s="17" t="s">
        <v>4326</v>
      </c>
      <c r="O189" s="41">
        <f ca="1">SUMIFS(Stock!$O:$O,Stock!$A:$A,'Asset Line A share'!$A189,Stock!$I:$I,O$2)</f>
        <v>267550</v>
      </c>
      <c r="P189" s="41">
        <f ca="1">SUMIFS(Stock!$O:$O,Stock!$A:$A,'Asset Line A share'!$A189,Stock!$I:$I,P$2)</f>
        <v>0</v>
      </c>
      <c r="Q189" s="40">
        <f t="shared" ref="Q189" ca="1" si="127">IF(O189&lt;&gt;0,+H189/O189,"")</f>
        <v>2.1294337507008036E-3</v>
      </c>
      <c r="R189" s="30"/>
      <c r="S189" s="41">
        <f t="shared" ca="1" si="126"/>
        <v>1780550</v>
      </c>
      <c r="T189" s="30">
        <v>2155076</v>
      </c>
      <c r="U189" s="20">
        <f t="shared" si="76"/>
        <v>3900795.0432203393</v>
      </c>
      <c r="W189" s="4">
        <f t="shared" si="120"/>
        <v>7.9457391396031696E-5</v>
      </c>
      <c r="X189" s="20">
        <f t="shared" si="121"/>
        <v>309.9223728813231</v>
      </c>
      <c r="Y189" s="17" t="s">
        <v>4327</v>
      </c>
      <c r="Z189" s="30">
        <f t="shared" si="88"/>
        <v>1.1415824791531761</v>
      </c>
      <c r="AA189" s="18">
        <f t="shared" si="81"/>
        <v>-1.5735883123503405</v>
      </c>
    </row>
    <row r="190" spans="1:27" ht="94.5" x14ac:dyDescent="0.15">
      <c r="A190" s="1">
        <v>42956</v>
      </c>
      <c r="B190">
        <f t="shared" si="34"/>
        <v>3</v>
      </c>
      <c r="C190" s="30">
        <v>0</v>
      </c>
      <c r="D190" s="20">
        <v>2064804.3</v>
      </c>
      <c r="E190" s="20">
        <f t="shared" si="122"/>
        <v>2064804.3</v>
      </c>
      <c r="F190" s="4">
        <f t="shared" si="49"/>
        <v>-4.6542968097061932E-3</v>
      </c>
      <c r="G190">
        <v>0</v>
      </c>
      <c r="H190">
        <v>0</v>
      </c>
      <c r="I190">
        <v>0</v>
      </c>
      <c r="J190">
        <v>-9655.15</v>
      </c>
      <c r="K190" s="30">
        <v>0</v>
      </c>
      <c r="L190" s="18">
        <f t="shared" si="123"/>
        <v>-9655.15</v>
      </c>
      <c r="M190" s="37">
        <f t="shared" si="124"/>
        <v>-9655.1499999999069</v>
      </c>
      <c r="N190" s="17" t="s">
        <v>4328</v>
      </c>
      <c r="O190" s="41">
        <f ca="1">SUMIFS(Stock!$O:$O,Stock!$A:$A,'Asset Line A share'!$A190,Stock!$I:$I,O$2)</f>
        <v>0</v>
      </c>
      <c r="P190" s="41">
        <f ca="1">SUMIFS(Stock!$O:$O,Stock!$A:$A,'Asset Line A share'!$A190,Stock!$I:$I,P$2)</f>
        <v>0</v>
      </c>
      <c r="Q190" s="40" t="str">
        <f t="shared" ref="Q190" ca="1" si="128">IF(O190&lt;&gt;0,+H190/O190,"")</f>
        <v/>
      </c>
      <c r="R190" s="30"/>
      <c r="S190" s="41">
        <f t="shared" ca="1" si="126"/>
        <v>1780550</v>
      </c>
      <c r="T190">
        <v>2138093</v>
      </c>
      <c r="U190" s="20">
        <f t="shared" si="76"/>
        <v>3876747.5203389833</v>
      </c>
      <c r="W190" s="4">
        <f t="shared" si="120"/>
        <v>-6.1647747740940506E-3</v>
      </c>
      <c r="X190" s="20">
        <f t="shared" si="121"/>
        <v>-24047.522881356068</v>
      </c>
      <c r="Y190" s="17" t="s">
        <v>4332</v>
      </c>
      <c r="Z190" s="30">
        <f t="shared" si="88"/>
        <v>1.1345448802831448</v>
      </c>
      <c r="AA190" s="18">
        <f t="shared" si="81"/>
        <v>-2.3712053140549583</v>
      </c>
    </row>
    <row r="191" spans="1:27" ht="135" x14ac:dyDescent="0.15">
      <c r="A191" s="1">
        <v>42957</v>
      </c>
      <c r="B191">
        <f t="shared" si="34"/>
        <v>4</v>
      </c>
      <c r="C191" s="30">
        <v>0</v>
      </c>
      <c r="D191" s="20">
        <v>2061842.57</v>
      </c>
      <c r="E191" s="20">
        <f t="shared" si="122"/>
        <v>2061842.57</v>
      </c>
      <c r="F191" s="4">
        <f t="shared" si="49"/>
        <v>-1.4343877528731896E-3</v>
      </c>
      <c r="G191">
        <v>110.22</v>
      </c>
      <c r="H191" s="30">
        <v>110.22</v>
      </c>
      <c r="I191">
        <v>0</v>
      </c>
      <c r="J191">
        <v>-3071.95</v>
      </c>
      <c r="K191" s="30">
        <v>0</v>
      </c>
      <c r="L191" s="18">
        <f t="shared" si="123"/>
        <v>-2961.73</v>
      </c>
      <c r="M191" s="37">
        <f t="shared" si="124"/>
        <v>-2961.7299999999814</v>
      </c>
      <c r="N191" s="17" t="s">
        <v>4330</v>
      </c>
      <c r="O191" s="41">
        <f ca="1">SUMIFS(Stock!$O:$O,Stock!$A:$A,'Asset Line A share'!$A191,Stock!$I:$I,O$2)</f>
        <v>132600</v>
      </c>
      <c r="P191" s="41">
        <f ca="1">SUMIFS(Stock!$O:$O,Stock!$A:$A,'Asset Line A share'!$A191,Stock!$I:$I,P$2)</f>
        <v>0</v>
      </c>
      <c r="Q191" s="40">
        <f t="shared" ref="Q191" ca="1" si="129">IF(O191&lt;&gt;0,+H191/O191,"")</f>
        <v>8.3122171945701354E-4</v>
      </c>
      <c r="R191" s="30"/>
      <c r="S191" s="41">
        <f t="shared" ca="1" si="126"/>
        <v>1913150</v>
      </c>
      <c r="T191" s="30">
        <v>2138500</v>
      </c>
      <c r="U191" s="20">
        <f t="shared" si="76"/>
        <v>3874130.7055932204</v>
      </c>
      <c r="W191" s="4">
        <f t="shared" si="120"/>
        <v>-6.7500262321285032E-4</v>
      </c>
      <c r="X191" s="20">
        <f t="shared" ref="X191:X192" si="130">(U191-V191)-(U190)</f>
        <v>-2616.8147457628511</v>
      </c>
      <c r="Y191" s="17" t="s">
        <v>4331</v>
      </c>
      <c r="Z191" s="30">
        <f t="shared" si="88"/>
        <v>1.133779059512801</v>
      </c>
      <c r="AA191" s="18">
        <f t="shared" si="81"/>
        <v>-2.721078915532253</v>
      </c>
    </row>
    <row r="192" spans="1:27" ht="67.5" x14ac:dyDescent="0.15">
      <c r="A192" s="1">
        <v>42958</v>
      </c>
      <c r="B192">
        <f t="shared" si="34"/>
        <v>5</v>
      </c>
      <c r="C192" s="30">
        <v>0</v>
      </c>
      <c r="D192" s="20">
        <v>2041849.99</v>
      </c>
      <c r="E192" s="20">
        <f t="shared" si="122"/>
        <v>2041849.99</v>
      </c>
      <c r="F192" s="4">
        <f t="shared" si="49"/>
        <v>-9.6964629069619113E-3</v>
      </c>
      <c r="G192" s="30">
        <v>3980.67</v>
      </c>
      <c r="H192">
        <v>0</v>
      </c>
      <c r="I192" s="30">
        <v>3980.67</v>
      </c>
      <c r="J192">
        <v>-23973.25</v>
      </c>
      <c r="K192" s="30">
        <v>0</v>
      </c>
      <c r="L192" s="18">
        <f t="shared" si="123"/>
        <v>-19992.580000000002</v>
      </c>
      <c r="M192" s="37">
        <f t="shared" si="124"/>
        <v>-19992.580000000075</v>
      </c>
      <c r="N192" s="63" t="s">
        <v>4336</v>
      </c>
      <c r="O192" s="41">
        <f ca="1">SUMIFS(Stock!$O:$O,Stock!$A:$A,'Asset Line A share'!$A192,Stock!$I:$I,O$2)</f>
        <v>0</v>
      </c>
      <c r="P192" s="41">
        <f ca="1">SUMIFS(Stock!$O:$O,Stock!$A:$A,'Asset Line A share'!$A192,Stock!$I:$I,P$2)</f>
        <v>1557092.4000000001</v>
      </c>
      <c r="Q192" s="40" t="str">
        <f t="shared" ref="Q192" ca="1" si="131">IF(O192&lt;&gt;0,+H192/O192,"")</f>
        <v/>
      </c>
      <c r="R192" s="30"/>
      <c r="S192" s="41">
        <f t="shared" ca="1" si="126"/>
        <v>356057.59999999986</v>
      </c>
      <c r="T192">
        <v>2118714</v>
      </c>
      <c r="U192" s="20">
        <f t="shared" si="76"/>
        <v>3837370.3289830508</v>
      </c>
      <c r="W192" s="4">
        <f t="shared" si="120"/>
        <v>-9.4886774359722592E-3</v>
      </c>
      <c r="X192" s="20">
        <f t="shared" si="130"/>
        <v>-36760.376610169653</v>
      </c>
      <c r="Y192" s="17" t="s">
        <v>4337</v>
      </c>
      <c r="Z192" s="30">
        <f t="shared" si="88"/>
        <v>1.1230209957334241</v>
      </c>
      <c r="AA192" s="18">
        <f t="shared" si="81"/>
        <v>-4.8002583341056688</v>
      </c>
    </row>
    <row r="193" spans="1:27" ht="40.5" x14ac:dyDescent="0.15">
      <c r="A193" s="1">
        <v>42961</v>
      </c>
      <c r="B193" s="30">
        <f t="shared" si="34"/>
        <v>1</v>
      </c>
      <c r="C193" s="30">
        <v>0</v>
      </c>
      <c r="D193" s="20">
        <v>2040429.5100000002</v>
      </c>
      <c r="E193" s="20">
        <f t="shared" si="122"/>
        <v>2040429.5100000002</v>
      </c>
      <c r="F193" s="4">
        <f t="shared" si="49"/>
        <v>-6.9568284005028236E-4</v>
      </c>
      <c r="G193" s="30">
        <v>0</v>
      </c>
      <c r="H193">
        <v>0</v>
      </c>
      <c r="I193">
        <v>0</v>
      </c>
      <c r="J193">
        <v>-1404.5</v>
      </c>
      <c r="K193" s="30">
        <f>-17+1.02</f>
        <v>-15.98</v>
      </c>
      <c r="L193" s="18">
        <f t="shared" si="123"/>
        <v>-1420.48</v>
      </c>
      <c r="M193" s="37">
        <f t="shared" si="124"/>
        <v>-1420.4799999997485</v>
      </c>
      <c r="N193" s="17" t="s">
        <v>4339</v>
      </c>
      <c r="O193" s="41">
        <f ca="1">SUMIFS(Stock!$O:$O,Stock!$A:$A,'Asset Line A share'!$A193,Stock!$I:$I,O$2)</f>
        <v>0</v>
      </c>
      <c r="P193" s="41">
        <f ca="1">SUMIFS(Stock!$O:$O,Stock!$A:$A,'Asset Line A share'!$A193,Stock!$I:$I,P$2)</f>
        <v>0</v>
      </c>
      <c r="Q193" s="40" t="str">
        <f t="shared" ref="Q193" ca="1" si="132">IF(O193&lt;&gt;0,+H193/O193,"")</f>
        <v/>
      </c>
      <c r="R193" s="30"/>
      <c r="S193" s="41">
        <f t="shared" ca="1" si="126"/>
        <v>356057.59999999986</v>
      </c>
      <c r="T193" s="30">
        <v>2120440</v>
      </c>
      <c r="U193" s="20">
        <f t="shared" si="76"/>
        <v>3837412.560847458</v>
      </c>
      <c r="V193" s="2"/>
      <c r="W193" s="4">
        <f t="shared" ref="W193" si="133">(U193-V193)/(U192)-1</f>
        <v>1.1005417978049437E-5</v>
      </c>
      <c r="X193" s="20">
        <f t="shared" ref="X193" si="134">(U193-V193)-(U192)</f>
        <v>42.231864407192916</v>
      </c>
      <c r="Y193" s="17" t="s">
        <v>4338</v>
      </c>
      <c r="Z193" s="30">
        <f t="shared" si="88"/>
        <v>1.1230333550488802</v>
      </c>
      <c r="AA193" s="18">
        <f t="shared" si="81"/>
        <v>-4.9028845433003552</v>
      </c>
    </row>
    <row r="194" spans="1:27" x14ac:dyDescent="0.15">
      <c r="A194" s="1">
        <v>42962</v>
      </c>
      <c r="B194" s="30">
        <f t="shared" ref="B194:B263" si="135">WEEKDAY(A194,2)</f>
        <v>2</v>
      </c>
      <c r="C194" s="30">
        <v>0</v>
      </c>
      <c r="D194" s="20">
        <v>2041553.08</v>
      </c>
      <c r="E194" s="20">
        <f t="shared" si="122"/>
        <v>2041553.08</v>
      </c>
      <c r="F194" s="4">
        <f t="shared" si="49"/>
        <v>5.5065367095186168E-4</v>
      </c>
      <c r="G194">
        <v>0</v>
      </c>
      <c r="H194">
        <v>0</v>
      </c>
      <c r="I194">
        <v>0</v>
      </c>
      <c r="J194">
        <v>983.15</v>
      </c>
      <c r="K194" s="30">
        <f>157.424657534247-17</f>
        <v>140.42465753424699</v>
      </c>
      <c r="L194" s="18">
        <f t="shared" si="123"/>
        <v>1123.5746575342469</v>
      </c>
      <c r="M194" s="37">
        <f t="shared" si="124"/>
        <v>1123.5699999998324</v>
      </c>
      <c r="N194" s="17" t="s">
        <v>4340</v>
      </c>
      <c r="O194" s="41">
        <f ca="1">SUMIFS(Stock!$O:$O,Stock!$A:$A,'Asset Line A share'!$A194,Stock!$I:$I,O$2)</f>
        <v>0</v>
      </c>
      <c r="P194" s="41">
        <f ca="1">SUMIFS(Stock!$O:$O,Stock!$A:$A,'Asset Line A share'!$A194,Stock!$I:$I,P$2)</f>
        <v>0</v>
      </c>
      <c r="Q194" s="40" t="str">
        <f t="shared" ref="Q194" ca="1" si="136">IF(O194&lt;&gt;0,+H194/O194,"")</f>
        <v/>
      </c>
      <c r="R194" s="30"/>
      <c r="S194" s="41">
        <f t="shared" ref="S194" ca="1" si="137">+S193+O194-P194</f>
        <v>356057.59999999986</v>
      </c>
      <c r="T194" s="30">
        <v>2118980</v>
      </c>
      <c r="U194" s="20">
        <f t="shared" si="76"/>
        <v>3837298.8427118645</v>
      </c>
      <c r="V194" s="2"/>
      <c r="W194" s="4">
        <f t="shared" ref="W194" si="138">(U194-V194)/(U193)-1</f>
        <v>-2.9634065608075133E-5</v>
      </c>
      <c r="X194" s="20">
        <f t="shared" ref="X194" si="139">(U194-V194)-(U193)</f>
        <v>-113.71813559345901</v>
      </c>
      <c r="Y194" s="17" t="s">
        <v>4341</v>
      </c>
      <c r="Z194" s="30">
        <f t="shared" si="88"/>
        <v>1.1230000750047566</v>
      </c>
      <c r="AA194" s="18">
        <f t="shared" si="81"/>
        <v>-4.5372845343053765</v>
      </c>
    </row>
    <row r="195" spans="1:27" ht="27" x14ac:dyDescent="0.15">
      <c r="A195" s="1">
        <v>42963</v>
      </c>
      <c r="B195" s="30">
        <f t="shared" si="135"/>
        <v>3</v>
      </c>
      <c r="C195" s="30">
        <v>0</v>
      </c>
      <c r="D195" s="20">
        <v>2046273.88</v>
      </c>
      <c r="E195" s="20">
        <f t="shared" si="122"/>
        <v>2046273.88</v>
      </c>
      <c r="F195" s="4">
        <f t="shared" si="49"/>
        <v>2.3123572177705665E-3</v>
      </c>
      <c r="G195">
        <v>0</v>
      </c>
      <c r="H195">
        <v>0</v>
      </c>
      <c r="I195">
        <v>0</v>
      </c>
      <c r="J195">
        <v>3511.25</v>
      </c>
      <c r="K195" s="30">
        <f>196.547945205479+1030-17</f>
        <v>1209.547945205479</v>
      </c>
      <c r="L195" s="18">
        <f t="shared" si="123"/>
        <v>4720.7979452054788</v>
      </c>
      <c r="M195" s="37">
        <f t="shared" si="124"/>
        <v>4720.7999999998137</v>
      </c>
      <c r="N195" s="17" t="s">
        <v>4343</v>
      </c>
      <c r="O195" s="41">
        <f ca="1">SUMIFS(Stock!$O:$O,Stock!$A:$A,'Asset Line A share'!$A195,Stock!$I:$I,O$2)</f>
        <v>0</v>
      </c>
      <c r="P195" s="41">
        <f ca="1">SUMIFS(Stock!$O:$O,Stock!$A:$A,'Asset Line A share'!$A195,Stock!$I:$I,P$2)</f>
        <v>0</v>
      </c>
      <c r="Q195" s="40" t="str">
        <f t="shared" ref="Q195:Q252" ca="1" si="140">IF(O195&lt;&gt;0,+H195/O195,"")</f>
        <v/>
      </c>
      <c r="R195" s="30"/>
      <c r="S195" s="41">
        <f t="shared" ref="S195" ca="1" si="141">+S194+O195-P195</f>
        <v>356057.59999999986</v>
      </c>
      <c r="T195" s="30">
        <v>2119022</v>
      </c>
      <c r="U195" s="20">
        <f t="shared" si="76"/>
        <v>3842055.2359322035</v>
      </c>
      <c r="V195" s="2"/>
      <c r="W195" s="4">
        <f t="shared" ref="W195" si="142">(U195-V195)/(U194)-1</f>
        <v>1.2395159760290042E-3</v>
      </c>
      <c r="X195" s="20">
        <f t="shared" ref="X195" si="143">(U195-V195)-(U194)</f>
        <v>4756.3932203389704</v>
      </c>
      <c r="Y195" s="17" t="s">
        <v>4342</v>
      </c>
      <c r="Z195" s="30">
        <f t="shared" si="88"/>
        <v>1.1243920515388068</v>
      </c>
      <c r="AA195" s="18">
        <f t="shared" si="81"/>
        <v>-5.0674992009716338</v>
      </c>
    </row>
    <row r="196" spans="1:27" ht="54" x14ac:dyDescent="0.15">
      <c r="A196" s="1">
        <v>42964</v>
      </c>
      <c r="B196" s="30">
        <f t="shared" si="135"/>
        <v>4</v>
      </c>
      <c r="C196" s="30">
        <v>0</v>
      </c>
      <c r="D196" s="20">
        <v>2046654.61</v>
      </c>
      <c r="E196" s="20">
        <f t="shared" si="122"/>
        <v>2046654.61</v>
      </c>
      <c r="F196" s="4">
        <f t="shared" si="49"/>
        <v>1.8606013775634977E-4</v>
      </c>
      <c r="G196" s="30">
        <v>0</v>
      </c>
      <c r="H196" s="30">
        <v>0</v>
      </c>
      <c r="I196" s="30">
        <v>0</v>
      </c>
      <c r="J196">
        <f>+-104.45+340</f>
        <v>235.55</v>
      </c>
      <c r="K196" s="30">
        <f>198.178082191781+-17</f>
        <v>181.17808219178099</v>
      </c>
      <c r="L196" s="18">
        <f t="shared" ref="L196:L213" si="144">G196+J196+K196</f>
        <v>416.72808219178103</v>
      </c>
      <c r="M196" s="37">
        <f t="shared" ref="M196:M215" si="145">+E196-E195</f>
        <v>380.7300000002142</v>
      </c>
      <c r="N196" s="17" t="s">
        <v>4344</v>
      </c>
      <c r="O196" s="41">
        <f ca="1">SUMIFS(Stock!$O:$O,Stock!$A:$A,'Asset Line A share'!$A196,Stock!$I:$I,O$2)</f>
        <v>0</v>
      </c>
      <c r="P196" s="41">
        <f ca="1">SUMIFS(Stock!$O:$O,Stock!$A:$A,'Asset Line A share'!$A196,Stock!$I:$I,P$2)</f>
        <v>0</v>
      </c>
      <c r="Q196" s="40" t="str">
        <f t="shared" ca="1" si="140"/>
        <v/>
      </c>
      <c r="R196" s="30"/>
      <c r="S196" s="41">
        <f t="shared" ref="S196" ca="1" si="146">+S195+O196-P196</f>
        <v>356057.59999999986</v>
      </c>
      <c r="T196" s="30">
        <v>2119056</v>
      </c>
      <c r="U196" s="20">
        <f t="shared" si="76"/>
        <v>3842464.7794915256</v>
      </c>
      <c r="V196" s="2"/>
      <c r="W196" s="4">
        <f t="shared" ref="W196" si="147">(U196-V196)/(U195)-1</f>
        <v>1.0659491708819857E-4</v>
      </c>
      <c r="X196" s="20">
        <f t="shared" ref="X196" si="148">(U196-V196)-(U195)</f>
        <v>409.54355932213366</v>
      </c>
      <c r="Y196" s="17" t="s">
        <v>4345</v>
      </c>
      <c r="Z196" s="30">
        <f t="shared" si="88"/>
        <v>1.1245119060163153</v>
      </c>
      <c r="AA196" s="18">
        <f t="shared" si="81"/>
        <v>-5.3702836544829422</v>
      </c>
    </row>
    <row r="197" spans="1:27" x14ac:dyDescent="0.15">
      <c r="A197" s="1">
        <v>42965</v>
      </c>
      <c r="B197" s="30">
        <f t="shared" si="135"/>
        <v>5</v>
      </c>
      <c r="C197" s="30">
        <v>0</v>
      </c>
      <c r="D197" s="20">
        <v>2048982.17</v>
      </c>
      <c r="E197" s="20">
        <f t="shared" si="122"/>
        <v>2048982.17</v>
      </c>
      <c r="F197" s="4">
        <f t="shared" si="49"/>
        <v>1.137250999082795E-3</v>
      </c>
      <c r="G197" s="30">
        <v>0</v>
      </c>
      <c r="H197" s="30">
        <v>0</v>
      </c>
      <c r="I197" s="30">
        <v>0</v>
      </c>
      <c r="J197">
        <f>1264.05+370</f>
        <v>1634.05</v>
      </c>
      <c r="K197" s="30">
        <f>710.506849315069-17</f>
        <v>693.50684931506896</v>
      </c>
      <c r="L197" s="18">
        <f t="shared" si="144"/>
        <v>2327.556849315069</v>
      </c>
      <c r="M197" s="37">
        <f t="shared" si="145"/>
        <v>2327.559999999823</v>
      </c>
      <c r="N197" s="17" t="s">
        <v>4346</v>
      </c>
      <c r="O197" s="41">
        <f ca="1">SUMIFS(Stock!$O:$O,Stock!$A:$A,'Asset Line A share'!$A197,Stock!$I:$I,O$2)</f>
        <v>0</v>
      </c>
      <c r="P197" s="41">
        <f ca="1">SUMIFS(Stock!$O:$O,Stock!$A:$A,'Asset Line A share'!$A197,Stock!$I:$I,P$2)</f>
        <v>0</v>
      </c>
      <c r="Q197" s="40" t="str">
        <f t="shared" ca="1" si="140"/>
        <v/>
      </c>
      <c r="R197" s="30"/>
      <c r="S197" s="41">
        <f t="shared" ref="S197" ca="1" si="149">+S196+O197-P197</f>
        <v>356057.59999999986</v>
      </c>
      <c r="T197" s="30">
        <v>2119535</v>
      </c>
      <c r="U197" s="20">
        <f t="shared" si="76"/>
        <v>3845198.2716949154</v>
      </c>
      <c r="W197" s="4">
        <f t="shared" ref="W197" si="150">(U197-V197)/(U196)-1</f>
        <v>7.1139030811151471E-4</v>
      </c>
      <c r="X197" s="20">
        <f t="shared" ref="X197" si="151">(U197-V197)-(U196)</f>
        <v>2733.4922033897601</v>
      </c>
      <c r="Y197" s="17" t="s">
        <v>4347</v>
      </c>
      <c r="Z197" s="30">
        <f t="shared" si="88"/>
        <v>1.1253118728876113</v>
      </c>
      <c r="AA197" s="18">
        <f t="shared" si="81"/>
        <v>-5.0073524154989482</v>
      </c>
    </row>
    <row r="198" spans="1:27" ht="27" x14ac:dyDescent="0.15">
      <c r="A198" s="1">
        <v>42968</v>
      </c>
      <c r="B198">
        <f t="shared" si="135"/>
        <v>1</v>
      </c>
      <c r="C198" s="30">
        <v>0</v>
      </c>
      <c r="D198" s="20">
        <v>2059031.15</v>
      </c>
      <c r="E198" s="20">
        <f t="shared" si="122"/>
        <v>2059031.15</v>
      </c>
      <c r="F198" s="4">
        <f t="shared" si="49"/>
        <v>4.904376498307883E-3</v>
      </c>
      <c r="G198" s="30">
        <v>162.69</v>
      </c>
      <c r="H198" s="30">
        <v>162.69</v>
      </c>
      <c r="I198" s="30">
        <v>0</v>
      </c>
      <c r="J198">
        <f>9283.7+410</f>
        <v>9693.7000000000007</v>
      </c>
      <c r="K198" s="30">
        <f>209.58904109589-17</f>
        <v>192.58904109589</v>
      </c>
      <c r="L198" s="18">
        <f t="shared" si="144"/>
        <v>10048.97904109589</v>
      </c>
      <c r="M198" s="37">
        <f t="shared" si="145"/>
        <v>10048.979999999981</v>
      </c>
      <c r="N198" s="17" t="s">
        <v>4350</v>
      </c>
      <c r="O198" s="41">
        <f ca="1">SUMIFS(Stock!$O:$O,Stock!$A:$A,'Asset Line A share'!$A198,Stock!$I:$I,O$2)</f>
        <v>15596</v>
      </c>
      <c r="P198" s="41">
        <f ca="1">SUMIFS(Stock!$O:$O,Stock!$A:$A,'Asset Line A share'!$A198,Stock!$I:$I,P$2)</f>
        <v>0</v>
      </c>
      <c r="Q198" s="40">
        <f t="shared" ca="1" si="140"/>
        <v>1.0431520902795588E-2</v>
      </c>
      <c r="R198" s="30"/>
      <c r="S198" s="41">
        <f t="shared" ref="S198" ca="1" si="152">+S197+O198-P198</f>
        <v>371653.59999999986</v>
      </c>
      <c r="T198" s="30">
        <v>2119551</v>
      </c>
      <c r="U198" s="20">
        <f t="shared" si="76"/>
        <v>3855260.8110169489</v>
      </c>
      <c r="W198" s="4">
        <f t="shared" ref="W198" si="153">(U198-V198)/(U197)-1</f>
        <v>2.6169103934394755E-3</v>
      </c>
      <c r="X198" s="20">
        <f t="shared" ref="X198" si="154">(U198-V198)-(U197)</f>
        <v>10062.539322033525</v>
      </c>
      <c r="Y198" s="17" t="s">
        <v>4351</v>
      </c>
      <c r="Z198" s="30">
        <f t="shared" si="88"/>
        <v>1.1282567132236316</v>
      </c>
      <c r="AA198" s="18">
        <f t="shared" si="81"/>
        <v>-4.7050859611409868</v>
      </c>
    </row>
    <row r="199" spans="1:27" ht="27" x14ac:dyDescent="0.15">
      <c r="A199" s="1">
        <v>42969</v>
      </c>
      <c r="B199">
        <f t="shared" si="135"/>
        <v>2</v>
      </c>
      <c r="C199" s="30">
        <v>0</v>
      </c>
      <c r="D199" s="20">
        <v>2072641.52</v>
      </c>
      <c r="E199" s="20">
        <f t="shared" si="122"/>
        <v>2072641.52</v>
      </c>
      <c r="F199" s="4">
        <f t="shared" si="49"/>
        <v>6.6100845536019026E-3</v>
      </c>
      <c r="G199">
        <v>919.36</v>
      </c>
      <c r="H199" s="30">
        <v>1574.2</v>
      </c>
      <c r="I199">
        <v>-654.83000000000004</v>
      </c>
      <c r="J199">
        <f>12187.1+450</f>
        <v>12637.1</v>
      </c>
      <c r="K199" s="30">
        <f>207.73-16-137.82</f>
        <v>53.91</v>
      </c>
      <c r="L199" s="18">
        <f t="shared" si="144"/>
        <v>13610.37</v>
      </c>
      <c r="M199" s="37">
        <f t="shared" si="145"/>
        <v>13610.370000000112</v>
      </c>
      <c r="N199" s="64" t="s">
        <v>4359</v>
      </c>
      <c r="O199" s="41">
        <f ca="1">SUMIFS(Stock!$O:$O,Stock!$A:$A,'Asset Line A share'!$A199,Stock!$I:$I,O$2)</f>
        <v>144560</v>
      </c>
      <c r="P199" s="41">
        <f ca="1">SUMIFS(Stock!$O:$O,Stock!$A:$A,'Asset Line A share'!$A199,Stock!$I:$I,P$2)</f>
        <v>135110</v>
      </c>
      <c r="Q199" s="40">
        <f t="shared" ca="1" si="140"/>
        <v>1.0889596015495296E-2</v>
      </c>
      <c r="R199" s="30"/>
      <c r="S199" s="41">
        <f t="shared" ref="S199:S205" ca="1" si="155">+S198+O199-P199</f>
        <v>381103.59999999986</v>
      </c>
      <c r="T199">
        <v>2126890</v>
      </c>
      <c r="U199" s="20">
        <f t="shared" si="76"/>
        <v>3875090.6725423727</v>
      </c>
      <c r="W199" s="4">
        <f t="shared" ref="W199" si="156">(U199-V199)/(U198)-1</f>
        <v>5.1435849602592398E-3</v>
      </c>
      <c r="X199" s="20">
        <f t="shared" ref="X199" si="157">(U199-V199)-(U198)</f>
        <v>19829.861525423825</v>
      </c>
      <c r="Y199" s="17" t="s">
        <v>4358</v>
      </c>
      <c r="Z199" s="30">
        <f t="shared" si="88"/>
        <v>1.1340599974850802</v>
      </c>
      <c r="AA199" s="18">
        <f t="shared" si="81"/>
        <v>-3.4652899991670227</v>
      </c>
    </row>
    <row r="200" spans="1:27" x14ac:dyDescent="0.15">
      <c r="A200" s="1">
        <v>42970</v>
      </c>
      <c r="B200">
        <f t="shared" si="135"/>
        <v>3</v>
      </c>
      <c r="C200" s="30">
        <v>0</v>
      </c>
      <c r="D200" s="20">
        <v>2075679.25</v>
      </c>
      <c r="E200" s="20">
        <f t="shared" si="122"/>
        <v>2075679.25</v>
      </c>
      <c r="F200" s="4">
        <f t="shared" si="49"/>
        <v>1.4656321272574768E-3</v>
      </c>
      <c r="G200">
        <v>0</v>
      </c>
      <c r="H200">
        <v>0</v>
      </c>
      <c r="I200">
        <v>0</v>
      </c>
      <c r="J200">
        <f>2344.55+490</f>
        <v>2834.55</v>
      </c>
      <c r="K200" s="30">
        <f>219.178082191781-16</f>
        <v>203.17808219178099</v>
      </c>
      <c r="L200" s="18">
        <f t="shared" si="144"/>
        <v>3037.7280821917811</v>
      </c>
      <c r="M200" s="37">
        <f t="shared" si="145"/>
        <v>3037.7299999999814</v>
      </c>
      <c r="N200" s="17" t="s">
        <v>4361</v>
      </c>
      <c r="O200" s="41">
        <f ca="1">SUMIFS(Stock!$O:$O,Stock!$A:$A,'Asset Line A share'!$A200,Stock!$I:$I,O$2)</f>
        <v>0</v>
      </c>
      <c r="P200" s="41">
        <f ca="1">SUMIFS(Stock!$O:$O,Stock!$A:$A,'Asset Line A share'!$A200,Stock!$I:$I,P$2)</f>
        <v>0</v>
      </c>
      <c r="Q200" s="40" t="str">
        <f t="shared" ca="1" si="140"/>
        <v/>
      </c>
      <c r="R200" s="30"/>
      <c r="S200" s="41">
        <f t="shared" ca="1" si="155"/>
        <v>381103.59999999986</v>
      </c>
      <c r="T200">
        <v>2126093</v>
      </c>
      <c r="U200" s="20">
        <f t="shared" si="76"/>
        <v>3877452.9788135597</v>
      </c>
      <c r="W200" s="4">
        <f t="shared" ref="W200" si="158">(U200-V200)/(U199)-1</f>
        <v>6.0961316026109102E-4</v>
      </c>
      <c r="X200" s="20">
        <f t="shared" ref="X200" si="159">(U200-V200)-(U199)</f>
        <v>2362.3062711870298</v>
      </c>
      <c r="Y200" s="17" t="s">
        <v>4360</v>
      </c>
      <c r="Z200" s="30">
        <f t="shared" si="88"/>
        <v>1.1347513353840728</v>
      </c>
      <c r="AA200" s="18">
        <f t="shared" si="81"/>
        <v>-3.32028931925004</v>
      </c>
    </row>
    <row r="201" spans="1:27" x14ac:dyDescent="0.15">
      <c r="A201" s="1">
        <v>42971</v>
      </c>
      <c r="B201">
        <f t="shared" si="135"/>
        <v>4</v>
      </c>
      <c r="C201" s="30">
        <v>0</v>
      </c>
      <c r="D201" s="20">
        <v>2076253.17</v>
      </c>
      <c r="E201" s="20">
        <f t="shared" si="122"/>
        <v>2076253.17</v>
      </c>
      <c r="F201" s="4">
        <f t="shared" si="49"/>
        <v>2.7649744053670489E-4</v>
      </c>
      <c r="G201">
        <v>0</v>
      </c>
      <c r="H201">
        <v>0</v>
      </c>
      <c r="I201">
        <v>0</v>
      </c>
      <c r="J201">
        <f>+-164+540</f>
        <v>376</v>
      </c>
      <c r="K201" s="30">
        <f>213.92-16</f>
        <v>197.92</v>
      </c>
      <c r="L201" s="18">
        <f t="shared" si="144"/>
        <v>573.91999999999996</v>
      </c>
      <c r="M201" s="37">
        <f t="shared" si="145"/>
        <v>573.91999999992549</v>
      </c>
      <c r="N201" s="17" t="s">
        <v>4362</v>
      </c>
      <c r="O201" s="41">
        <f ca="1">SUMIFS(Stock!$O:$O,Stock!$A:$A,'Asset Line A share'!$A201,Stock!$I:$I,O$2)</f>
        <v>0</v>
      </c>
      <c r="P201" s="41">
        <f ca="1">SUMIFS(Stock!$O:$O,Stock!$A:$A,'Asset Line A share'!$A201,Stock!$I:$I,P$2)</f>
        <v>0</v>
      </c>
      <c r="Q201" s="40" t="str">
        <f t="shared" ca="1" si="140"/>
        <v/>
      </c>
      <c r="R201" s="30"/>
      <c r="S201" s="41">
        <f t="shared" ca="1" si="155"/>
        <v>381103.59999999986</v>
      </c>
      <c r="T201">
        <v>2126155</v>
      </c>
      <c r="U201" s="20">
        <f t="shared" si="76"/>
        <v>3878079.4411864406</v>
      </c>
      <c r="W201" s="4">
        <f t="shared" ref="W201" si="160">(U201-V201)/(U200)-1</f>
        <v>1.6156543388246014E-4</v>
      </c>
      <c r="X201" s="20">
        <f t="shared" ref="X201" si="161">(U201-V201)-(U200)</f>
        <v>626.46237288089469</v>
      </c>
      <c r="Y201" s="17" t="s">
        <v>4363</v>
      </c>
      <c r="Z201" s="30">
        <f t="shared" si="88"/>
        <v>1.1349346719759228</v>
      </c>
      <c r="AA201" s="18">
        <f t="shared" si="81"/>
        <v>-3.5355301211982102</v>
      </c>
    </row>
    <row r="202" spans="1:27" ht="40.5" x14ac:dyDescent="0.15">
      <c r="A202" s="1">
        <v>42972</v>
      </c>
      <c r="B202">
        <f t="shared" si="135"/>
        <v>5</v>
      </c>
      <c r="C202" s="30">
        <v>0</v>
      </c>
      <c r="D202" s="20">
        <v>2079477.32</v>
      </c>
      <c r="E202" s="20">
        <f t="shared" si="122"/>
        <v>2079477.32</v>
      </c>
      <c r="F202" s="4">
        <f t="shared" si="49"/>
        <v>1.5528693930904058E-3</v>
      </c>
      <c r="G202">
        <v>-218.95</v>
      </c>
      <c r="H202">
        <v>0</v>
      </c>
      <c r="I202" s="30">
        <v>-218.95</v>
      </c>
      <c r="J202">
        <f>2270.95+600</f>
        <v>2870.95</v>
      </c>
      <c r="K202" s="30">
        <f>589.150684931507-17</f>
        <v>572.15068493150704</v>
      </c>
      <c r="L202" s="18">
        <f t="shared" si="144"/>
        <v>3224.1506849315069</v>
      </c>
      <c r="M202" s="37">
        <f t="shared" si="145"/>
        <v>3224.1500000001397</v>
      </c>
      <c r="N202" s="17" t="s">
        <v>4366</v>
      </c>
      <c r="O202" s="41">
        <f ca="1">SUMIFS(Stock!$O:$O,Stock!$A:$A,'Asset Line A share'!$A202,Stock!$I:$I,O$2)</f>
        <v>0</v>
      </c>
      <c r="P202" s="41">
        <f ca="1">SUMIFS(Stock!$O:$O,Stock!$A:$A,'Asset Line A share'!$A202,Stock!$I:$I,P$2)</f>
        <v>49140</v>
      </c>
      <c r="Q202" s="40" t="str">
        <f t="shared" ca="1" si="140"/>
        <v/>
      </c>
      <c r="R202" s="30"/>
      <c r="S202" s="41">
        <f t="shared" ca="1" si="155"/>
        <v>331963.59999999986</v>
      </c>
      <c r="T202">
        <v>2126050</v>
      </c>
      <c r="U202" s="20">
        <f t="shared" si="76"/>
        <v>3881214.6081355931</v>
      </c>
      <c r="W202" s="4">
        <f t="shared" ref="W202" si="162">(U202-V202)/(U201)-1</f>
        <v>8.0843288455012541E-4</v>
      </c>
      <c r="X202" s="20">
        <f t="shared" ref="X202" si="163">(U202-V202)-(U201)</f>
        <v>3135.1669491524808</v>
      </c>
      <c r="Y202" s="17" t="s">
        <v>4367</v>
      </c>
      <c r="Z202" s="30">
        <f t="shared" si="88"/>
        <v>1.1358521904865642</v>
      </c>
      <c r="AA202" s="18">
        <f t="shared" si="81"/>
        <v>-3.8626242865973031</v>
      </c>
    </row>
    <row r="203" spans="1:27" ht="27" x14ac:dyDescent="0.15">
      <c r="A203" s="1">
        <v>42975</v>
      </c>
      <c r="B203">
        <f t="shared" si="135"/>
        <v>1</v>
      </c>
      <c r="C203" s="30">
        <v>0</v>
      </c>
      <c r="D203" s="20">
        <v>2078680.72</v>
      </c>
      <c r="E203" s="20">
        <f t="shared" si="122"/>
        <v>2078680.72</v>
      </c>
      <c r="F203" s="4">
        <f t="shared" si="49"/>
        <v>-3.8307703206885702E-4</v>
      </c>
      <c r="G203">
        <v>0</v>
      </c>
      <c r="H203">
        <v>0</v>
      </c>
      <c r="I203">
        <v>0</v>
      </c>
      <c r="J203">
        <f>+-1621.6+660</f>
        <v>-961.59999999999991</v>
      </c>
      <c r="K203" s="30">
        <f>182-17</f>
        <v>165</v>
      </c>
      <c r="L203" s="18">
        <f t="shared" si="144"/>
        <v>-796.59999999999991</v>
      </c>
      <c r="M203" s="37">
        <f t="shared" si="145"/>
        <v>-796.60000000009313</v>
      </c>
      <c r="N203" s="17" t="s">
        <v>4368</v>
      </c>
      <c r="O203" s="41">
        <f ca="1">SUMIFS(Stock!$O:$O,Stock!$A:$A,'Asset Line A share'!$A203,Stock!$I:$I,O$2)</f>
        <v>0</v>
      </c>
      <c r="P203" s="41">
        <f ca="1">SUMIFS(Stock!$O:$O,Stock!$A:$A,'Asset Line A share'!$A203,Stock!$I:$I,P$2)</f>
        <v>0</v>
      </c>
      <c r="Q203" s="40" t="str">
        <f t="shared" ca="1" si="140"/>
        <v/>
      </c>
      <c r="R203" s="30"/>
      <c r="S203" s="41">
        <f t="shared" ca="1" si="155"/>
        <v>331963.59999999986</v>
      </c>
      <c r="T203" s="30">
        <v>2363768</v>
      </c>
      <c r="U203" s="20">
        <f t="shared" si="76"/>
        <v>4081873.9403389832</v>
      </c>
      <c r="V203" s="30">
        <f>30400*6.63</f>
        <v>201552</v>
      </c>
      <c r="W203" s="4">
        <f t="shared" ref="W203" si="164">(U203-V203)/(U202)-1</f>
        <v>-2.2999702071069272E-4</v>
      </c>
      <c r="X203" s="20">
        <f t="shared" ref="X203" si="165">(U203-V203)-(U202)</f>
        <v>-892.66779660992324</v>
      </c>
      <c r="Y203" s="17" t="s">
        <v>4369</v>
      </c>
      <c r="Z203" s="30">
        <f t="shared" si="88"/>
        <v>1.1355909478667845</v>
      </c>
      <c r="AA203" s="18">
        <f t="shared" si="81"/>
        <v>-3.8767182361392041</v>
      </c>
    </row>
    <row r="204" spans="1:27" x14ac:dyDescent="0.15">
      <c r="A204" s="1">
        <v>42976</v>
      </c>
      <c r="B204">
        <f t="shared" si="135"/>
        <v>2</v>
      </c>
      <c r="C204" s="30">
        <v>0</v>
      </c>
      <c r="D204" s="20">
        <v>2080842.24</v>
      </c>
      <c r="E204" s="20">
        <f t="shared" si="122"/>
        <v>2080842.24</v>
      </c>
      <c r="F204" s="4">
        <f t="shared" si="49"/>
        <v>1.0398518537277912E-3</v>
      </c>
      <c r="G204" s="30">
        <v>0</v>
      </c>
      <c r="H204" s="30">
        <v>0</v>
      </c>
      <c r="I204" s="30">
        <v>0</v>
      </c>
      <c r="J204">
        <f>720+1249.4</f>
        <v>1969.4</v>
      </c>
      <c r="K204" s="30">
        <f>209.123287671233-17</f>
        <v>192.12328767123299</v>
      </c>
      <c r="L204" s="18">
        <f t="shared" si="144"/>
        <v>2161.523287671233</v>
      </c>
      <c r="M204" s="37">
        <f t="shared" si="145"/>
        <v>2161.5200000000186</v>
      </c>
      <c r="N204" s="17" t="s">
        <v>4370</v>
      </c>
      <c r="O204" s="41">
        <f ca="1">SUMIFS(Stock!$O:$O,Stock!$A:$A,'Asset Line A share'!$A204,Stock!$I:$I,O$2)</f>
        <v>0</v>
      </c>
      <c r="P204" s="41">
        <f ca="1">SUMIFS(Stock!$O:$O,Stock!$A:$A,'Asset Line A share'!$A204,Stock!$I:$I,P$2)</f>
        <v>0</v>
      </c>
      <c r="Q204" s="40" t="str">
        <f t="shared" ca="1" si="140"/>
        <v/>
      </c>
      <c r="R204" s="30"/>
      <c r="S204" s="41">
        <f t="shared" ca="1" si="155"/>
        <v>331963.59999999986</v>
      </c>
      <c r="T204" s="30">
        <v>2364103</v>
      </c>
      <c r="U204" s="20">
        <f t="shared" ref="U204:U205" si="166">T204/1.18+E204</f>
        <v>4084319.3586440682</v>
      </c>
      <c r="W204" s="4">
        <f t="shared" ref="W204" si="167">(U204-V204)/(U203)-1</f>
        <v>5.9909206918873359E-4</v>
      </c>
      <c r="X204" s="20">
        <f t="shared" ref="X204" si="168">(U204-V204)-(U203)</f>
        <v>2445.4183050850406</v>
      </c>
      <c r="Y204" s="17" t="s">
        <v>4371</v>
      </c>
      <c r="Z204" s="30">
        <f t="shared" si="88"/>
        <v>1.1362712713974941</v>
      </c>
      <c r="AA204" s="18">
        <f t="shared" si="81"/>
        <v>-4.8708294175249103</v>
      </c>
    </row>
    <row r="205" spans="1:27" ht="27" x14ac:dyDescent="0.15">
      <c r="A205" s="1">
        <v>42977</v>
      </c>
      <c r="B205">
        <f t="shared" si="135"/>
        <v>3</v>
      </c>
      <c r="C205" s="30">
        <v>0</v>
      </c>
      <c r="D205" s="20">
        <v>2078752.09</v>
      </c>
      <c r="E205" s="20">
        <f t="shared" si="122"/>
        <v>2078752.09</v>
      </c>
      <c r="F205" s="4">
        <f t="shared" si="49"/>
        <v>-1.0044730733647089E-3</v>
      </c>
      <c r="G205" s="30">
        <v>0</v>
      </c>
      <c r="H205" s="30">
        <v>0</v>
      </c>
      <c r="I205" s="30">
        <v>0</v>
      </c>
      <c r="J205">
        <f>+-3113.25+800</f>
        <v>-2313.25</v>
      </c>
      <c r="K205" s="30">
        <f>5.155*1700/36.5-17</f>
        <v>223.0958904109589</v>
      </c>
      <c r="L205" s="18">
        <f t="shared" si="144"/>
        <v>-2090.1541095890411</v>
      </c>
      <c r="M205" s="37">
        <f t="shared" si="145"/>
        <v>-2090.1499999999069</v>
      </c>
      <c r="N205" s="17" t="s">
        <v>4373</v>
      </c>
      <c r="O205" s="41">
        <f ca="1">SUMIFS(Stock!$O:$O,Stock!$A:$A,'Asset Line A share'!$A205,Stock!$I:$I,O$2)</f>
        <v>0</v>
      </c>
      <c r="P205" s="41">
        <f ca="1">SUMIFS(Stock!$O:$O,Stock!$A:$A,'Asset Line A share'!$A205,Stock!$I:$I,P$2)</f>
        <v>0</v>
      </c>
      <c r="Q205" s="40" t="str">
        <f t="shared" ca="1" si="140"/>
        <v/>
      </c>
      <c r="R205" s="30"/>
      <c r="S205" s="41">
        <f t="shared" ca="1" si="155"/>
        <v>331963.59999999986</v>
      </c>
      <c r="T205">
        <v>2364456</v>
      </c>
      <c r="U205" s="20">
        <f t="shared" si="166"/>
        <v>4082528.361186441</v>
      </c>
      <c r="W205" s="4">
        <f t="shared" ref="W205" si="169">(U205-V205)/(U204)-1</f>
        <v>-4.385057338468501E-4</v>
      </c>
      <c r="X205" s="20">
        <f t="shared" ref="X205" si="170">(U205-V205)-(U204)</f>
        <v>-1790.997457627207</v>
      </c>
      <c r="Y205" s="17" t="s">
        <v>4372</v>
      </c>
      <c r="Z205" s="30">
        <f t="shared" si="88"/>
        <v>1.1357730099297809</v>
      </c>
      <c r="AA205" s="18">
        <f t="shared" si="81"/>
        <v>-4.6639586609097146</v>
      </c>
    </row>
    <row r="206" spans="1:27" x14ac:dyDescent="0.15">
      <c r="A206" s="1">
        <v>42978</v>
      </c>
      <c r="B206">
        <f t="shared" si="135"/>
        <v>4</v>
      </c>
      <c r="C206" s="30">
        <v>0</v>
      </c>
      <c r="D206" s="20">
        <v>2077044.7</v>
      </c>
      <c r="E206" s="20">
        <f t="shared" si="122"/>
        <v>2077044.7</v>
      </c>
      <c r="F206" s="4">
        <f t="shared" si="49"/>
        <v>-8.2135335339583726E-4</v>
      </c>
      <c r="G206" s="30">
        <v>0</v>
      </c>
      <c r="H206" s="30">
        <v>0</v>
      </c>
      <c r="I206" s="30">
        <v>0</v>
      </c>
      <c r="J206">
        <f>+-2947.65+880</f>
        <v>-2067.65</v>
      </c>
      <c r="K206" s="30">
        <f>377.260273972603-17</f>
        <v>360.26027397260299</v>
      </c>
      <c r="L206" s="18">
        <f t="shared" si="144"/>
        <v>-1707.389726027397</v>
      </c>
      <c r="M206" s="37">
        <f t="shared" si="145"/>
        <v>-1707.3900000001304</v>
      </c>
      <c r="N206" s="17" t="s">
        <v>4374</v>
      </c>
      <c r="O206" s="41">
        <f ca="1">SUMIFS(Stock!$O:$O,Stock!$A:$A,'Asset Line A share'!$A206,Stock!$I:$I,O$2)</f>
        <v>0</v>
      </c>
      <c r="P206" s="41">
        <f ca="1">SUMIFS(Stock!$O:$O,Stock!$A:$A,'Asset Line A share'!$A206,Stock!$I:$I,P$2)</f>
        <v>0</v>
      </c>
      <c r="Q206" s="40" t="str">
        <f t="shared" ca="1" si="140"/>
        <v/>
      </c>
      <c r="R206" s="30"/>
      <c r="S206" s="41">
        <f t="shared" ref="S206" ca="1" si="171">+S205+O206-P206</f>
        <v>331963.59999999986</v>
      </c>
      <c r="T206" s="30">
        <v>2364305</v>
      </c>
      <c r="U206" s="20">
        <f t="shared" ref="U206" si="172">T206/1.18+E206</f>
        <v>4080693.0050847456</v>
      </c>
      <c r="W206" s="4">
        <f t="shared" ref="W206" si="173">(U206-V206)/(U205)-1</f>
        <v>-4.4956358886438785E-4</v>
      </c>
      <c r="X206" s="20">
        <f t="shared" ref="X206" si="174">(U206-V206)-(U205)</f>
        <v>-1835.3561016954482</v>
      </c>
      <c r="Y206" s="17" t="s">
        <v>4375</v>
      </c>
      <c r="Z206" s="30">
        <f t="shared" si="88"/>
        <v>1.1352624077393016</v>
      </c>
      <c r="AA206" s="18">
        <f t="shared" si="81"/>
        <v>-2.9805696881085009</v>
      </c>
    </row>
    <row r="207" spans="1:27" x14ac:dyDescent="0.15">
      <c r="A207" s="1">
        <v>42979</v>
      </c>
      <c r="B207">
        <f t="shared" si="135"/>
        <v>5</v>
      </c>
      <c r="C207" s="30">
        <v>0</v>
      </c>
      <c r="D207" s="20">
        <v>2078495.97</v>
      </c>
      <c r="E207" s="20">
        <f t="shared" si="122"/>
        <v>2078495.97</v>
      </c>
      <c r="F207" s="4">
        <f t="shared" si="49"/>
        <v>6.9871871317928047E-4</v>
      </c>
      <c r="G207" s="30">
        <v>-765.49</v>
      </c>
      <c r="H207">
        <v>0</v>
      </c>
      <c r="I207">
        <v>-765.49</v>
      </c>
      <c r="J207">
        <f>357.55+960</f>
        <v>1317.55</v>
      </c>
      <c r="K207" s="30">
        <f>915.205479452055-16</f>
        <v>899.20547945205499</v>
      </c>
      <c r="L207" s="18">
        <f t="shared" si="144"/>
        <v>1451.2654794520549</v>
      </c>
      <c r="M207" s="37">
        <f t="shared" si="145"/>
        <v>1451.2700000000186</v>
      </c>
      <c r="N207" s="17" t="s">
        <v>4378</v>
      </c>
      <c r="O207" s="41">
        <f ca="1">SUMIFS(Stock!$O:$O,Stock!$A:$A,'Asset Line A share'!$A207,Stock!$I:$I,O$2)</f>
        <v>79492</v>
      </c>
      <c r="P207" s="41">
        <f ca="1">SUMIFS(Stock!$O:$O,Stock!$A:$A,'Asset Line A share'!$A207,Stock!$I:$I,P$2)</f>
        <v>0</v>
      </c>
      <c r="Q207" s="40">
        <f t="shared" ca="1" si="140"/>
        <v>0</v>
      </c>
      <c r="R207" s="30"/>
      <c r="S207" s="41">
        <f t="shared" ref="S207" ca="1" si="175">+S206+O207-P207</f>
        <v>411455.59999999986</v>
      </c>
      <c r="T207" s="30">
        <v>2364570</v>
      </c>
      <c r="U207" s="20">
        <f t="shared" ref="U207:U208" si="176">T207/1.18+E207</f>
        <v>4082368.8513559322</v>
      </c>
      <c r="W207" s="4">
        <f t="shared" ref="W207" si="177">(U207-V207)/(U206)-1</f>
        <v>4.1067687990703483E-4</v>
      </c>
      <c r="X207" s="20">
        <f t="shared" ref="X207" si="178">(U207-V207)-(U206)</f>
        <v>1675.8462711866014</v>
      </c>
      <c r="Y207" s="17" t="s">
        <v>4379</v>
      </c>
      <c r="Z207" s="30">
        <f t="shared" ref="Z207:Z252" si="179">Z206*(1+W207)</f>
        <v>1.1357286337627879</v>
      </c>
      <c r="AA207" s="18">
        <f t="shared" si="81"/>
        <v>-1.1870751184057851</v>
      </c>
    </row>
    <row r="208" spans="1:27" x14ac:dyDescent="0.15">
      <c r="A208" s="1">
        <v>42982</v>
      </c>
      <c r="B208">
        <f t="shared" si="135"/>
        <v>1</v>
      </c>
      <c r="C208" s="30">
        <v>0</v>
      </c>
      <c r="D208" s="20">
        <v>2080758.5</v>
      </c>
      <c r="E208" s="20">
        <f t="shared" si="122"/>
        <v>2080758.5</v>
      </c>
      <c r="F208" s="4">
        <f t="shared" si="49"/>
        <v>1.0885419229367255E-3</v>
      </c>
      <c r="G208">
        <v>0</v>
      </c>
      <c r="H208">
        <v>0</v>
      </c>
      <c r="I208">
        <v>0</v>
      </c>
      <c r="J208">
        <f>1064.45+1060-16.88</f>
        <v>2107.5699999999997</v>
      </c>
      <c r="K208" s="30">
        <f>3.9*1600/36.5-16</f>
        <v>154.95890410958904</v>
      </c>
      <c r="L208" s="18">
        <f t="shared" si="144"/>
        <v>2262.5289041095889</v>
      </c>
      <c r="M208" s="37">
        <f t="shared" si="145"/>
        <v>2262.5300000000279</v>
      </c>
      <c r="N208" s="17" t="s">
        <v>4381</v>
      </c>
      <c r="O208" s="41">
        <f ca="1">SUMIFS(Stock!$O:$O,Stock!$A:$A,'Asset Line A share'!$A208,Stock!$I:$I,O$2)</f>
        <v>0</v>
      </c>
      <c r="P208" s="41">
        <f ca="1">SUMIFS(Stock!$O:$O,Stock!$A:$A,'Asset Line A share'!$A208,Stock!$I:$I,P$2)</f>
        <v>0</v>
      </c>
      <c r="Q208" s="40" t="str">
        <f t="shared" ca="1" si="140"/>
        <v/>
      </c>
      <c r="R208" s="30"/>
      <c r="S208" s="41">
        <f t="shared" ref="S208" ca="1" si="180">+S207+O208-P208</f>
        <v>411455.59999999986</v>
      </c>
      <c r="T208">
        <v>2364672</v>
      </c>
      <c r="U208" s="20">
        <f t="shared" si="176"/>
        <v>4084717.8220338984</v>
      </c>
      <c r="W208" s="4">
        <f t="shared" ref="W208" si="181">(U208-V208)/(U207)-1</f>
        <v>5.753940330956997E-4</v>
      </c>
      <c r="X208" s="20">
        <f t="shared" ref="X208" si="182">(U208-V208)-(U207)</f>
        <v>2348.970677966252</v>
      </c>
      <c r="Y208" s="17" t="s">
        <v>4380</v>
      </c>
      <c r="Z208" s="30">
        <f t="shared" si="179"/>
        <v>1.1363821252418709</v>
      </c>
      <c r="AA208" s="18">
        <f t="shared" si="81"/>
        <v>-1.1850011491614729</v>
      </c>
    </row>
    <row r="209" spans="1:27" ht="27" x14ac:dyDescent="0.15">
      <c r="A209" s="1">
        <v>42983</v>
      </c>
      <c r="B209">
        <f t="shared" si="135"/>
        <v>2</v>
      </c>
      <c r="C209" s="30">
        <v>0</v>
      </c>
      <c r="D209" s="20">
        <v>2080525.26</v>
      </c>
      <c r="E209" s="20">
        <f t="shared" si="122"/>
        <v>2080525.26</v>
      </c>
      <c r="F209" s="4">
        <f t="shared" si="49"/>
        <v>-1.1209373889375929E-4</v>
      </c>
      <c r="G209" s="30">
        <v>212.54</v>
      </c>
      <c r="H209">
        <v>212.54</v>
      </c>
      <c r="I209">
        <v>0</v>
      </c>
      <c r="J209">
        <v>-602.04999999999995</v>
      </c>
      <c r="K209" s="30">
        <f>1600*3.93/36.5-16</f>
        <v>156.27397260273972</v>
      </c>
      <c r="L209" s="18">
        <f t="shared" si="144"/>
        <v>-233.23602739726027</v>
      </c>
      <c r="M209" s="37">
        <f t="shared" si="145"/>
        <v>-233.23999999999069</v>
      </c>
      <c r="N209" s="17" t="s">
        <v>4383</v>
      </c>
      <c r="O209" s="41">
        <f ca="1">SUMIFS(Stock!$O:$O,Stock!$A:$A,'Asset Line A share'!$A209,Stock!$I:$I,O$2)</f>
        <v>37312</v>
      </c>
      <c r="P209" s="41">
        <f ca="1">SUMIFS(Stock!$O:$O,Stock!$A:$A,'Asset Line A share'!$A209,Stock!$I:$I,P$2)</f>
        <v>0</v>
      </c>
      <c r="Q209" s="40">
        <f t="shared" ca="1" si="140"/>
        <v>5.6962907375643227E-3</v>
      </c>
      <c r="R209" s="30"/>
      <c r="S209" s="41">
        <f t="shared" ref="S209" ca="1" si="183">+S208+O209-P209</f>
        <v>448767.59999999986</v>
      </c>
      <c r="T209" s="30">
        <v>2364368</v>
      </c>
      <c r="U209" s="20">
        <f t="shared" ref="U209" si="184">T209/1.18+E209</f>
        <v>4084226.9549152544</v>
      </c>
      <c r="W209" s="4">
        <f t="shared" ref="W209" si="185">(U209-V209)/(U208)-1</f>
        <v>-1.2017161038546664E-4</v>
      </c>
      <c r="X209" s="20">
        <f t="shared" ref="X209" si="186">(U209-V209)-(U208)</f>
        <v>-490.86711864406243</v>
      </c>
      <c r="Y209" s="17" t="s">
        <v>4384</v>
      </c>
      <c r="Z209" s="30">
        <f t="shared" si="179"/>
        <v>1.1362455643718674</v>
      </c>
      <c r="AA209" s="18">
        <f t="shared" si="81"/>
        <v>-1.2390358037294229</v>
      </c>
    </row>
    <row r="210" spans="1:27" x14ac:dyDescent="0.15">
      <c r="A210" s="1">
        <v>42984</v>
      </c>
      <c r="B210">
        <f t="shared" si="135"/>
        <v>3</v>
      </c>
      <c r="C210" s="30">
        <v>0</v>
      </c>
      <c r="D210" s="20">
        <v>2079850.8</v>
      </c>
      <c r="E210" s="20">
        <f t="shared" si="122"/>
        <v>2079850.8</v>
      </c>
      <c r="F210" s="4">
        <f t="shared" si="49"/>
        <v>-3.2417775115112235E-4</v>
      </c>
      <c r="G210" s="30">
        <v>-104.38</v>
      </c>
      <c r="H210" s="30">
        <v>-104.38</v>
      </c>
      <c r="I210">
        <v>0</v>
      </c>
      <c r="J210">
        <v>-717.05</v>
      </c>
      <c r="K210" s="30">
        <f>161.972602739726-15</f>
        <v>146.972602739726</v>
      </c>
      <c r="L210" s="18">
        <f t="shared" si="144"/>
        <v>-674.45739726027398</v>
      </c>
      <c r="M210" s="37">
        <f t="shared" si="145"/>
        <v>-674.45999999996275</v>
      </c>
      <c r="N210" s="17" t="s">
        <v>4387</v>
      </c>
      <c r="O210" s="41">
        <f ca="1">SUMIFS(Stock!$O:$O,Stock!$A:$A,'Asset Line A share'!$A210,Stock!$I:$I,O$2)</f>
        <v>88113</v>
      </c>
      <c r="P210" s="41">
        <f ca="1">SUMIFS(Stock!$O:$O,Stock!$A:$A,'Asset Line A share'!$A210,Stock!$I:$I,P$2)</f>
        <v>0</v>
      </c>
      <c r="Q210" s="40">
        <f t="shared" ca="1" si="140"/>
        <v>-1.1846152100144132E-3</v>
      </c>
      <c r="R210" s="30"/>
      <c r="S210" s="41">
        <f t="shared" ref="S210" ca="1" si="187">+S209+O210-P210</f>
        <v>536880.59999999986</v>
      </c>
      <c r="T210" s="30">
        <v>2364078</v>
      </c>
      <c r="U210" s="20">
        <f t="shared" ref="U210:U215" si="188">T210/1.18+E210</f>
        <v>4083306.73220339</v>
      </c>
      <c r="W210" s="4">
        <f t="shared" ref="W210" si="189">(U210-V210)/(U209)-1</f>
        <v>-2.2531135561820737E-4</v>
      </c>
      <c r="X210" s="20">
        <f t="shared" ref="X210" si="190">(U210-V210)-(U209)</f>
        <v>-920.2227118643932</v>
      </c>
      <c r="Y210" s="17" t="s">
        <v>4388</v>
      </c>
      <c r="Z210" s="30">
        <f t="shared" si="179"/>
        <v>1.1359895553434436</v>
      </c>
      <c r="AA210" s="18">
        <f t="shared" si="81"/>
        <v>0.40854003682704237</v>
      </c>
    </row>
    <row r="211" spans="1:27" x14ac:dyDescent="0.15">
      <c r="A211" s="1">
        <v>42985</v>
      </c>
      <c r="B211">
        <f t="shared" si="135"/>
        <v>4</v>
      </c>
      <c r="C211" s="30">
        <v>0</v>
      </c>
      <c r="D211" s="20">
        <v>2085062.74</v>
      </c>
      <c r="E211" s="20">
        <f t="shared" si="122"/>
        <v>2085062.74</v>
      </c>
      <c r="F211" s="4">
        <f t="shared" si="49"/>
        <v>2.5059201361943284E-3</v>
      </c>
      <c r="G211">
        <v>0</v>
      </c>
      <c r="H211">
        <v>0</v>
      </c>
      <c r="I211">
        <v>0</v>
      </c>
      <c r="J211" s="30">
        <f>+-764.5+5840</f>
        <v>5075.5</v>
      </c>
      <c r="K211" s="30">
        <f>151.44-15</f>
        <v>136.44</v>
      </c>
      <c r="L211" s="18">
        <f t="shared" si="144"/>
        <v>5211.9399999999996</v>
      </c>
      <c r="M211" s="37">
        <f t="shared" si="145"/>
        <v>5211.9399999999441</v>
      </c>
      <c r="N211" s="17" t="s">
        <v>4389</v>
      </c>
      <c r="O211" s="41">
        <f ca="1">SUMIFS(Stock!$O:$O,Stock!$A:$A,'Asset Line A share'!$A211,Stock!$I:$I,O$2)</f>
        <v>0</v>
      </c>
      <c r="P211" s="41">
        <f ca="1">SUMIFS(Stock!$O:$O,Stock!$A:$A,'Asset Line A share'!$A211,Stock!$I:$I,P$2)</f>
        <v>0</v>
      </c>
      <c r="Q211" s="40" t="str">
        <f t="shared" ca="1" si="140"/>
        <v/>
      </c>
      <c r="R211" s="30"/>
      <c r="S211" s="41">
        <f t="shared" ref="S211:S212" ca="1" si="191">+S210+O211-P211</f>
        <v>536880.59999999986</v>
      </c>
      <c r="T211">
        <v>2360755</v>
      </c>
      <c r="U211" s="20">
        <f t="shared" si="188"/>
        <v>4085702.5705084745</v>
      </c>
      <c r="W211" s="4">
        <f t="shared" ref="W211" si="192">(U211-V211)/(U210)-1</f>
        <v>5.8673973380196642E-4</v>
      </c>
      <c r="X211" s="20">
        <f t="shared" ref="X211" si="193">(U211-V211)-(U210)</f>
        <v>2395.8383050845005</v>
      </c>
      <c r="Y211" s="17" t="s">
        <v>4390</v>
      </c>
      <c r="Z211" s="30">
        <f t="shared" si="179"/>
        <v>1.1366560855527477</v>
      </c>
      <c r="AA211" s="18">
        <f t="shared" si="81"/>
        <v>0.79522546342386791</v>
      </c>
    </row>
    <row r="212" spans="1:27" x14ac:dyDescent="0.15">
      <c r="A212" s="1">
        <v>42986</v>
      </c>
      <c r="B212">
        <f t="shared" si="135"/>
        <v>5</v>
      </c>
      <c r="C212" s="30">
        <v>0</v>
      </c>
      <c r="D212" s="20">
        <v>2087455.66</v>
      </c>
      <c r="E212" s="20">
        <f t="shared" si="122"/>
        <v>2087455.66</v>
      </c>
      <c r="F212" s="4">
        <f t="shared" si="49"/>
        <v>1.1476489191879491E-3</v>
      </c>
      <c r="G212" s="30">
        <v>0</v>
      </c>
      <c r="H212" s="30">
        <v>0</v>
      </c>
      <c r="I212" s="30">
        <v>0</v>
      </c>
      <c r="J212">
        <f>52.85+1910</f>
        <v>1962.85</v>
      </c>
      <c r="K212" s="30">
        <f>445.07-15</f>
        <v>430.07</v>
      </c>
      <c r="L212" s="18">
        <f t="shared" si="144"/>
        <v>2392.92</v>
      </c>
      <c r="M212" s="37">
        <f t="shared" si="145"/>
        <v>2392.9199999999255</v>
      </c>
      <c r="N212" s="17" t="s">
        <v>4391</v>
      </c>
      <c r="O212" s="41">
        <f ca="1">SUMIFS(Stock!$O:$O,Stock!$A:$A,'Asset Line A share'!$A212,Stock!$I:$I,O$2)</f>
        <v>0</v>
      </c>
      <c r="P212" s="41">
        <f ca="1">SUMIFS(Stock!$O:$O,Stock!$A:$A,'Asset Line A share'!$A212,Stock!$I:$I,P$2)</f>
        <v>0</v>
      </c>
      <c r="Q212" s="40" t="str">
        <f t="shared" ca="1" si="140"/>
        <v/>
      </c>
      <c r="R212" s="30"/>
      <c r="S212" s="41">
        <f t="shared" ca="1" si="191"/>
        <v>536880.59999999986</v>
      </c>
      <c r="T212">
        <v>2358711</v>
      </c>
      <c r="U212" s="20">
        <f t="shared" si="188"/>
        <v>4086363.287118644</v>
      </c>
      <c r="W212" s="4">
        <f t="shared" ref="W212" si="194">(U212-V212)/(U211)-1</f>
        <v>1.617143193286541E-4</v>
      </c>
      <c r="X212" s="20">
        <f t="shared" ref="X212" si="195">(U212-V212)-(U211)</f>
        <v>660.71661016950384</v>
      </c>
      <c r="Y212" s="17" t="s">
        <v>4392</v>
      </c>
      <c r="Z212" s="30">
        <f t="shared" si="179"/>
        <v>1.1368398991179336</v>
      </c>
      <c r="AA212" s="18">
        <f t="shared" si="81"/>
        <v>7.6547525227081374</v>
      </c>
    </row>
    <row r="213" spans="1:27" x14ac:dyDescent="0.15">
      <c r="A213" s="1">
        <v>42989</v>
      </c>
      <c r="B213">
        <f t="shared" si="135"/>
        <v>1</v>
      </c>
      <c r="C213" s="30">
        <v>0</v>
      </c>
      <c r="D213" s="20">
        <v>2097262.2999999998</v>
      </c>
      <c r="E213" s="20">
        <f t="shared" si="122"/>
        <v>2097262.2999999998</v>
      </c>
      <c r="F213" s="4">
        <f t="shared" si="49"/>
        <v>4.6978914033555252E-3</v>
      </c>
      <c r="G213" s="30">
        <v>671.63</v>
      </c>
      <c r="H213" s="30">
        <v>671.63</v>
      </c>
      <c r="I213" s="30">
        <v>0</v>
      </c>
      <c r="J213">
        <f>1464.15+2100+5440</f>
        <v>9004.15</v>
      </c>
      <c r="K213" s="30">
        <f>144.657534246575-14</f>
        <v>130.65753424657501</v>
      </c>
      <c r="L213" s="18">
        <f t="shared" si="144"/>
        <v>9806.4375342465737</v>
      </c>
      <c r="M213" s="37">
        <f t="shared" si="145"/>
        <v>9806.6399999998976</v>
      </c>
      <c r="O213" s="41">
        <f ca="1">SUMIFS(Stock!$O:$O,Stock!$A:$A,'Asset Line A share'!$A213,Stock!$I:$I,O$2)</f>
        <v>47150</v>
      </c>
      <c r="P213" s="41">
        <f ca="1">SUMIFS(Stock!$O:$O,Stock!$A:$A,'Asset Line A share'!$A213,Stock!$I:$I,P$2)</f>
        <v>0</v>
      </c>
      <c r="Q213" s="40">
        <f t="shared" ca="1" si="140"/>
        <v>1.4244538706256627E-2</v>
      </c>
      <c r="R213" s="30"/>
      <c r="S213" s="41">
        <f t="shared" ref="S213" ca="1" si="196">+S212+O213-P213</f>
        <v>584030.59999999986</v>
      </c>
      <c r="T213">
        <v>2359076</v>
      </c>
      <c r="U213" s="20">
        <f t="shared" si="188"/>
        <v>4096479.2491525421</v>
      </c>
      <c r="W213" s="4">
        <f t="shared" ref="W213" si="197">(U213-V213)/(U212)-1</f>
        <v>2.4755415324395624E-3</v>
      </c>
      <c r="X213" s="20">
        <f t="shared" ref="X213" si="198">(U213-V213)-(U212)</f>
        <v>10115.962033898104</v>
      </c>
      <c r="Y213" s="17" t="s">
        <v>4393</v>
      </c>
      <c r="Z213" s="30">
        <f t="shared" si="179"/>
        <v>1.1396541935039344</v>
      </c>
      <c r="AA213" s="18">
        <f t="shared" si="81"/>
        <v>8.8009175016377927</v>
      </c>
    </row>
    <row r="214" spans="1:27" x14ac:dyDescent="0.15">
      <c r="A214" s="1">
        <v>42990</v>
      </c>
      <c r="B214">
        <f t="shared" si="135"/>
        <v>2</v>
      </c>
      <c r="C214" s="30">
        <v>0</v>
      </c>
      <c r="D214" s="20">
        <v>2104071</v>
      </c>
      <c r="E214" s="20">
        <f t="shared" si="122"/>
        <v>2104071</v>
      </c>
      <c r="F214" s="4">
        <f t="shared" si="49"/>
        <v>3.246470410496638E-3</v>
      </c>
      <c r="G214" s="30">
        <v>0</v>
      </c>
      <c r="H214">
        <v>0</v>
      </c>
      <c r="I214">
        <v>0</v>
      </c>
      <c r="J214">
        <f>2590.4+1780+2310</f>
        <v>6680.4</v>
      </c>
      <c r="K214" s="30">
        <f>142.3-14</f>
        <v>128.30000000000001</v>
      </c>
      <c r="L214" s="18">
        <f t="shared" ref="L214:L219" si="199">G214+J214+K214</f>
        <v>6808.7</v>
      </c>
      <c r="M214" s="37">
        <f t="shared" si="145"/>
        <v>6808.7000000001863</v>
      </c>
      <c r="N214" s="17" t="s">
        <v>4394</v>
      </c>
      <c r="O214" s="41">
        <f ca="1">SUMIFS(Stock!$O:$O,Stock!$A:$A,'Asset Line A share'!$A214,Stock!$I:$I,O$2)</f>
        <v>0</v>
      </c>
      <c r="P214" s="41">
        <f ca="1">SUMIFS(Stock!$O:$O,Stock!$A:$A,'Asset Line A share'!$A214,Stock!$I:$I,P$2)</f>
        <v>0</v>
      </c>
      <c r="Q214" s="40" t="str">
        <f t="shared" ca="1" si="140"/>
        <v/>
      </c>
      <c r="R214" s="30"/>
      <c r="S214" s="41">
        <f t="shared" ref="S214" ca="1" si="200">+S213+O214-P214</f>
        <v>584030.59999999986</v>
      </c>
      <c r="T214">
        <v>2360678</v>
      </c>
      <c r="U214" s="20">
        <f t="shared" si="188"/>
        <v>4104645.5762711866</v>
      </c>
      <c r="W214" s="4">
        <f t="shared" ref="W214:W215" si="201">(U214-V214)/(U213)-1</f>
        <v>1.9934989589740493E-3</v>
      </c>
      <c r="X214" s="20">
        <f t="shared" ref="X214:X215" si="202">(U214-V214)-(U213)</f>
        <v>8166.3271186444908</v>
      </c>
      <c r="Y214" s="17" t="s">
        <v>4395</v>
      </c>
      <c r="Z214" s="30">
        <f t="shared" si="179"/>
        <v>1.141926092952275</v>
      </c>
      <c r="AA214" s="18">
        <f t="shared" si="81"/>
        <v>9.8946567521571378</v>
      </c>
    </row>
    <row r="215" spans="1:27" x14ac:dyDescent="0.15">
      <c r="A215" s="1">
        <v>42991</v>
      </c>
      <c r="B215">
        <f t="shared" si="135"/>
        <v>3</v>
      </c>
      <c r="C215" s="30">
        <v>0</v>
      </c>
      <c r="D215" s="20">
        <v>2111338.02</v>
      </c>
      <c r="E215" s="20">
        <f t="shared" si="122"/>
        <v>2111338.02</v>
      </c>
      <c r="F215" s="4">
        <f t="shared" si="49"/>
        <v>3.4537902950992905E-3</v>
      </c>
      <c r="G215" s="30">
        <v>0</v>
      </c>
      <c r="H215" s="30">
        <v>0</v>
      </c>
      <c r="I215" s="30">
        <v>0</v>
      </c>
      <c r="J215">
        <f>2607.65+1960+2540</f>
        <v>7107.65</v>
      </c>
      <c r="K215" s="30">
        <f>4.52*1400/36.5-14</f>
        <v>159.36986301369859</v>
      </c>
      <c r="L215" s="18">
        <f t="shared" si="199"/>
        <v>7267.0198630136983</v>
      </c>
      <c r="M215" s="37">
        <f t="shared" si="145"/>
        <v>7267.0200000000186</v>
      </c>
      <c r="N215" s="17" t="s">
        <v>4396</v>
      </c>
      <c r="O215" s="41">
        <f ca="1">SUMIFS(Stock!$O:$O,Stock!$A:$A,'Asset Line A share'!$A215,Stock!$I:$I,O$2)</f>
        <v>0</v>
      </c>
      <c r="P215" s="41">
        <f ca="1">SUMIFS(Stock!$O:$O,Stock!$A:$A,'Asset Line A share'!$A215,Stock!$I:$I,P$2)</f>
        <v>0</v>
      </c>
      <c r="Q215" s="40" t="str">
        <f t="shared" ca="1" si="140"/>
        <v/>
      </c>
      <c r="R215" s="30"/>
      <c r="S215" s="41">
        <f t="shared" ref="S215" ca="1" si="203">+S214+O215-P215</f>
        <v>584030.59999999986</v>
      </c>
      <c r="T215">
        <v>2359221</v>
      </c>
      <c r="U215" s="20">
        <f t="shared" si="188"/>
        <v>4110677.8505084747</v>
      </c>
      <c r="W215" s="4">
        <f t="shared" si="201"/>
        <v>1.4696212194691416E-3</v>
      </c>
      <c r="X215" s="20">
        <f t="shared" si="202"/>
        <v>6032.2742372881621</v>
      </c>
      <c r="Z215" s="30">
        <f t="shared" si="179"/>
        <v>1.143604291769543</v>
      </c>
      <c r="AA215" s="18">
        <f t="shared" si="81"/>
        <v>9.9963661268174846</v>
      </c>
    </row>
    <row r="216" spans="1:27" x14ac:dyDescent="0.15">
      <c r="A216" s="1">
        <v>42992</v>
      </c>
      <c r="B216">
        <f t="shared" si="135"/>
        <v>4</v>
      </c>
      <c r="C216" s="30">
        <v>0</v>
      </c>
      <c r="D216" s="20">
        <v>2112166.2999999998</v>
      </c>
      <c r="E216" s="20">
        <f t="shared" si="122"/>
        <v>2112166.2999999998</v>
      </c>
      <c r="F216" s="4">
        <f t="shared" si="49"/>
        <v>3.923009921451559E-4</v>
      </c>
      <c r="G216" s="30">
        <v>0</v>
      </c>
      <c r="H216" s="30">
        <v>0</v>
      </c>
      <c r="I216" s="30">
        <v>0</v>
      </c>
      <c r="J216">
        <f>+-4289.75+2800+2160</f>
        <v>670.25</v>
      </c>
      <c r="K216" s="30">
        <f>4.485*1400/36.5-14</f>
        <v>158.02739726027397</v>
      </c>
      <c r="L216" s="18">
        <f t="shared" si="199"/>
        <v>828.27739726027403</v>
      </c>
      <c r="M216" s="37">
        <f t="shared" ref="M216" si="204">+E216-E215</f>
        <v>828.27999999979511</v>
      </c>
      <c r="N216" s="17" t="s">
        <v>4397</v>
      </c>
      <c r="O216" s="41">
        <f ca="1">SUMIFS(Stock!$O:$O,Stock!$A:$A,'Asset Line A share'!$A216,Stock!$I:$I,O$2)</f>
        <v>0</v>
      </c>
      <c r="P216" s="41">
        <f ca="1">SUMIFS(Stock!$O:$O,Stock!$A:$A,'Asset Line A share'!$A216,Stock!$I:$I,P$2)</f>
        <v>0</v>
      </c>
      <c r="Q216" s="40" t="str">
        <f t="shared" ca="1" si="140"/>
        <v/>
      </c>
      <c r="R216" s="30"/>
      <c r="S216" s="41">
        <f t="shared" ref="S216" ca="1" si="205">+S215+O216-P216</f>
        <v>584030.59999999986</v>
      </c>
      <c r="T216" s="30">
        <v>2357578</v>
      </c>
      <c r="U216" s="20">
        <f t="shared" ref="U216" si="206">T216/1.18+E216</f>
        <v>4110113.7576271184</v>
      </c>
      <c r="W216" s="4">
        <f t="shared" ref="W216" si="207">(U216-V216)/(U215)-1</f>
        <v>-1.3722624391176996E-4</v>
      </c>
      <c r="X216" s="20">
        <f t="shared" ref="X216" si="208">(U216-V216)-(U215)</f>
        <v>-564.09288135636598</v>
      </c>
      <c r="Y216" s="17" t="s">
        <v>4398</v>
      </c>
      <c r="Z216" s="30">
        <f t="shared" si="179"/>
        <v>1.1434473592480621</v>
      </c>
      <c r="AA216" s="18">
        <f t="shared" si="81"/>
        <v>9.7935093616471889</v>
      </c>
    </row>
    <row r="217" spans="1:27" ht="54" x14ac:dyDescent="0.15">
      <c r="A217" s="1">
        <v>42993</v>
      </c>
      <c r="B217">
        <f t="shared" si="135"/>
        <v>5</v>
      </c>
      <c r="C217" s="30">
        <v>0</v>
      </c>
      <c r="D217" s="20">
        <v>2115496.2400000002</v>
      </c>
      <c r="E217" s="20">
        <f t="shared" si="122"/>
        <v>2115496.2400000002</v>
      </c>
      <c r="F217" s="4">
        <f t="shared" si="49"/>
        <v>1.5765519978234721E-3</v>
      </c>
      <c r="G217" s="30">
        <v>-8.61</v>
      </c>
      <c r="H217" s="30">
        <v>-8.61</v>
      </c>
      <c r="I217" s="30">
        <v>0</v>
      </c>
      <c r="J217">
        <f>+-2594.55+2370+3080</f>
        <v>2855.45</v>
      </c>
      <c r="K217" s="30">
        <f>497.095890410959-14</f>
        <v>483.09589041095899</v>
      </c>
      <c r="L217" s="18">
        <f t="shared" si="199"/>
        <v>3329.9358904109586</v>
      </c>
      <c r="M217" s="37">
        <f t="shared" ref="M217" si="209">+E217-E216</f>
        <v>3329.9400000004098</v>
      </c>
      <c r="N217" s="17" t="s">
        <v>4401</v>
      </c>
      <c r="O217" s="41">
        <f ca="1">SUMIFS(Stock!$O:$O,Stock!$A:$A,'Asset Line A share'!$A217,Stock!$I:$I,O$2)</f>
        <v>39130</v>
      </c>
      <c r="P217" s="41">
        <f ca="1">SUMIFS(Stock!$O:$O,Stock!$A:$A,'Asset Line A share'!$A217,Stock!$I:$I,P$2)</f>
        <v>0</v>
      </c>
      <c r="Q217" s="40">
        <f t="shared" ca="1" si="140"/>
        <v>-2.2003577817531305E-4</v>
      </c>
      <c r="R217" s="30"/>
      <c r="S217" s="41">
        <f t="shared" ref="S217" ca="1" si="210">+S216+O217-P217</f>
        <v>623160.59999999986</v>
      </c>
      <c r="T217" s="30">
        <v>2357254</v>
      </c>
      <c r="U217" s="20">
        <f t="shared" ref="U217:U227" si="211">T217/1.18+E217</f>
        <v>4113169.1213559322</v>
      </c>
      <c r="W217" s="4">
        <f t="shared" ref="W217" si="212">(U217-V217)/(U216)-1</f>
        <v>7.4337692555204171E-4</v>
      </c>
      <c r="X217" s="20">
        <f t="shared" ref="X217" si="213">(U217-V217)-(U216)</f>
        <v>3055.363728813827</v>
      </c>
      <c r="Y217" s="17" t="s">
        <v>4402</v>
      </c>
      <c r="Z217" s="30">
        <f t="shared" si="179"/>
        <v>1.1442973716305105</v>
      </c>
      <c r="AA217" s="18">
        <f t="shared" si="81"/>
        <v>9.8132271646624183</v>
      </c>
    </row>
    <row r="218" spans="1:27" ht="27" x14ac:dyDescent="0.15">
      <c r="A218" s="1">
        <v>42996</v>
      </c>
      <c r="B218">
        <f t="shared" si="135"/>
        <v>1</v>
      </c>
      <c r="C218" s="30">
        <v>0</v>
      </c>
      <c r="D218" s="20">
        <v>2122706.56</v>
      </c>
      <c r="E218" s="20">
        <f t="shared" si="122"/>
        <v>2122706.56</v>
      </c>
      <c r="F218" s="4">
        <f t="shared" si="49"/>
        <v>3.4083350580664806E-3</v>
      </c>
      <c r="G218">
        <v>361.16</v>
      </c>
      <c r="H218" s="30">
        <v>361.16</v>
      </c>
      <c r="I218">
        <v>0</v>
      </c>
      <c r="J218">
        <f>1594.4+3344.57+1765.99</f>
        <v>6704.96</v>
      </c>
      <c r="K218" s="30">
        <f>4.125*1400/36.5-14</f>
        <v>144.21917808219177</v>
      </c>
      <c r="L218" s="18">
        <f t="shared" si="199"/>
        <v>7210.3391780821912</v>
      </c>
      <c r="M218" s="37">
        <f t="shared" ref="M218:M219" si="214">+E218-E217</f>
        <v>7210.3199999998324</v>
      </c>
      <c r="N218" s="17" t="s">
        <v>4412</v>
      </c>
      <c r="O218" s="41">
        <f ca="1">SUMIFS(Stock!$O:$O,Stock!$A:$A,'Asset Line A share'!$A218,Stock!$I:$I,O$2)</f>
        <v>83334</v>
      </c>
      <c r="P218" s="41">
        <f ca="1">SUMIFS(Stock!$O:$O,Stock!$A:$A,'Asset Line A share'!$A218,Stock!$I:$I,P$2)</f>
        <v>0</v>
      </c>
      <c r="Q218" s="40">
        <f t="shared" ca="1" si="140"/>
        <v>4.333885328917369E-3</v>
      </c>
      <c r="R218" s="30"/>
      <c r="S218" s="41">
        <f t="shared" ref="S218" ca="1" si="215">+S217+O218-P218</f>
        <v>706494.59999999986</v>
      </c>
      <c r="T218">
        <v>2359300</v>
      </c>
      <c r="U218" s="20">
        <f t="shared" si="211"/>
        <v>4122113.3396610171</v>
      </c>
      <c r="W218" s="4">
        <f t="shared" ref="W218" si="216">(U218-V218)/(U217)-1</f>
        <v>2.1745321043682431E-3</v>
      </c>
      <c r="X218" s="20">
        <f t="shared" ref="X218" si="217">(U218-V218)-(U217)</f>
        <v>8944.2183050848544</v>
      </c>
      <c r="Y218" s="17" t="s">
        <v>4411</v>
      </c>
      <c r="Z218" s="30">
        <f t="shared" si="179"/>
        <v>1.1467856830020653</v>
      </c>
      <c r="AA218" s="18">
        <f t="shared" si="81"/>
        <v>9.7500415270865517</v>
      </c>
    </row>
    <row r="219" spans="1:27" x14ac:dyDescent="0.15">
      <c r="A219" s="1">
        <v>42997</v>
      </c>
      <c r="B219">
        <f t="shared" si="135"/>
        <v>2</v>
      </c>
      <c r="C219" s="30">
        <v>0</v>
      </c>
      <c r="D219" s="20">
        <v>2121586.19</v>
      </c>
      <c r="E219" s="20">
        <f t="shared" si="122"/>
        <v>2121586.19</v>
      </c>
      <c r="F219" s="4">
        <f t="shared" si="49"/>
        <v>-5.278025804942299E-4</v>
      </c>
      <c r="G219">
        <v>-353</v>
      </c>
      <c r="H219">
        <v>0</v>
      </c>
      <c r="I219">
        <v>-353</v>
      </c>
      <c r="J219">
        <v>-912.55</v>
      </c>
      <c r="K219" s="30">
        <f>1400*4.15/36.5-14</f>
        <v>145.17808219178085</v>
      </c>
      <c r="L219" s="18">
        <f t="shared" si="199"/>
        <v>-1120.3719178082192</v>
      </c>
      <c r="M219" s="37">
        <f t="shared" si="214"/>
        <v>-1120.3700000001118</v>
      </c>
      <c r="N219" s="17" t="s">
        <v>4413</v>
      </c>
      <c r="O219" s="41">
        <f ca="1">SUMIFS(Stock!$O:$O,Stock!$A:$A,'Asset Line A share'!$A219,Stock!$I:$I,O$2)</f>
        <v>21792</v>
      </c>
      <c r="P219" s="41">
        <f ca="1">SUMIFS(Stock!$O:$O,Stock!$A:$A,'Asset Line A share'!$A219,Stock!$I:$I,P$2)</f>
        <v>0</v>
      </c>
      <c r="Q219" s="40">
        <f t="shared" ca="1" si="140"/>
        <v>0</v>
      </c>
      <c r="R219" s="30"/>
      <c r="S219" s="41">
        <f t="shared" ref="S219" ca="1" si="218">+S218+O219-P219</f>
        <v>728286.59999999986</v>
      </c>
      <c r="T219">
        <v>2354269</v>
      </c>
      <c r="U219" s="20">
        <f t="shared" si="211"/>
        <v>4116729.4103389829</v>
      </c>
      <c r="W219" s="4">
        <f t="shared" ref="W219" si="219">(U219-V219)/(U218)-1</f>
        <v>-1.306108997594202E-3</v>
      </c>
      <c r="X219" s="20">
        <f t="shared" ref="X219" si="220">(U219-V219)-(U218)</f>
        <v>-5383.9293220341206</v>
      </c>
      <c r="Y219" s="17" t="s">
        <v>4414</v>
      </c>
      <c r="Z219" s="30">
        <f t="shared" si="179"/>
        <v>1.145287855903184</v>
      </c>
      <c r="AA219" s="18">
        <f t="shared" ref="AA219:AA255" si="221">AVERAGE(W200:W219)/STDEV(W200:W219)*SQRT(252)</f>
        <v>8.228581366843752</v>
      </c>
    </row>
    <row r="220" spans="1:27" ht="27" x14ac:dyDescent="0.15">
      <c r="A220" s="1">
        <v>42998</v>
      </c>
      <c r="B220">
        <f t="shared" si="135"/>
        <v>3</v>
      </c>
      <c r="C220" s="30">
        <v>0</v>
      </c>
      <c r="D220" s="20">
        <v>2122455.06</v>
      </c>
      <c r="E220" s="20">
        <f t="shared" si="122"/>
        <v>2122455.06</v>
      </c>
      <c r="F220" s="4">
        <f t="shared" si="49"/>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0"/>
        <v>-2.0431423733596729E-2</v>
      </c>
      <c r="R220" s="30"/>
      <c r="S220" s="41">
        <f t="shared" ref="S220" ca="1" si="222">+S219+O220-P220</f>
        <v>784982.59999999986</v>
      </c>
      <c r="T220">
        <v>2354799</v>
      </c>
      <c r="U220" s="20">
        <f t="shared" si="211"/>
        <v>4118047.4328813562</v>
      </c>
      <c r="W220" s="4">
        <f t="shared" ref="W220" si="223">(U220-V220)/(U219)-1</f>
        <v>3.2016253948174977E-4</v>
      </c>
      <c r="X220" s="20">
        <f t="shared" ref="X220" si="224">(U220-V220)-(U219)</f>
        <v>1318.0225423732772</v>
      </c>
      <c r="Y220" s="17" t="s">
        <v>4416</v>
      </c>
      <c r="Z220" s="30">
        <f t="shared" si="179"/>
        <v>1.1456545341715676</v>
      </c>
      <c r="AA220" s="18">
        <f t="shared" si="221"/>
        <v>7.9842696159373574</v>
      </c>
    </row>
    <row r="221" spans="1:27" x14ac:dyDescent="0.15">
      <c r="A221" s="1">
        <v>42999</v>
      </c>
      <c r="B221">
        <f t="shared" si="135"/>
        <v>4</v>
      </c>
      <c r="C221" s="30">
        <v>0</v>
      </c>
      <c r="D221" s="20">
        <v>2128339.1</v>
      </c>
      <c r="E221" s="20">
        <f t="shared" si="122"/>
        <v>2128339.1</v>
      </c>
      <c r="F221" s="4">
        <f t="shared" si="49"/>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0"/>
        <v>-1.4568332115899849E-2</v>
      </c>
      <c r="R221" s="30"/>
      <c r="S221" s="41">
        <f t="shared" ref="S221" ca="1" si="225">+S220+O221-P221</f>
        <v>801410.59999999986</v>
      </c>
      <c r="T221">
        <v>2358037</v>
      </c>
      <c r="U221" s="20">
        <f t="shared" si="211"/>
        <v>4126675.5406779665</v>
      </c>
      <c r="W221" s="4">
        <f t="shared" ref="W221" si="226">(U221-V221)/(U220)-1</f>
        <v>2.0951938842952433E-3</v>
      </c>
      <c r="X221" s="20">
        <f t="shared" ref="X221" si="227">(U221-V221)-(U220)</f>
        <v>8628.107796610333</v>
      </c>
      <c r="Y221" s="17" t="s">
        <v>4419</v>
      </c>
      <c r="Z221" s="30">
        <f t="shared" si="179"/>
        <v>1.148054902545079</v>
      </c>
      <c r="AA221" s="18">
        <f t="shared" si="221"/>
        <v>9.0075612294738647</v>
      </c>
    </row>
    <row r="222" spans="1:27" x14ac:dyDescent="0.15">
      <c r="A222" s="1">
        <v>43000</v>
      </c>
      <c r="B222">
        <f t="shared" si="135"/>
        <v>5</v>
      </c>
      <c r="C222" s="30">
        <v>0</v>
      </c>
      <c r="D222" s="20">
        <v>2132264.42</v>
      </c>
      <c r="E222" s="20">
        <f t="shared" si="122"/>
        <v>2132264.42</v>
      </c>
      <c r="F222" s="4">
        <f t="shared" si="49"/>
        <v>1.8443113693678015E-3</v>
      </c>
      <c r="G222">
        <v>0</v>
      </c>
      <c r="H222">
        <v>0</v>
      </c>
      <c r="I222">
        <v>0</v>
      </c>
      <c r="J222">
        <v>3440.45</v>
      </c>
      <c r="K222" s="30">
        <f>4.66*1300/36.5*3-13</f>
        <v>484.91780821917808</v>
      </c>
      <c r="L222" s="18">
        <f t="shared" ref="L222:L223" si="228">G222+J222+K222</f>
        <v>3925.3678082191777</v>
      </c>
      <c r="M222" s="37">
        <f t="shared" ref="M222:M223" si="229">+E222-E221</f>
        <v>3925.3199999998324</v>
      </c>
      <c r="N222" s="17" t="s">
        <v>4421</v>
      </c>
      <c r="O222" s="41">
        <f ca="1">SUMIFS(Stock!$O:$O,Stock!$A:$A,'Asset Line A share'!$A222,Stock!$I:$I,O$2)</f>
        <v>0</v>
      </c>
      <c r="P222" s="41">
        <f ca="1">SUMIFS(Stock!$O:$O,Stock!$A:$A,'Asset Line A share'!$A222,Stock!$I:$I,P$2)</f>
        <v>0</v>
      </c>
      <c r="Q222" s="40" t="str">
        <f t="shared" ca="1" si="140"/>
        <v/>
      </c>
      <c r="R222" s="30"/>
      <c r="S222" s="41">
        <f t="shared" ref="S222:S224" ca="1" si="230">+S221+O222-P222</f>
        <v>801410.59999999986</v>
      </c>
      <c r="T222">
        <v>2357614</v>
      </c>
      <c r="U222" s="20">
        <f t="shared" si="211"/>
        <v>4130242.3861016948</v>
      </c>
      <c r="W222" s="4">
        <f t="shared" ref="W222" si="231">(U222-V222)/(U221)-1</f>
        <v>8.6433871249846916E-4</v>
      </c>
      <c r="X222" s="20">
        <f t="shared" ref="X222" si="232">(U222-V222)-(U221)</f>
        <v>3566.8454237282276</v>
      </c>
      <c r="Y222" s="17" t="s">
        <v>4422</v>
      </c>
      <c r="Z222" s="30">
        <f t="shared" si="179"/>
        <v>1.1490472108414225</v>
      </c>
      <c r="AA222" s="18">
        <f t="shared" si="221"/>
        <v>9.0446054571344341</v>
      </c>
    </row>
    <row r="223" spans="1:27" x14ac:dyDescent="0.15">
      <c r="A223" s="1">
        <v>43003</v>
      </c>
      <c r="B223">
        <f t="shared" si="135"/>
        <v>1</v>
      </c>
      <c r="C223" s="30">
        <v>0</v>
      </c>
      <c r="D223" s="20">
        <v>2137327.2200000002</v>
      </c>
      <c r="E223" s="20">
        <f t="shared" si="122"/>
        <v>2137327.2200000002</v>
      </c>
      <c r="F223" s="4">
        <f t="shared" si="49"/>
        <v>2.3743771891107102E-3</v>
      </c>
      <c r="G223">
        <v>150</v>
      </c>
      <c r="H223">
        <v>0</v>
      </c>
      <c r="I223">
        <v>0</v>
      </c>
      <c r="J223">
        <v>4751.1000000000004</v>
      </c>
      <c r="K223" s="30">
        <f>4.905*1300/36.5-13</f>
        <v>161.69863013698631</v>
      </c>
      <c r="L223" s="18">
        <f t="shared" si="228"/>
        <v>5062.7986301369865</v>
      </c>
      <c r="M223" s="37">
        <f t="shared" si="229"/>
        <v>5062.8000000002794</v>
      </c>
      <c r="N223" s="17" t="s">
        <v>4424</v>
      </c>
      <c r="O223" s="41">
        <f ca="1">SUMIFS(Stock!$O:$O,Stock!$A:$A,'Asset Line A share'!$A223,Stock!$I:$I,O$2)</f>
        <v>15785</v>
      </c>
      <c r="P223" s="41">
        <f ca="1">SUMIFS(Stock!$O:$O,Stock!$A:$A,'Asset Line A share'!$A223,Stock!$I:$I,P$2)</f>
        <v>0</v>
      </c>
      <c r="Q223" s="40">
        <f t="shared" ca="1" si="140"/>
        <v>0</v>
      </c>
      <c r="R223" s="30"/>
      <c r="S223" s="41">
        <f t="shared" ca="1" si="230"/>
        <v>817195.59999999986</v>
      </c>
      <c r="T223">
        <v>2356736</v>
      </c>
      <c r="U223" s="20">
        <f t="shared" si="211"/>
        <v>4134561.1183050852</v>
      </c>
      <c r="W223" s="4">
        <f t="shared" ref="W223" si="233">(U223-V223)/(U222)-1</f>
        <v>1.0456365025750536E-3</v>
      </c>
      <c r="X223" s="20">
        <f t="shared" ref="X223" si="234">(U223-V223)-(U222)</f>
        <v>4318.7322033904493</v>
      </c>
      <c r="Y223" s="17" t="s">
        <v>4423</v>
      </c>
      <c r="Z223" s="30">
        <f t="shared" si="179"/>
        <v>1.1502486965482603</v>
      </c>
      <c r="AA223" s="18">
        <f t="shared" si="221"/>
        <v>10.177501053597943</v>
      </c>
    </row>
    <row r="224" spans="1:27" ht="40.5" x14ac:dyDescent="0.15">
      <c r="A224" s="1">
        <v>43004</v>
      </c>
      <c r="B224">
        <f t="shared" si="135"/>
        <v>2</v>
      </c>
      <c r="C224" s="30">
        <v>0</v>
      </c>
      <c r="D224" s="20">
        <v>2134791.75</v>
      </c>
      <c r="E224" s="20">
        <f t="shared" si="122"/>
        <v>2134791.75</v>
      </c>
      <c r="F224" s="4">
        <f t="shared" si="49"/>
        <v>-1.1862806856500763E-3</v>
      </c>
      <c r="G224">
        <v>0</v>
      </c>
      <c r="H224">
        <v>0</v>
      </c>
      <c r="I224">
        <v>0</v>
      </c>
      <c r="J224">
        <v>-2706.25</v>
      </c>
      <c r="K224" s="30">
        <f>1300*5.16/36.5-13</f>
        <v>170.78082191780823</v>
      </c>
      <c r="L224" s="18">
        <f>G224+J224+K224</f>
        <v>-2535.4691780821918</v>
      </c>
      <c r="M224" s="37">
        <f t="shared" ref="M224:M225" si="235">+E224-E223</f>
        <v>-2535.4700000002049</v>
      </c>
      <c r="N224" s="17" t="s">
        <v>4426</v>
      </c>
      <c r="O224" s="41">
        <f ca="1">SUMIFS(Stock!$O:$O,Stock!$A:$A,'Asset Line A share'!$A224,Stock!$I:$I,O$2)</f>
        <v>0</v>
      </c>
      <c r="P224" s="41">
        <f ca="1">SUMIFS(Stock!$O:$O,Stock!$A:$A,'Asset Line A share'!$A224,Stock!$I:$I,P$2)</f>
        <v>0</v>
      </c>
      <c r="Q224" s="40" t="str">
        <f t="shared" ca="1" si="140"/>
        <v/>
      </c>
      <c r="R224" s="30"/>
      <c r="S224" s="41">
        <f t="shared" ca="1" si="230"/>
        <v>817195.59999999986</v>
      </c>
      <c r="T224">
        <v>2358570</v>
      </c>
      <c r="U224" s="20">
        <f t="shared" si="211"/>
        <v>4133579.8855932206</v>
      </c>
      <c r="W224" s="4">
        <f t="shared" ref="W224" si="236">(U224-V224)/(U223)-1</f>
        <v>-2.3732451493352347E-4</v>
      </c>
      <c r="X224" s="20">
        <f t="shared" ref="X224" si="237">(U224-V224)-(U223)</f>
        <v>-981.23271186463535</v>
      </c>
      <c r="Y224" s="17" t="s">
        <v>4425</v>
      </c>
      <c r="Z224" s="30">
        <f t="shared" si="179"/>
        <v>1.149975714334299</v>
      </c>
      <c r="AA224" s="18">
        <f t="shared" si="221"/>
        <v>9.3357330902804314</v>
      </c>
    </row>
    <row r="225" spans="1:27" x14ac:dyDescent="0.15">
      <c r="A225" s="1">
        <v>43005</v>
      </c>
      <c r="B225">
        <f t="shared" si="135"/>
        <v>3</v>
      </c>
      <c r="C225" s="30">
        <v>0</v>
      </c>
      <c r="D225" s="20">
        <v>2136907.96</v>
      </c>
      <c r="E225" s="20">
        <f t="shared" si="122"/>
        <v>2136907.96</v>
      </c>
      <c r="F225" s="4">
        <f t="shared" si="49"/>
        <v>9.9129575519474322E-4</v>
      </c>
      <c r="G225">
        <v>-313</v>
      </c>
      <c r="H225" s="30">
        <v>-313</v>
      </c>
      <c r="I225">
        <v>0</v>
      </c>
      <c r="J225">
        <v>2242.0500000000002</v>
      </c>
      <c r="K225" s="30">
        <f>5.62*1300/36.5-13</f>
        <v>187.16438356164383</v>
      </c>
      <c r="L225" s="18">
        <f>G225+J225+K225</f>
        <v>2116.2143835616439</v>
      </c>
      <c r="M225" s="37">
        <f t="shared" si="235"/>
        <v>2116.2099999999627</v>
      </c>
      <c r="N225" s="17" t="s">
        <v>4431</v>
      </c>
      <c r="O225" s="41">
        <f ca="1">SUMIFS(Stock!$O:$O,Stock!$A:$A,'Asset Line A share'!$A225,Stock!$I:$I,O$2)</f>
        <v>10228</v>
      </c>
      <c r="P225" s="41">
        <f ca="1">SUMIFS(Stock!$O:$O,Stock!$A:$A,'Asset Line A share'!$A225,Stock!$I:$I,P$2)</f>
        <v>0</v>
      </c>
      <c r="Q225" s="40">
        <f t="shared" ca="1" si="140"/>
        <v>-3.0602268283144309E-2</v>
      </c>
      <c r="R225" s="30"/>
      <c r="S225" s="41">
        <f t="shared" ref="S225" ca="1" si="238">+S224+O225-P225</f>
        <v>827423.59999999986</v>
      </c>
      <c r="T225" s="30">
        <v>2354917</v>
      </c>
      <c r="U225" s="20">
        <f t="shared" si="211"/>
        <v>4132600.3328813557</v>
      </c>
      <c r="W225" s="4">
        <f t="shared" ref="W225" si="239">(U225-V225)/(U224)-1</f>
        <v>-2.3697442385928191E-4</v>
      </c>
      <c r="X225" s="20">
        <f t="shared" ref="X225" si="240">(U225-V225)-(U224)</f>
        <v>-979.55271186493337</v>
      </c>
      <c r="Y225" s="17" t="s">
        <v>4430</v>
      </c>
      <c r="Z225" s="30">
        <f t="shared" si="179"/>
        <v>1.1497031995019424</v>
      </c>
      <c r="AA225" s="18">
        <f t="shared" si="221"/>
        <v>9.5849983033114832</v>
      </c>
    </row>
    <row r="226" spans="1:27" ht="40.5" x14ac:dyDescent="0.15">
      <c r="A226" s="1">
        <v>43006</v>
      </c>
      <c r="B226">
        <f t="shared" si="135"/>
        <v>4</v>
      </c>
      <c r="C226" s="30">
        <v>0</v>
      </c>
      <c r="D226" s="20">
        <v>2142697.91</v>
      </c>
      <c r="E226" s="20">
        <f t="shared" si="122"/>
        <v>2142697.91</v>
      </c>
      <c r="F226" s="4">
        <f t="shared" si="49"/>
        <v>2.7094990090261728E-3</v>
      </c>
      <c r="G226">
        <v>-324.19</v>
      </c>
      <c r="H226" s="30">
        <v>0</v>
      </c>
      <c r="I226" s="30">
        <v>-324.19</v>
      </c>
      <c r="J226">
        <v>5827</v>
      </c>
      <c r="K226" s="30">
        <f>8.455*1300/36.5-14</f>
        <v>287.13698630136986</v>
      </c>
      <c r="L226" s="18">
        <f>G226+J226+K226</f>
        <v>5789.9469863013701</v>
      </c>
      <c r="M226" s="37">
        <f t="shared" ref="M226:M231" si="241">+E226-E225</f>
        <v>5789.9500000001863</v>
      </c>
      <c r="N226" s="17" t="s">
        <v>4432</v>
      </c>
      <c r="O226" s="41">
        <f ca="1">SUMIFS(Stock!$O:$O,Stock!$A:$A,'Asset Line A share'!$A226,Stock!$I:$I,O$2)</f>
        <v>0</v>
      </c>
      <c r="P226" s="41">
        <f ca="1">SUMIFS(Stock!$O:$O,Stock!$A:$A,'Asset Line A share'!$A226,Stock!$I:$I,P$2)</f>
        <v>103490</v>
      </c>
      <c r="Q226" s="40" t="str">
        <f t="shared" ca="1" si="140"/>
        <v/>
      </c>
      <c r="R226" s="30"/>
      <c r="S226" s="41">
        <f t="shared" ref="S226" ca="1" si="242">+S225+O226-P226</f>
        <v>723933.59999999986</v>
      </c>
      <c r="T226">
        <v>2355394</v>
      </c>
      <c r="U226" s="20">
        <f t="shared" si="211"/>
        <v>4138794.5201694919</v>
      </c>
      <c r="W226" s="4">
        <f t="shared" ref="W226" si="243">(U226-V226)/(U225)-1</f>
        <v>1.498859504717176E-3</v>
      </c>
      <c r="X226" s="20">
        <f t="shared" ref="X226" si="244">(U226-V226)-(U225)</f>
        <v>6194.1872881362215</v>
      </c>
      <c r="Y226" s="17" t="s">
        <v>4433</v>
      </c>
      <c r="Z226" s="30">
        <f t="shared" si="179"/>
        <v>1.1514264430701198</v>
      </c>
      <c r="AA226" s="18">
        <f t="shared" si="221"/>
        <v>11.268255686214063</v>
      </c>
    </row>
    <row r="227" spans="1:27" ht="40.5" x14ac:dyDescent="0.15">
      <c r="A227" s="1">
        <v>43007</v>
      </c>
      <c r="B227">
        <f t="shared" si="135"/>
        <v>5</v>
      </c>
      <c r="C227" s="30">
        <v>0</v>
      </c>
      <c r="D227" s="20">
        <v>2144276.31</v>
      </c>
      <c r="E227" s="20">
        <f t="shared" si="122"/>
        <v>2144276.31</v>
      </c>
      <c r="F227" s="4">
        <f t="shared" si="49"/>
        <v>7.3664140550722124E-4</v>
      </c>
      <c r="G227" s="30">
        <v>0</v>
      </c>
      <c r="H227" s="30">
        <v>0</v>
      </c>
      <c r="I227">
        <v>0</v>
      </c>
      <c r="J227">
        <v>-1181.1500000000001</v>
      </c>
      <c r="K227" s="30">
        <f>2773.56-14</f>
        <v>2759.56</v>
      </c>
      <c r="L227" s="18">
        <f>G227+J227+K227</f>
        <v>1578.4099999999999</v>
      </c>
      <c r="M227" s="37">
        <f t="shared" si="241"/>
        <v>1578.3999999999069</v>
      </c>
      <c r="N227" s="17" t="s">
        <v>4434</v>
      </c>
      <c r="O227" s="41">
        <f ca="1">SUMIFS(Stock!$O:$O,Stock!$A:$A,'Asset Line A share'!$A227,Stock!$I:$I,O$2)</f>
        <v>0</v>
      </c>
      <c r="P227" s="41">
        <f ca="1">SUMIFS(Stock!$O:$O,Stock!$A:$A,'Asset Line A share'!$A227,Stock!$I:$I,P$2)</f>
        <v>0</v>
      </c>
      <c r="Q227" s="40" t="str">
        <f t="shared" ca="1" si="140"/>
        <v/>
      </c>
      <c r="R227" s="30"/>
      <c r="S227" s="41">
        <f t="shared" ref="S227" ca="1" si="245">+S226+O227-P227</f>
        <v>723933.59999999986</v>
      </c>
      <c r="T227">
        <v>2355924</v>
      </c>
      <c r="U227" s="20">
        <f t="shared" si="211"/>
        <v>4140822.0727118645</v>
      </c>
      <c r="W227" s="4">
        <f t="shared" ref="W227" si="246">(U227-V227)/(U226)-1</f>
        <v>4.8988963634011284E-4</v>
      </c>
      <c r="X227" s="20">
        <f t="shared" ref="X227" si="247">(U227-V227)-(U226)</f>
        <v>2027.5525423726067</v>
      </c>
      <c r="Y227" s="17" t="s">
        <v>4435</v>
      </c>
      <c r="Z227" s="30">
        <f t="shared" si="179"/>
        <v>1.1519905149515879</v>
      </c>
      <c r="AA227" s="18">
        <f t="shared" si="221"/>
        <v>11.343673802424393</v>
      </c>
    </row>
    <row r="228" spans="1:27" s="30" customFormat="1" ht="27" x14ac:dyDescent="0.15">
      <c r="A228" s="1">
        <v>43014</v>
      </c>
      <c r="B228" s="30">
        <f t="shared" si="135"/>
        <v>5</v>
      </c>
      <c r="C228" s="30">
        <v>0</v>
      </c>
      <c r="D228" s="20">
        <v>2144276.31</v>
      </c>
      <c r="E228" s="20">
        <f t="shared" si="122"/>
        <v>2144276.31</v>
      </c>
      <c r="F228" s="4">
        <f t="shared" si="49"/>
        <v>0</v>
      </c>
      <c r="G228" s="30">
        <v>0</v>
      </c>
      <c r="H228" s="30">
        <v>0</v>
      </c>
      <c r="I228" s="30">
        <v>0</v>
      </c>
      <c r="J228" s="30">
        <v>0</v>
      </c>
      <c r="K228" s="30">
        <v>0</v>
      </c>
      <c r="L228" s="18">
        <f t="shared" ref="L228" si="248">G228+J228+K228</f>
        <v>0</v>
      </c>
      <c r="M228" s="37">
        <f t="shared" si="241"/>
        <v>0</v>
      </c>
      <c r="N228" s="17" t="s">
        <v>4437</v>
      </c>
      <c r="O228" s="41">
        <f ca="1">SUMIFS(Stock!$O:$O,Stock!$A:$A,'Asset Line A share'!$A228,Stock!$I:$I,O$2)</f>
        <v>0</v>
      </c>
      <c r="P228" s="41">
        <f ca="1">SUMIFS(Stock!$O:$O,Stock!$A:$A,'Asset Line A share'!$A228,Stock!$I:$I,P$2)</f>
        <v>0</v>
      </c>
      <c r="Q228" s="40" t="str">
        <f t="shared" ca="1" si="140"/>
        <v/>
      </c>
      <c r="S228" s="41">
        <f t="shared" ref="S228" ca="1" si="249">+S227+O228-P228</f>
        <v>723933.59999999986</v>
      </c>
      <c r="T228" s="30">
        <v>2357188</v>
      </c>
      <c r="U228" s="20">
        <f t="shared" ref="U228:U237" si="250">T228/1.18+E228</f>
        <v>4141893.2591525428</v>
      </c>
      <c r="W228" s="4">
        <f t="shared" ref="W228" si="251">(U228-V228)/(U227)-1</f>
        <v>2.5868931865913325E-4</v>
      </c>
      <c r="X228" s="20">
        <f t="shared" ref="X228" si="252">(U228-V228)-(U227)</f>
        <v>1071.1864406783134</v>
      </c>
      <c r="Y228" s="17" t="s">
        <v>4436</v>
      </c>
      <c r="Z228" s="30">
        <f t="shared" si="179"/>
        <v>1.1522885225930024</v>
      </c>
      <c r="AA228" s="18">
        <f t="shared" si="221"/>
        <v>11.03817787257498</v>
      </c>
    </row>
    <row r="229" spans="1:27" x14ac:dyDescent="0.15">
      <c r="A229" s="1">
        <v>43017</v>
      </c>
      <c r="B229">
        <f t="shared" si="135"/>
        <v>1</v>
      </c>
      <c r="C229" s="30">
        <v>0</v>
      </c>
      <c r="D229" s="20">
        <v>2155619.77</v>
      </c>
      <c r="E229" s="20">
        <f t="shared" si="122"/>
        <v>2155619.77</v>
      </c>
      <c r="F229" s="4">
        <f t="shared" ref="F229" si="253">+E229/(E228)-1</f>
        <v>5.2901111424394909E-3</v>
      </c>
      <c r="G229" s="30">
        <v>0</v>
      </c>
      <c r="H229" s="30">
        <v>0</v>
      </c>
      <c r="I229">
        <v>0</v>
      </c>
      <c r="J229">
        <v>11084.65</v>
      </c>
      <c r="K229" s="30">
        <f>272.81-14</f>
        <v>258.81</v>
      </c>
      <c r="L229" s="18">
        <f t="shared" ref="L229:L233" si="254">G229+J229+K229</f>
        <v>11343.46</v>
      </c>
      <c r="M229" s="37">
        <f t="shared" si="241"/>
        <v>11343.459999999963</v>
      </c>
      <c r="N229" s="17" t="s">
        <v>4438</v>
      </c>
      <c r="O229" s="41">
        <f ca="1">SUMIFS(Stock!$O:$O,Stock!$A:$A,'Asset Line A share'!$A229,Stock!$I:$I,O$2)</f>
        <v>0</v>
      </c>
      <c r="P229" s="41">
        <f ca="1">SUMIFS(Stock!$O:$O,Stock!$A:$A,'Asset Line A share'!$A229,Stock!$I:$I,P$2)</f>
        <v>0</v>
      </c>
      <c r="Q229" s="40" t="str">
        <f t="shared" ca="1" si="140"/>
        <v/>
      </c>
      <c r="R229" s="30"/>
      <c r="S229" s="41">
        <f t="shared" ref="S229" ca="1" si="255">+S228+O229-P229</f>
        <v>723933.59999999986</v>
      </c>
      <c r="T229">
        <v>2355405</v>
      </c>
      <c r="U229" s="20">
        <f t="shared" si="250"/>
        <v>4151725.7022033902</v>
      </c>
      <c r="W229" s="4">
        <f t="shared" ref="W229" si="256">(U229-V229)/(U228)-1</f>
        <v>2.3739006381007233E-3</v>
      </c>
      <c r="X229" s="20">
        <f t="shared" ref="X229" si="257">(U229-V229)-(U228)</f>
        <v>9832.4430508473888</v>
      </c>
      <c r="Y229" s="17" t="s">
        <v>4439</v>
      </c>
      <c r="Z229" s="30">
        <f t="shared" si="179"/>
        <v>1.155023941052062</v>
      </c>
      <c r="AA229" s="18">
        <f t="shared" si="221"/>
        <v>12.42952017767349</v>
      </c>
    </row>
    <row r="230" spans="1:27" x14ac:dyDescent="0.15">
      <c r="A230" s="1">
        <v>43018</v>
      </c>
      <c r="B230">
        <f t="shared" si="135"/>
        <v>2</v>
      </c>
      <c r="C230" s="30">
        <v>0</v>
      </c>
      <c r="D230" s="20">
        <v>2162995.31</v>
      </c>
      <c r="E230" s="20">
        <f t="shared" si="122"/>
        <v>2162995.31</v>
      </c>
      <c r="F230" s="4">
        <f t="shared" ref="F230:F235" si="258">+E230/(E229)-1</f>
        <v>3.4215403396491428E-3</v>
      </c>
      <c r="G230" s="30">
        <v>315</v>
      </c>
      <c r="H230" s="30">
        <v>315</v>
      </c>
      <c r="I230" s="30">
        <v>0</v>
      </c>
      <c r="J230">
        <v>6824.35</v>
      </c>
      <c r="K230" s="30">
        <f>1400*6.52/36.5-13-0.89</f>
        <v>236.19219178082193</v>
      </c>
      <c r="L230" s="18">
        <f t="shared" si="254"/>
        <v>7375.5421917808226</v>
      </c>
      <c r="M230" s="37">
        <f t="shared" si="241"/>
        <v>7375.5400000000373</v>
      </c>
      <c r="N230" s="17" t="s">
        <v>4441</v>
      </c>
      <c r="O230" s="41">
        <f ca="1">SUMIFS(Stock!$O:$O,Stock!$A:$A,'Asset Line A share'!$A230,Stock!$I:$I,O$2)</f>
        <v>19470</v>
      </c>
      <c r="P230" s="41">
        <f ca="1">SUMIFS(Stock!$O:$O,Stock!$A:$A,'Asset Line A share'!$A230,Stock!$I:$I,P$2)</f>
        <v>0</v>
      </c>
      <c r="Q230" s="40">
        <f t="shared" ca="1" si="140"/>
        <v>1.6178736517719568E-2</v>
      </c>
      <c r="R230" s="30"/>
      <c r="S230" s="41">
        <f t="shared" ref="S230" ca="1" si="259">+S229+O230-P230</f>
        <v>743403.59999999986</v>
      </c>
      <c r="T230">
        <v>2355569</v>
      </c>
      <c r="U230" s="20">
        <f t="shared" si="250"/>
        <v>4159240.2252542377</v>
      </c>
      <c r="W230" s="4">
        <f t="shared" ref="W230" si="260">(U230-V230)/(U229)-1</f>
        <v>1.8099758003904398E-3</v>
      </c>
      <c r="X230" s="20">
        <f t="shared" ref="X230" si="261">(U230-V230)-(U229)</f>
        <v>7514.5230508474633</v>
      </c>
      <c r="Y230" s="17" t="s">
        <v>4440</v>
      </c>
      <c r="Z230" s="30">
        <f t="shared" si="179"/>
        <v>1.1571145064342379</v>
      </c>
      <c r="AA230" s="18">
        <f t="shared" si="221"/>
        <v>14.080164499046809</v>
      </c>
    </row>
    <row r="231" spans="1:27" ht="67.5" x14ac:dyDescent="0.15">
      <c r="A231" s="1">
        <v>43019</v>
      </c>
      <c r="B231">
        <f t="shared" si="135"/>
        <v>3</v>
      </c>
      <c r="C231" s="30">
        <v>0</v>
      </c>
      <c r="D231" s="20">
        <v>2171556.1</v>
      </c>
      <c r="E231" s="20">
        <f t="shared" si="122"/>
        <v>2171556.1</v>
      </c>
      <c r="F231" s="4">
        <f t="shared" si="258"/>
        <v>3.9578402969353554E-3</v>
      </c>
      <c r="G231">
        <v>-260.5</v>
      </c>
      <c r="H231" s="30">
        <v>-260.5</v>
      </c>
      <c r="I231">
        <v>0</v>
      </c>
      <c r="J231">
        <v>8580.7000000000007</v>
      </c>
      <c r="K231" s="30">
        <f>254.03-13-0.46</f>
        <v>240.57</v>
      </c>
      <c r="L231" s="18">
        <f t="shared" si="254"/>
        <v>8560.77</v>
      </c>
      <c r="M231" s="37">
        <f t="shared" si="241"/>
        <v>8560.7900000000373</v>
      </c>
      <c r="N231" s="17" t="s">
        <v>4442</v>
      </c>
      <c r="O231" s="41">
        <f ca="1">SUMIFS(Stock!$O:$O,Stock!$A:$A,'Asset Line A share'!$A231,Stock!$I:$I,O$2)</f>
        <v>43497</v>
      </c>
      <c r="P231" s="41">
        <f ca="1">SUMIFS(Stock!$O:$O,Stock!$A:$A,'Asset Line A share'!$A231,Stock!$I:$I,P$2)</f>
        <v>0</v>
      </c>
      <c r="Q231" s="40">
        <f t="shared" ca="1" si="140"/>
        <v>-5.9889187760075405E-3</v>
      </c>
      <c r="R231" s="30"/>
      <c r="S231" s="41">
        <f t="shared" ref="S231" ca="1" si="262">+S230+O231-P231</f>
        <v>786900.59999999986</v>
      </c>
      <c r="T231">
        <v>2356679</v>
      </c>
      <c r="U231" s="20">
        <f t="shared" si="250"/>
        <v>4168741.6932203392</v>
      </c>
      <c r="W231" s="4">
        <f t="shared" ref="W231" si="263">(U231-V231)/(U230)-1</f>
        <v>2.284423945606795E-3</v>
      </c>
      <c r="X231" s="20">
        <f t="shared" ref="X231" si="264">(U231-V231)-(U230)</f>
        <v>9501.467966101598</v>
      </c>
      <c r="Y231" s="17" t="s">
        <v>4443</v>
      </c>
      <c r="Z231" s="30">
        <f t="shared" si="179"/>
        <v>1.1597578465205451</v>
      </c>
      <c r="AA231" s="18">
        <f t="shared" si="221"/>
        <v>14.810479395180675</v>
      </c>
    </row>
    <row r="232" spans="1:27" x14ac:dyDescent="0.15">
      <c r="A232" s="1">
        <v>43020</v>
      </c>
      <c r="B232">
        <f t="shared" si="135"/>
        <v>4</v>
      </c>
      <c r="C232" s="30">
        <v>0</v>
      </c>
      <c r="D232" s="20">
        <v>2168971.2400000002</v>
      </c>
      <c r="E232" s="20">
        <f t="shared" si="122"/>
        <v>2168971.2400000002</v>
      </c>
      <c r="F232" s="4">
        <f t="shared" si="258"/>
        <v>-1.1903261444637936E-3</v>
      </c>
      <c r="G232">
        <v>127</v>
      </c>
      <c r="H232">
        <v>127</v>
      </c>
      <c r="I232">
        <v>0</v>
      </c>
      <c r="J232">
        <v>-2852.1</v>
      </c>
      <c r="K232" s="30">
        <f>153.24-13</f>
        <v>140.24</v>
      </c>
      <c r="L232" s="18">
        <f t="shared" si="254"/>
        <v>-2584.8599999999997</v>
      </c>
      <c r="M232" s="37">
        <f t="shared" ref="M232:M242" si="265">+E232-E231</f>
        <v>-2584.8599999998696</v>
      </c>
      <c r="N232" s="17" t="s">
        <v>4445</v>
      </c>
      <c r="O232" s="41">
        <f ca="1">SUMIFS(Stock!$O:$O,Stock!$A:$A,'Asset Line A share'!$A232,Stock!$I:$I,O$2)</f>
        <v>11028</v>
      </c>
      <c r="P232" s="41">
        <f ca="1">SUMIFS(Stock!$O:$O,Stock!$A:$A,'Asset Line A share'!$A232,Stock!$I:$I,P$2)</f>
        <v>0</v>
      </c>
      <c r="Q232" s="40">
        <f t="shared" ca="1" si="140"/>
        <v>1.151614073268045E-2</v>
      </c>
      <c r="R232" s="30"/>
      <c r="S232" s="41">
        <f t="shared" ref="S232" ca="1" si="266">+S231+O232-P232</f>
        <v>797928.59999999986</v>
      </c>
      <c r="T232">
        <v>2358187</v>
      </c>
      <c r="U232" s="20">
        <f t="shared" si="250"/>
        <v>4167434.7993220342</v>
      </c>
      <c r="W232" s="4">
        <f t="shared" ref="W232" si="267">(U232-V232)/(U231)-1</f>
        <v>-3.1349841138639256E-4</v>
      </c>
      <c r="X232" s="20">
        <f t="shared" ref="X232" si="268">(U232-V232)-(U231)</f>
        <v>-1306.8938983050175</v>
      </c>
      <c r="Y232" s="17" t="s">
        <v>4444</v>
      </c>
      <c r="Z232" s="30">
        <f t="shared" si="179"/>
        <v>1.1593942642780681</v>
      </c>
      <c r="AA232" s="18">
        <f t="shared" si="221"/>
        <v>14.139611239495538</v>
      </c>
    </row>
    <row r="233" spans="1:27" x14ac:dyDescent="0.15">
      <c r="A233" s="1">
        <v>43021</v>
      </c>
      <c r="B233">
        <f t="shared" si="135"/>
        <v>5</v>
      </c>
      <c r="C233" s="30">
        <v>0</v>
      </c>
      <c r="D233" s="20">
        <v>2174878.84</v>
      </c>
      <c r="E233" s="20">
        <f t="shared" si="122"/>
        <v>2174878.84</v>
      </c>
      <c r="F233" s="4">
        <f t="shared" si="258"/>
        <v>2.7236875671987626E-3</v>
      </c>
      <c r="G233">
        <v>0</v>
      </c>
      <c r="H233">
        <v>0</v>
      </c>
      <c r="I233">
        <v>0</v>
      </c>
      <c r="J233">
        <v>5589.9</v>
      </c>
      <c r="K233" s="30">
        <f>1300*3.095/36.5*3-13</f>
        <v>317.69863013698631</v>
      </c>
      <c r="L233" s="18">
        <f t="shared" si="254"/>
        <v>5907.5986301369858</v>
      </c>
      <c r="M233" s="37">
        <f t="shared" si="265"/>
        <v>5907.5999999996275</v>
      </c>
      <c r="N233" s="17" t="s">
        <v>4446</v>
      </c>
      <c r="O233" s="41">
        <f ca="1">SUMIFS(Stock!$O:$O,Stock!$A:$A,'Asset Line A share'!$A233,Stock!$I:$I,O$2)</f>
        <v>0</v>
      </c>
      <c r="P233" s="41">
        <f ca="1">SUMIFS(Stock!$O:$O,Stock!$A:$A,'Asset Line A share'!$A233,Stock!$I:$I,P$2)</f>
        <v>0</v>
      </c>
      <c r="Q233" s="40" t="str">
        <f t="shared" ca="1" si="140"/>
        <v/>
      </c>
      <c r="R233" s="30"/>
      <c r="S233" s="41">
        <f t="shared" ref="S233" ca="1" si="269">+S232+O233-P233</f>
        <v>797928.59999999986</v>
      </c>
      <c r="T233">
        <v>2358754</v>
      </c>
      <c r="U233" s="20">
        <f t="shared" si="250"/>
        <v>4173822.9077966101</v>
      </c>
      <c r="W233" s="4">
        <f t="shared" ref="W233" si="270">(U233-V233)/(U232)-1</f>
        <v>1.5328634477054237E-3</v>
      </c>
      <c r="X233" s="20">
        <f t="shared" ref="X233" si="271">(U233-V233)-(U232)</f>
        <v>6388.1084745759144</v>
      </c>
      <c r="Z233" s="30">
        <f t="shared" si="179"/>
        <v>1.1611714573672594</v>
      </c>
      <c r="AA233" s="18">
        <f t="shared" si="221"/>
        <v>14.073528389625496</v>
      </c>
    </row>
    <row r="234" spans="1:27" x14ac:dyDescent="0.15">
      <c r="A234" s="1">
        <v>43024</v>
      </c>
      <c r="B234">
        <f t="shared" si="135"/>
        <v>1</v>
      </c>
      <c r="C234" s="30">
        <v>0</v>
      </c>
      <c r="D234" s="20">
        <v>2179523.88</v>
      </c>
      <c r="E234" s="20">
        <f t="shared" si="122"/>
        <v>2179523.88</v>
      </c>
      <c r="F234" s="4">
        <f t="shared" si="258"/>
        <v>2.1357695493511297E-3</v>
      </c>
      <c r="G234" s="30">
        <v>-124.57</v>
      </c>
      <c r="H234">
        <v>-124.57</v>
      </c>
      <c r="I234">
        <v>0</v>
      </c>
      <c r="J234">
        <v>4670.45</v>
      </c>
      <c r="K234" s="30">
        <f>2.88*600/36.5+3.015*700/36.5-6</f>
        <v>99.164383561643831</v>
      </c>
      <c r="L234" s="18">
        <f t="shared" ref="L234:L242" si="272">G234+J234+K234</f>
        <v>4645.0443835616443</v>
      </c>
      <c r="M234" s="37">
        <f t="shared" si="265"/>
        <v>4645.0400000000373</v>
      </c>
      <c r="N234" s="17" t="s">
        <v>4719</v>
      </c>
      <c r="O234" s="41">
        <f ca="1">SUMIFS(Stock!$O:$O,Stock!$A:$A,'Asset Line A share'!$A234,Stock!$I:$I,O$2)</f>
        <v>55318</v>
      </c>
      <c r="P234" s="41">
        <f ca="1">SUMIFS(Stock!$O:$O,Stock!$A:$A,'Asset Line A share'!$A234,Stock!$I:$I,P$2)</f>
        <v>0</v>
      </c>
      <c r="Q234" s="40">
        <f t="shared" ca="1" si="140"/>
        <v>-2.2518890776962288E-3</v>
      </c>
      <c r="R234" s="30"/>
      <c r="S234" s="41">
        <f t="shared" ref="S234" ca="1" si="273">+S233+O234-P234</f>
        <v>853246.59999999986</v>
      </c>
      <c r="T234">
        <v>2359937</v>
      </c>
      <c r="U234" s="20">
        <f t="shared" si="250"/>
        <v>4179470.4901694916</v>
      </c>
      <c r="W234" s="4">
        <f t="shared" ref="W234" si="274">(U234-V234)/(U233)-1</f>
        <v>1.353095830283424E-3</v>
      </c>
      <c r="X234" s="20">
        <f t="shared" ref="X234" si="275">(U234-V234)-(U233)</f>
        <v>5647.5823728814721</v>
      </c>
      <c r="Y234" s="17" t="s">
        <v>4718</v>
      </c>
      <c r="Z234" s="30">
        <f t="shared" si="179"/>
        <v>1.1627426336244671</v>
      </c>
      <c r="AA234" s="18">
        <f t="shared" si="221"/>
        <v>13.912564270114725</v>
      </c>
    </row>
    <row r="235" spans="1:27" x14ac:dyDescent="0.15">
      <c r="A235" s="1">
        <v>43025</v>
      </c>
      <c r="B235">
        <f t="shared" si="135"/>
        <v>2</v>
      </c>
      <c r="C235" s="30">
        <v>0</v>
      </c>
      <c r="D235" s="20">
        <v>2177829.5499999998</v>
      </c>
      <c r="E235" s="20">
        <f t="shared" si="122"/>
        <v>2177829.5499999998</v>
      </c>
      <c r="F235" s="4">
        <f t="shared" si="258"/>
        <v>-7.773853801501529E-4</v>
      </c>
      <c r="G235">
        <v>0</v>
      </c>
      <c r="H235">
        <v>0</v>
      </c>
      <c r="I235">
        <v>0</v>
      </c>
      <c r="J235">
        <v>-1743.5</v>
      </c>
      <c r="K235" s="30">
        <f>600*3.77/36.5-12.8</f>
        <v>49.172602739726031</v>
      </c>
      <c r="L235" s="18">
        <f t="shared" si="272"/>
        <v>-1694.327397260274</v>
      </c>
      <c r="M235" s="37">
        <f t="shared" si="265"/>
        <v>-1694.3300000000745</v>
      </c>
      <c r="O235" s="41">
        <f ca="1">SUMIFS(Stock!$O:$O,Stock!$A:$A,'Asset Line A share'!$A235,Stock!$I:$I,O$2)</f>
        <v>0</v>
      </c>
      <c r="P235" s="41">
        <f ca="1">SUMIFS(Stock!$O:$O,Stock!$A:$A,'Asset Line A share'!$A235,Stock!$I:$I,P$2)</f>
        <v>0</v>
      </c>
      <c r="Q235" s="40" t="str">
        <f t="shared" ca="1" si="140"/>
        <v/>
      </c>
      <c r="R235" s="30"/>
      <c r="S235" s="41">
        <f t="shared" ref="S235:S236" ca="1" si="276">+S234+O235-P235</f>
        <v>853246.59999999986</v>
      </c>
      <c r="T235">
        <v>2359222</v>
      </c>
      <c r="U235" s="20">
        <f t="shared" si="250"/>
        <v>4177170.2279661018</v>
      </c>
      <c r="W235" s="4">
        <f t="shared" ref="W235" si="277">(U235-V235)/(U234)-1</f>
        <v>-5.5037168196314656E-4</v>
      </c>
      <c r="X235" s="20">
        <f t="shared" ref="X235" si="278">(U235-V235)-(U234)</f>
        <v>-2300.2622033897787</v>
      </c>
      <c r="Y235" s="17" t="s">
        <v>4720</v>
      </c>
      <c r="Z235" s="30">
        <f t="shared" si="179"/>
        <v>1.1621026930055089</v>
      </c>
      <c r="AA235" s="18">
        <f t="shared" si="221"/>
        <v>11.898999112159506</v>
      </c>
    </row>
    <row r="236" spans="1:27" x14ac:dyDescent="0.15">
      <c r="A236" s="1">
        <v>43026</v>
      </c>
      <c r="B236">
        <f t="shared" si="135"/>
        <v>3</v>
      </c>
      <c r="C236" s="30">
        <v>0</v>
      </c>
      <c r="D236" s="20">
        <v>2187879.56</v>
      </c>
      <c r="E236" s="20">
        <f t="shared" si="122"/>
        <v>2187879.56</v>
      </c>
      <c r="F236" s="4">
        <f t="shared" ref="F236:F241" si="279">+E236/(E235)-1</f>
        <v>4.6146908053479319E-3</v>
      </c>
      <c r="G236" s="30">
        <v>0</v>
      </c>
      <c r="H236" s="30">
        <v>0</v>
      </c>
      <c r="I236" s="30">
        <v>0</v>
      </c>
      <c r="J236">
        <v>9948.35</v>
      </c>
      <c r="K236" s="30">
        <f>3.47*600/36.5+3.085*600/36.5+3.06*80/36.5-12.8</f>
        <v>101.66027397260275</v>
      </c>
      <c r="L236" s="18">
        <f t="shared" si="272"/>
        <v>10050.010273972603</v>
      </c>
      <c r="M236" s="37">
        <f t="shared" si="265"/>
        <v>10050.010000000242</v>
      </c>
      <c r="N236" s="17" t="s">
        <v>4721</v>
      </c>
      <c r="O236" s="41">
        <f ca="1">SUMIFS(Stock!$O:$O,Stock!$A:$A,'Asset Line A share'!$A236,Stock!$I:$I,O$2)</f>
        <v>0</v>
      </c>
      <c r="P236" s="41">
        <f ca="1">SUMIFS(Stock!$O:$O,Stock!$A:$A,'Asset Line A share'!$A236,Stock!$I:$I,P$2)</f>
        <v>0</v>
      </c>
      <c r="Q236" s="40" t="str">
        <f t="shared" ca="1" si="140"/>
        <v/>
      </c>
      <c r="R236" s="30"/>
      <c r="S236" s="41">
        <f t="shared" ca="1" si="276"/>
        <v>853246.59999999986</v>
      </c>
      <c r="T236">
        <v>2361166</v>
      </c>
      <c r="U236" s="20">
        <f t="shared" si="250"/>
        <v>4188867.6955932202</v>
      </c>
      <c r="W236" s="4">
        <f t="shared" ref="W236" si="280">(U236-V236)/(U235)-1</f>
        <v>2.800332997875854E-3</v>
      </c>
      <c r="X236" s="20">
        <f t="shared" ref="X236" si="281">(U236-V236)-(U235)</f>
        <v>11697.467627118342</v>
      </c>
      <c r="Y236" s="17" t="s">
        <v>4722</v>
      </c>
      <c r="Z236" s="30">
        <f t="shared" si="179"/>
        <v>1.1653569675236526</v>
      </c>
      <c r="AA236" s="18">
        <f t="shared" si="221"/>
        <v>13.284659014958278</v>
      </c>
    </row>
    <row r="237" spans="1:27" ht="40.5" x14ac:dyDescent="0.15">
      <c r="A237" s="1">
        <v>43027</v>
      </c>
      <c r="B237">
        <f t="shared" si="135"/>
        <v>4</v>
      </c>
      <c r="C237" s="30">
        <v>0</v>
      </c>
      <c r="D237" s="20">
        <v>2199719.0499999998</v>
      </c>
      <c r="E237" s="20">
        <f t="shared" si="122"/>
        <v>2199719.0499999998</v>
      </c>
      <c r="F237" s="4">
        <f t="shared" si="279"/>
        <v>5.4113993368078983E-3</v>
      </c>
      <c r="G237">
        <v>332.64</v>
      </c>
      <c r="H237" s="30">
        <v>332.64</v>
      </c>
      <c r="I237">
        <v>0</v>
      </c>
      <c r="J237">
        <v>11431.3</v>
      </c>
      <c r="K237" s="30">
        <f>1200*2.52/36.5+2.352*80/36.5-12.45</f>
        <v>75.554383561643832</v>
      </c>
      <c r="L237" s="18">
        <f t="shared" si="272"/>
        <v>11839.494383561643</v>
      </c>
      <c r="M237" s="37">
        <f t="shared" si="265"/>
        <v>11839.489999999758</v>
      </c>
      <c r="N237" s="17" t="s">
        <v>4723</v>
      </c>
      <c r="O237" s="41">
        <f ca="1">SUMIFS(Stock!$O:$O,Stock!$A:$A,'Asset Line A share'!$A237,Stock!$I:$I,O$2)</f>
        <v>35755</v>
      </c>
      <c r="P237" s="41">
        <f ca="1">SUMIFS(Stock!$O:$O,Stock!$A:$A,'Asset Line A share'!$A237,Stock!$I:$I,P$2)</f>
        <v>0</v>
      </c>
      <c r="Q237" s="40">
        <f t="shared" ca="1" si="140"/>
        <v>9.3033142217871616E-3</v>
      </c>
      <c r="R237" s="30"/>
      <c r="S237" s="41">
        <f t="shared" ref="S237" ca="1" si="282">+S236+O237-P237</f>
        <v>889001.59999999986</v>
      </c>
      <c r="T237">
        <v>2359425</v>
      </c>
      <c r="U237" s="20">
        <f t="shared" si="250"/>
        <v>4199231.761864407</v>
      </c>
      <c r="W237" s="4">
        <f t="shared" ref="W237" si="283">(U237-V237)/(U236)-1</f>
        <v>2.474192794890584E-3</v>
      </c>
      <c r="X237" s="20">
        <f t="shared" ref="X237" si="284">(U237-V237)-(U236)</f>
        <v>10364.066271186806</v>
      </c>
      <c r="Y237" s="17" t="s">
        <v>4724</v>
      </c>
      <c r="Z237" s="30">
        <f t="shared" si="179"/>
        <v>1.1682402853361751</v>
      </c>
      <c r="AA237" s="18">
        <f t="shared" si="221"/>
        <v>13.902592134324102</v>
      </c>
    </row>
    <row r="238" spans="1:27" ht="27" x14ac:dyDescent="0.15">
      <c r="A238" s="1">
        <v>43028</v>
      </c>
      <c r="B238">
        <f t="shared" si="135"/>
        <v>5</v>
      </c>
      <c r="C238" s="30">
        <v>0</v>
      </c>
      <c r="D238" s="20">
        <v>2193334.2799999998</v>
      </c>
      <c r="E238" s="20">
        <f t="shared" si="122"/>
        <v>2193334.2799999998</v>
      </c>
      <c r="F238" s="4">
        <f t="shared" si="279"/>
        <v>-2.9025388492226467E-3</v>
      </c>
      <c r="G238">
        <v>59.6</v>
      </c>
      <c r="H238">
        <v>59.6</v>
      </c>
      <c r="I238">
        <v>0</v>
      </c>
      <c r="J238">
        <v>-6648.05</v>
      </c>
      <c r="K238" s="30">
        <f>1200*2.1*3/36.5+2.383*45*3/36.5-12.25</f>
        <v>203.68712328767123</v>
      </c>
      <c r="L238" s="18">
        <f t="shared" si="272"/>
        <v>-6384.7628767123288</v>
      </c>
      <c r="M238" s="37">
        <f t="shared" si="265"/>
        <v>-6384.7700000000186</v>
      </c>
      <c r="N238" s="17" t="s">
        <v>4727</v>
      </c>
      <c r="O238" s="41">
        <f ca="1">SUMIFS(Stock!$O:$O,Stock!$A:$A,'Asset Line A share'!$A238,Stock!$I:$I,O$2)</f>
        <v>19800</v>
      </c>
      <c r="P238" s="41">
        <f ca="1">SUMIFS(Stock!$O:$O,Stock!$A:$A,'Asset Line A share'!$A238,Stock!$I:$I,P$2)</f>
        <v>0</v>
      </c>
      <c r="Q238" s="40">
        <f t="shared" ca="1" si="140"/>
        <v>3.0101010101010101E-3</v>
      </c>
      <c r="R238" s="30"/>
      <c r="S238" s="41">
        <f t="shared" ref="S238" ca="1" si="285">+S237+O238-P238</f>
        <v>908801.59999999986</v>
      </c>
      <c r="T238" s="30">
        <v>2358589</v>
      </c>
      <c r="U238" s="20">
        <f t="shared" ref="U238" si="286">T238/1.18+E238</f>
        <v>4192138.5172881354</v>
      </c>
      <c r="W238" s="4">
        <f t="shared" ref="W238" si="287">(U238-V238)/(U237)-1</f>
        <v>-1.6891767300603044E-3</v>
      </c>
      <c r="X238" s="20">
        <f t="shared" ref="X238" si="288">(U238-V238)-(U237)</f>
        <v>-7093.2445762716234</v>
      </c>
      <c r="Y238" s="17" t="s">
        <v>4726</v>
      </c>
      <c r="Z238" s="30">
        <f t="shared" si="179"/>
        <v>1.1662669210310661</v>
      </c>
      <c r="AA238" s="18">
        <f t="shared" si="221"/>
        <v>10.315579272574317</v>
      </c>
    </row>
    <row r="239" spans="1:27" x14ac:dyDescent="0.15">
      <c r="A239" s="1">
        <v>43031</v>
      </c>
      <c r="B239">
        <f t="shared" si="135"/>
        <v>1</v>
      </c>
      <c r="C239" s="30">
        <v>0</v>
      </c>
      <c r="D239" s="20">
        <v>2193405.42</v>
      </c>
      <c r="E239" s="20">
        <f t="shared" si="122"/>
        <v>2193405.42</v>
      </c>
      <c r="F239" s="4">
        <f t="shared" si="279"/>
        <v>3.2434636456857291E-5</v>
      </c>
      <c r="G239">
        <v>92.74</v>
      </c>
      <c r="H239" s="30">
        <v>92.74</v>
      </c>
      <c r="I239">
        <v>0</v>
      </c>
      <c r="J239">
        <v>-94.65</v>
      </c>
      <c r="K239" s="30">
        <f>1200*2.535/36.5+2.495*25/36.5-12</f>
        <v>73.051369863013704</v>
      </c>
      <c r="L239" s="18">
        <f t="shared" si="272"/>
        <v>71.141369863013693</v>
      </c>
      <c r="M239" s="37">
        <f t="shared" si="265"/>
        <v>71.140000000130385</v>
      </c>
      <c r="N239" s="17" t="s">
        <v>4729</v>
      </c>
      <c r="O239" s="41">
        <f ca="1">SUMIFS(Stock!$O:$O,Stock!$A:$A,'Asset Line A share'!$A239,Stock!$I:$I,O$2)</f>
        <v>12924</v>
      </c>
      <c r="P239" s="41">
        <f ca="1">SUMIFS(Stock!$O:$O,Stock!$A:$A,'Asset Line A share'!$A239,Stock!$I:$I,P$2)</f>
        <v>0</v>
      </c>
      <c r="Q239" s="40">
        <f t="shared" ca="1" si="140"/>
        <v>7.1757969668833172E-3</v>
      </c>
      <c r="R239" s="30"/>
      <c r="S239" s="41">
        <f t="shared" ref="S239" ca="1" si="289">+S238+O239-P239</f>
        <v>921725.59999999986</v>
      </c>
      <c r="T239" s="30">
        <v>2358462</v>
      </c>
      <c r="U239" s="20">
        <f t="shared" ref="U239:U246" si="290">T239/1.18+E239</f>
        <v>4192102.0301694917</v>
      </c>
      <c r="W239" s="4">
        <f t="shared" ref="W239" si="291">(U239-V239)/(U238)-1</f>
        <v>-8.7037006275547668E-6</v>
      </c>
      <c r="X239" s="20">
        <f t="shared" ref="X239" si="292">(U239-V239)-(U238)</f>
        <v>-36.487118643708527</v>
      </c>
      <c r="Y239" s="17" t="s">
        <v>4728</v>
      </c>
      <c r="Z239" s="30">
        <f t="shared" si="179"/>
        <v>1.1662567701929336</v>
      </c>
      <c r="AA239" s="18">
        <f t="shared" si="221"/>
        <v>11.87128616544042</v>
      </c>
    </row>
    <row r="240" spans="1:27" ht="27" x14ac:dyDescent="0.15">
      <c r="A240" s="1">
        <v>43032</v>
      </c>
      <c r="B240">
        <f t="shared" si="135"/>
        <v>2</v>
      </c>
      <c r="C240" s="30">
        <v>0</v>
      </c>
      <c r="D240" s="20">
        <v>2192749.79</v>
      </c>
      <c r="E240" s="20">
        <f t="shared" si="122"/>
        <v>2192749.79</v>
      </c>
      <c r="F240" s="4">
        <f t="shared" si="279"/>
        <v>-2.9890962884548955E-4</v>
      </c>
      <c r="G240">
        <v>0</v>
      </c>
      <c r="H240">
        <v>0</v>
      </c>
      <c r="I240">
        <v>0</v>
      </c>
      <c r="J240">
        <v>-746.2</v>
      </c>
      <c r="K240" s="30">
        <f>3.005*600/36.5+3.235*600/36.5-12</f>
        <v>90.575342465753437</v>
      </c>
      <c r="L240" s="18">
        <f t="shared" si="272"/>
        <v>-655.62465753424658</v>
      </c>
      <c r="M240" s="37">
        <f t="shared" si="265"/>
        <v>-655.62999999988824</v>
      </c>
      <c r="N240" s="17" t="s">
        <v>4731</v>
      </c>
      <c r="O240" s="41">
        <f ca="1">SUMIFS(Stock!$O:$O,Stock!$A:$A,'Asset Line A share'!$A240,Stock!$I:$I,O$2)</f>
        <v>0</v>
      </c>
      <c r="P240" s="41">
        <f ca="1">SUMIFS(Stock!$O:$O,Stock!$A:$A,'Asset Line A share'!$A240,Stock!$I:$I,P$2)</f>
        <v>0</v>
      </c>
      <c r="Q240" s="40" t="str">
        <f t="shared" ca="1" si="140"/>
        <v/>
      </c>
      <c r="R240" s="30"/>
      <c r="S240" s="41">
        <f t="shared" ref="S240" ca="1" si="293">+S239+O240-P240</f>
        <v>921725.59999999986</v>
      </c>
      <c r="T240" s="30">
        <v>2361191</v>
      </c>
      <c r="U240" s="20">
        <f t="shared" si="290"/>
        <v>4193759.1120338985</v>
      </c>
      <c r="W240" s="4">
        <f t="shared" ref="W240" si="294">(U240-V240)/(U239)-1</f>
        <v>3.952866252971976E-4</v>
      </c>
      <c r="X240" s="20">
        <f t="shared" ref="X240" si="295">(U240-V240)-(U239)</f>
        <v>1657.0818644068204</v>
      </c>
      <c r="Y240" s="17" t="s">
        <v>4730</v>
      </c>
      <c r="Z240" s="30">
        <f t="shared" si="179"/>
        <v>1.1667177758958531</v>
      </c>
      <c r="AA240" s="18">
        <f t="shared" si="221"/>
        <v>11.938069881055025</v>
      </c>
    </row>
    <row r="241" spans="1:27" x14ac:dyDescent="0.15">
      <c r="A241" s="1">
        <v>43033</v>
      </c>
      <c r="B241">
        <f t="shared" si="135"/>
        <v>3</v>
      </c>
      <c r="C241" s="30">
        <v>0</v>
      </c>
      <c r="D241" s="20">
        <v>2198398.5499999998</v>
      </c>
      <c r="E241" s="20">
        <f t="shared" si="122"/>
        <v>2198398.5499999998</v>
      </c>
      <c r="F241" s="4">
        <f t="shared" si="279"/>
        <v>2.5761078741226573E-3</v>
      </c>
      <c r="G241">
        <v>250.57</v>
      </c>
      <c r="H241" s="30">
        <v>250.57</v>
      </c>
      <c r="I241">
        <v>0</v>
      </c>
      <c r="J241">
        <v>5315.7</v>
      </c>
      <c r="K241" s="30">
        <f>1200*2.865/36.5-11.7</f>
        <v>82.491780821917814</v>
      </c>
      <c r="L241" s="18">
        <f t="shared" si="272"/>
        <v>5648.7617808219175</v>
      </c>
      <c r="M241" s="37">
        <f t="shared" si="265"/>
        <v>5648.7599999997765</v>
      </c>
      <c r="N241" s="17" t="s">
        <v>5017</v>
      </c>
      <c r="O241" s="41">
        <f ca="1">SUMIFS(Stock!$O:$O,Stock!$A:$A,'Asset Line A share'!$A241,Stock!$I:$I,O$2)</f>
        <v>42590</v>
      </c>
      <c r="P241" s="41">
        <f ca="1">SUMIFS(Stock!$O:$O,Stock!$A:$A,'Asset Line A share'!$A241,Stock!$I:$I,P$2)</f>
        <v>0</v>
      </c>
      <c r="Q241" s="40">
        <f t="shared" ca="1" si="140"/>
        <v>5.8833059403615873E-3</v>
      </c>
      <c r="R241" s="30"/>
      <c r="S241" s="41">
        <f t="shared" ref="S241" ca="1" si="296">+S240+O241-P241</f>
        <v>964315.59999999986</v>
      </c>
      <c r="T241">
        <v>2363488</v>
      </c>
      <c r="U241" s="20">
        <f t="shared" si="290"/>
        <v>4201354.4822033895</v>
      </c>
      <c r="W241" s="4">
        <f t="shared" ref="W241" si="297">(U241-V241)/(U240)-1</f>
        <v>1.8111126477666772E-3</v>
      </c>
      <c r="X241" s="20">
        <f t="shared" ref="X241" si="298">(U241-V241)-(U240)</f>
        <v>7595.3701694910415</v>
      </c>
      <c r="Y241" s="17" t="s">
        <v>5018</v>
      </c>
      <c r="Z241" s="30">
        <f t="shared" si="179"/>
        <v>1.1688308332161523</v>
      </c>
      <c r="AA241" s="18">
        <f t="shared" si="221"/>
        <v>11.87941310289429</v>
      </c>
    </row>
    <row r="242" spans="1:27" x14ac:dyDescent="0.15">
      <c r="A242" s="1">
        <v>43034</v>
      </c>
      <c r="B242">
        <f t="shared" si="135"/>
        <v>4</v>
      </c>
      <c r="C242" s="30">
        <v>0</v>
      </c>
      <c r="D242" s="20">
        <v>2208665.4900000002</v>
      </c>
      <c r="E242" s="20">
        <f t="shared" ref="E242:E259" si="299">-C242+D242</f>
        <v>2208665.4900000002</v>
      </c>
      <c r="F242" s="4">
        <f t="shared" ref="F242:F259" si="300">+E242/(E241)-1</f>
        <v>4.6701904893453605E-3</v>
      </c>
      <c r="G242">
        <v>50.82</v>
      </c>
      <c r="H242" s="30">
        <v>50.82</v>
      </c>
      <c r="I242">
        <v>0</v>
      </c>
      <c r="J242">
        <v>10110.950000000001</v>
      </c>
      <c r="K242" s="30">
        <f>500*3.88/36.5+600*3.34/36.5+3.71*70/36.5-10</f>
        <v>105.16986301369863</v>
      </c>
      <c r="L242" s="18">
        <f t="shared" si="272"/>
        <v>10266.939863013698</v>
      </c>
      <c r="M242" s="37">
        <f t="shared" si="265"/>
        <v>10266.94000000041</v>
      </c>
      <c r="N242" s="17" t="s">
        <v>5022</v>
      </c>
      <c r="O242" s="41">
        <f ca="1">SUMIFS(Stock!$O:$O,Stock!$A:$A,'Asset Line A share'!$A242,Stock!$I:$I,O$2)</f>
        <v>83430</v>
      </c>
      <c r="P242" s="41">
        <f ca="1">SUMIFS(Stock!$O:$O,Stock!$A:$A,'Asset Line A share'!$A242,Stock!$I:$I,P$2)</f>
        <v>0</v>
      </c>
      <c r="Q242" s="40">
        <f t="shared" ca="1" si="140"/>
        <v>6.0913340524991011E-4</v>
      </c>
      <c r="R242" s="30"/>
      <c r="S242" s="41">
        <f t="shared" ref="S242" ca="1" si="301">+S241+O242-P242</f>
        <v>1047745.5999999999</v>
      </c>
      <c r="T242">
        <v>2364878</v>
      </c>
      <c r="U242" s="20">
        <f t="shared" si="290"/>
        <v>4212799.3883050848</v>
      </c>
      <c r="W242" s="4">
        <f t="shared" ref="W242" si="302">(U242-V242)/(U241)-1</f>
        <v>2.7240991328332242E-3</v>
      </c>
      <c r="X242" s="20">
        <f t="shared" ref="X242" si="303">(U242-V242)-(U241)</f>
        <v>11444.906101695262</v>
      </c>
      <c r="Y242" s="17" t="s">
        <v>5021</v>
      </c>
      <c r="Z242" s="30">
        <f t="shared" si="179"/>
        <v>1.1720148442753451</v>
      </c>
      <c r="AA242" s="18">
        <f t="shared" si="221"/>
        <v>12.412047870817942</v>
      </c>
    </row>
    <row r="243" spans="1:27" ht="27" x14ac:dyDescent="0.15">
      <c r="A243" s="1">
        <v>43035</v>
      </c>
      <c r="B243">
        <f t="shared" si="135"/>
        <v>5</v>
      </c>
      <c r="C243" s="30">
        <v>0</v>
      </c>
      <c r="D243" s="20">
        <v>2232583.17</v>
      </c>
      <c r="E243" s="20">
        <f t="shared" si="299"/>
        <v>2232583.17</v>
      </c>
      <c r="F243" s="4">
        <f t="shared" si="300"/>
        <v>1.0829018748330199E-2</v>
      </c>
      <c r="G243">
        <v>331.6</v>
      </c>
      <c r="H243">
        <v>331.6</v>
      </c>
      <c r="I243" s="30">
        <v>0</v>
      </c>
      <c r="J243">
        <v>23300.25</v>
      </c>
      <c r="K243" s="30">
        <f>600*3.32*3/36.5+400*4.035*3/36.5-10.56</f>
        <v>285.8235616438356</v>
      </c>
      <c r="L243" s="18">
        <f t="shared" ref="L243" si="304">G243+J243+K243</f>
        <v>23917.673561643835</v>
      </c>
      <c r="M243" s="37">
        <f t="shared" ref="M243" si="305">+E243-E242</f>
        <v>23917.679999999702</v>
      </c>
      <c r="N243" s="17" t="s">
        <v>5024</v>
      </c>
      <c r="O243" s="41">
        <f ca="1">SUMIFS(Stock!$O:$O,Stock!$A:$A,'Asset Line A share'!$A243,Stock!$I:$I,O$2)</f>
        <v>30808</v>
      </c>
      <c r="P243" s="41">
        <f ca="1">SUMIFS(Stock!$O:$O,Stock!$A:$A,'Asset Line A share'!$A243,Stock!$I:$I,P$2)</f>
        <v>0</v>
      </c>
      <c r="Q243" s="40">
        <f t="shared" ca="1" si="140"/>
        <v>1.0763438068034278E-2</v>
      </c>
      <c r="R243" s="30"/>
      <c r="S243" s="41">
        <f t="shared" ref="S243" ca="1" si="306">+S242+O243-P243</f>
        <v>1078553.5999999999</v>
      </c>
      <c r="T243" s="30">
        <v>2371170</v>
      </c>
      <c r="U243" s="20">
        <f t="shared" si="290"/>
        <v>4242049.2716949154</v>
      </c>
      <c r="W243" s="4">
        <f t="shared" ref="W243" si="307">(U243-V243)/(U242)-1</f>
        <v>6.9430990402794546E-3</v>
      </c>
      <c r="X243" s="20">
        <f t="shared" ref="X243" si="308">(U243-V243)-(U242)</f>
        <v>29249.883389830589</v>
      </c>
      <c r="Y243" s="17" t="s">
        <v>5023</v>
      </c>
      <c r="Z243" s="30">
        <f t="shared" si="179"/>
        <v>1.1801522594158265</v>
      </c>
      <c r="AA243" s="18">
        <f t="shared" si="221"/>
        <v>11.103264995918501</v>
      </c>
    </row>
    <row r="244" spans="1:27" ht="27" x14ac:dyDescent="0.15">
      <c r="A244" s="1">
        <v>43038</v>
      </c>
      <c r="B244">
        <f t="shared" si="135"/>
        <v>1</v>
      </c>
      <c r="C244" s="30">
        <v>0</v>
      </c>
      <c r="D244" s="20">
        <v>2225792.91</v>
      </c>
      <c r="E244" s="20">
        <f t="shared" si="299"/>
        <v>2225792.91</v>
      </c>
      <c r="F244" s="4">
        <f t="shared" si="300"/>
        <v>-3.0414365257441789E-3</v>
      </c>
      <c r="G244">
        <v>0</v>
      </c>
      <c r="H244">
        <v>0</v>
      </c>
      <c r="I244">
        <v>0</v>
      </c>
      <c r="J244">
        <v>-6909.1</v>
      </c>
      <c r="K244" s="30">
        <f>4.18*500/36.5+4.7*500/36.5+5.057*56/36.5-10.56</f>
        <v>118.84252054794521</v>
      </c>
      <c r="L244" s="18">
        <f t="shared" ref="L244:L250" si="309">G244+J244+K244</f>
        <v>-6790.2574794520551</v>
      </c>
      <c r="M244" s="37">
        <f t="shared" ref="M244:M248" si="310">+E244-E243</f>
        <v>-6790.2599999997765</v>
      </c>
      <c r="N244" s="17" t="s">
        <v>5026</v>
      </c>
      <c r="O244" s="41">
        <f ca="1">SUMIFS(Stock!$O:$O,Stock!$A:$A,'Asset Line A share'!$A244,Stock!$I:$I,O$2)</f>
        <v>0</v>
      </c>
      <c r="P244" s="41">
        <f ca="1">SUMIFS(Stock!$O:$O,Stock!$A:$A,'Asset Line A share'!$A244,Stock!$I:$I,P$2)</f>
        <v>0</v>
      </c>
      <c r="Q244" s="40" t="str">
        <f t="shared" ca="1" si="140"/>
        <v/>
      </c>
      <c r="R244" s="30"/>
      <c r="S244" s="41">
        <f t="shared" ref="S244" ca="1" si="311">+S243+O244-P244</f>
        <v>1078553.5999999999</v>
      </c>
      <c r="T244">
        <v>2371631</v>
      </c>
      <c r="U244" s="20">
        <f t="shared" si="290"/>
        <v>4235649.6896610167</v>
      </c>
      <c r="W244" s="4">
        <f t="shared" ref="W244" si="312">(U244-V244)/(U243)-1</f>
        <v>-1.5086062475982986E-3</v>
      </c>
      <c r="X244" s="20">
        <f t="shared" ref="X244" si="313">(U244-V244)-(U243)</f>
        <v>-6399.5820338986814</v>
      </c>
      <c r="Y244" s="17" t="s">
        <v>5025</v>
      </c>
      <c r="Z244" s="30">
        <f t="shared" si="179"/>
        <v>1.1783718743441545</v>
      </c>
      <c r="AA244" s="18">
        <f t="shared" si="221"/>
        <v>10.136051338932857</v>
      </c>
    </row>
    <row r="245" spans="1:27" ht="27" x14ac:dyDescent="0.15">
      <c r="A245" s="1">
        <v>43039</v>
      </c>
      <c r="B245">
        <f t="shared" si="135"/>
        <v>2</v>
      </c>
      <c r="C245" s="30">
        <v>0</v>
      </c>
      <c r="D245" s="20">
        <v>2226444.08</v>
      </c>
      <c r="E245" s="20">
        <f t="shared" si="299"/>
        <v>2226444.08</v>
      </c>
      <c r="F245" s="4">
        <f t="shared" si="300"/>
        <v>2.9255641756886774E-4</v>
      </c>
      <c r="G245" s="30">
        <v>301.8</v>
      </c>
      <c r="H245" s="30">
        <v>301.8</v>
      </c>
      <c r="I245" s="30">
        <v>0</v>
      </c>
      <c r="J245">
        <v>162.80000000000001</v>
      </c>
      <c r="K245" s="30">
        <f>300*6.71/36.5+6.01*300/36.5+7.4*400/36.5+7.116*56/36.5-10</f>
        <v>186.56153424657535</v>
      </c>
      <c r="L245" s="18">
        <f t="shared" si="309"/>
        <v>651.16153424657534</v>
      </c>
      <c r="M245" s="37">
        <f t="shared" si="310"/>
        <v>651.16999999992549</v>
      </c>
      <c r="N245" s="17" t="s">
        <v>5027</v>
      </c>
      <c r="O245" s="41">
        <f ca="1">SUMIFS(Stock!$O:$O,Stock!$A:$A,'Asset Line A share'!$A245,Stock!$I:$I,O$2)</f>
        <v>23800</v>
      </c>
      <c r="P245" s="41">
        <f ca="1">SUMIFS(Stock!$O:$O,Stock!$A:$A,'Asset Line A share'!$A245,Stock!$I:$I,P$2)</f>
        <v>0</v>
      </c>
      <c r="Q245" s="40">
        <f t="shared" ca="1" si="140"/>
        <v>1.2680672268907563E-2</v>
      </c>
      <c r="R245" s="30"/>
      <c r="S245" s="41">
        <f t="shared" ref="S245" ca="1" si="314">+S244+O245-P245</f>
        <v>1102353.5999999999</v>
      </c>
      <c r="T245">
        <v>2372556</v>
      </c>
      <c r="U245" s="20">
        <f t="shared" si="290"/>
        <v>4237084.7579661021</v>
      </c>
      <c r="W245" s="4">
        <f t="shared" ref="W245" si="315">(U245-V245)/(U244)-1</f>
        <v>3.3880712764999821E-4</v>
      </c>
      <c r="X245" s="20">
        <f t="shared" ref="X245" si="316">(U245-V245)-(U244)</f>
        <v>1435.0683050854132</v>
      </c>
      <c r="Y245" s="17" t="s">
        <v>5028</v>
      </c>
      <c r="Z245" s="30">
        <f t="shared" si="179"/>
        <v>1.1787711151342046</v>
      </c>
      <c r="AA245" s="18">
        <f t="shared" si="221"/>
        <v>10.478092789870507</v>
      </c>
    </row>
    <row r="246" spans="1:27" x14ac:dyDescent="0.15">
      <c r="A246" s="1">
        <v>43040</v>
      </c>
      <c r="B246">
        <f t="shared" si="135"/>
        <v>3</v>
      </c>
      <c r="C246" s="30">
        <v>0</v>
      </c>
      <c r="D246" s="20">
        <v>2223603.41</v>
      </c>
      <c r="E246" s="20">
        <f t="shared" si="299"/>
        <v>2223603.41</v>
      </c>
      <c r="F246" s="4">
        <f t="shared" si="300"/>
        <v>-1.2758775419142721E-3</v>
      </c>
      <c r="G246">
        <v>-360.21</v>
      </c>
      <c r="H246">
        <v>-360.21</v>
      </c>
      <c r="I246" s="30">
        <v>0</v>
      </c>
      <c r="J246">
        <v>-2698.1</v>
      </c>
      <c r="K246" s="30">
        <f>8.295*1000/36.5-9.62</f>
        <v>217.64027397260273</v>
      </c>
      <c r="L246" s="18">
        <f t="shared" si="309"/>
        <v>-2840.6697260273972</v>
      </c>
      <c r="M246" s="37">
        <f t="shared" si="310"/>
        <v>-2840.6699999999255</v>
      </c>
      <c r="N246" s="17" t="s">
        <v>5029</v>
      </c>
      <c r="O246" s="41">
        <f ca="1">SUMIFS(Stock!$O:$O,Stock!$A:$A,'Asset Line A share'!$A246,Stock!$I:$I,O$2)</f>
        <v>70817</v>
      </c>
      <c r="P246" s="41">
        <f ca="1">SUMIFS(Stock!$O:$O,Stock!$A:$A,'Asset Line A share'!$A246,Stock!$I:$I,P$2)</f>
        <v>0</v>
      </c>
      <c r="Q246" s="40">
        <f t="shared" ca="1" si="140"/>
        <v>-5.0864905319344227E-3</v>
      </c>
      <c r="R246" s="30"/>
      <c r="S246" s="41">
        <f t="shared" ref="S246" ca="1" si="317">+S245+O246-P246</f>
        <v>1173170.5999999999</v>
      </c>
      <c r="T246">
        <v>2371664</v>
      </c>
      <c r="U246" s="20">
        <f t="shared" si="290"/>
        <v>4233488.1557627115</v>
      </c>
      <c r="W246" s="4">
        <f t="shared" ref="W246" si="318">(U246-V246)/(U245)-1</f>
        <v>-8.4883886182085533E-4</v>
      </c>
      <c r="X246" s="20">
        <f t="shared" ref="X246" si="319">(U246-V246)-(U245)</f>
        <v>-3596.602203390561</v>
      </c>
      <c r="Y246" s="17" t="s">
        <v>5031</v>
      </c>
      <c r="Z246" s="30">
        <f t="shared" si="179"/>
        <v>1.1777705284024869</v>
      </c>
      <c r="AA246" s="18">
        <f t="shared" si="221"/>
        <v>9.2236372251265966</v>
      </c>
    </row>
    <row r="247" spans="1:27" ht="27" x14ac:dyDescent="0.15">
      <c r="A247" s="1">
        <v>43041</v>
      </c>
      <c r="B247">
        <f t="shared" si="135"/>
        <v>4</v>
      </c>
      <c r="C247" s="30">
        <v>0</v>
      </c>
      <c r="D247" s="30">
        <v>2225032.75</v>
      </c>
      <c r="E247" s="20">
        <f t="shared" si="299"/>
        <v>2225032.75</v>
      </c>
      <c r="F247" s="4">
        <f t="shared" si="300"/>
        <v>6.4280347546330496E-4</v>
      </c>
      <c r="G247">
        <v>0</v>
      </c>
      <c r="H247">
        <v>0</v>
      </c>
      <c r="I247">
        <v>0</v>
      </c>
      <c r="J247">
        <v>1340.25</v>
      </c>
      <c r="K247" s="30">
        <f>3.74*900/36.5+3.82*62/36.5-9.62</f>
        <v>89.087945205479443</v>
      </c>
      <c r="L247" s="18">
        <f t="shared" si="309"/>
        <v>1429.3379452054794</v>
      </c>
      <c r="M247" s="37">
        <f t="shared" si="310"/>
        <v>1429.339999999851</v>
      </c>
      <c r="N247" s="17" t="s">
        <v>5030</v>
      </c>
      <c r="O247" s="41">
        <f ca="1">SUMIFS(Stock!$O:$O,Stock!$A:$A,'Asset Line A share'!$A247,Stock!$I:$I,O$2)</f>
        <v>0</v>
      </c>
      <c r="P247" s="41">
        <f ca="1">SUMIFS(Stock!$O:$O,Stock!$A:$A,'Asset Line A share'!$A247,Stock!$I:$I,P$2)</f>
        <v>0</v>
      </c>
      <c r="Q247" s="40" t="str">
        <f t="shared" ca="1" si="140"/>
        <v/>
      </c>
      <c r="R247" s="30"/>
      <c r="S247" s="41">
        <f t="shared" ref="S247" ca="1" si="320">+S246+O247-P247</f>
        <v>1173170.5999999999</v>
      </c>
      <c r="T247" s="30">
        <v>2371950</v>
      </c>
      <c r="U247" s="20">
        <f t="shared" ref="U247" si="321">T247/1.18+E247</f>
        <v>4235159.868644068</v>
      </c>
      <c r="W247" s="4">
        <f t="shared" ref="W247" si="322">(U247-V247)/(U246)-1</f>
        <v>3.9487836503826479E-4</v>
      </c>
      <c r="X247" s="20">
        <f t="shared" ref="X247" si="323">(U247-V247)-(U246)</f>
        <v>1671.7128813564777</v>
      </c>
      <c r="Y247" s="17" t="s">
        <v>5032</v>
      </c>
      <c r="Z247" s="30">
        <f t="shared" si="179"/>
        <v>1.1782356045031326</v>
      </c>
      <c r="AA247" s="18">
        <f t="shared" si="221"/>
        <v>9.1766805424743296</v>
      </c>
    </row>
    <row r="248" spans="1:27" ht="40.5" x14ac:dyDescent="0.15">
      <c r="A248" s="1">
        <v>43042</v>
      </c>
      <c r="B248">
        <f t="shared" si="135"/>
        <v>5</v>
      </c>
      <c r="C248" s="30">
        <v>0</v>
      </c>
      <c r="D248" s="20">
        <v>2233661.2799999998</v>
      </c>
      <c r="E248" s="20">
        <f t="shared" si="299"/>
        <v>2233661.2799999998</v>
      </c>
      <c r="F248" s="4">
        <f t="shared" si="300"/>
        <v>3.8779339315342387E-3</v>
      </c>
      <c r="G248" s="30">
        <v>0</v>
      </c>
      <c r="H248" s="30">
        <v>0</v>
      </c>
      <c r="I248" s="30">
        <v>0</v>
      </c>
      <c r="J248">
        <v>8342.7000000000007</v>
      </c>
      <c r="K248" s="30">
        <f>3*(3.755*900/36.5+3.47*62/36.5)-9.62</f>
        <v>285.82986301369863</v>
      </c>
      <c r="L248" s="18">
        <f t="shared" si="309"/>
        <v>8628.5298630136986</v>
      </c>
      <c r="M248" s="37">
        <f t="shared" si="310"/>
        <v>8628.5299999997951</v>
      </c>
      <c r="N248" s="17" t="s">
        <v>5034</v>
      </c>
      <c r="O248" s="41">
        <f ca="1">SUMIFS(Stock!$O:$O,Stock!$A:$A,'Asset Line A share'!$A248,Stock!$I:$I,O$2)</f>
        <v>0</v>
      </c>
      <c r="P248" s="41">
        <f ca="1">SUMIFS(Stock!$O:$O,Stock!$A:$A,'Asset Line A share'!$A248,Stock!$I:$I,P$2)</f>
        <v>0</v>
      </c>
      <c r="Q248" s="40" t="str">
        <f t="shared" ca="1" si="140"/>
        <v/>
      </c>
      <c r="R248" s="30"/>
      <c r="S248" s="41">
        <f t="shared" ref="S248" ca="1" si="324">+S247+O248-P248</f>
        <v>1173170.5999999999</v>
      </c>
      <c r="T248" s="30">
        <v>2371672</v>
      </c>
      <c r="U248" s="20">
        <f t="shared" ref="U248" si="325">T248/1.18+E248</f>
        <v>4243552.8054237291</v>
      </c>
      <c r="W248" s="4">
        <f t="shared" ref="W248" si="326">(U248-V248)/(U247)-1</f>
        <v>1.9817284447276595E-3</v>
      </c>
      <c r="X248" s="20">
        <f t="shared" ref="X248" si="327">(U248-V248)-(U247)</f>
        <v>8392.9367796611041</v>
      </c>
      <c r="Y248" s="17" t="s">
        <v>5033</v>
      </c>
      <c r="Z248" s="30">
        <f t="shared" si="179"/>
        <v>1.1805705475151673</v>
      </c>
      <c r="AA248" s="18">
        <f t="shared" si="221"/>
        <v>9.8892291472301217</v>
      </c>
    </row>
    <row r="249" spans="1:27" ht="27" x14ac:dyDescent="0.15">
      <c r="A249" s="1">
        <v>43045</v>
      </c>
      <c r="B249">
        <f t="shared" si="135"/>
        <v>1</v>
      </c>
      <c r="C249" s="30">
        <v>0</v>
      </c>
      <c r="D249" s="20">
        <v>2260747.86</v>
      </c>
      <c r="E249" s="20">
        <f t="shared" si="299"/>
        <v>2260747.86</v>
      </c>
      <c r="F249" s="4">
        <f>+E249/(E248)-1</f>
        <v>1.2126538720320212E-2</v>
      </c>
      <c r="G249">
        <v>-28.1</v>
      </c>
      <c r="H249" s="30">
        <v>0</v>
      </c>
      <c r="I249" s="30">
        <v>-28.1</v>
      </c>
      <c r="J249">
        <v>27044.7</v>
      </c>
      <c r="K249" s="30">
        <f>3.125*400/36.5+2.965*500/36.5+2.921*62/36.5-9.85</f>
        <v>69.974712328767126</v>
      </c>
      <c r="L249" s="18">
        <f t="shared" si="309"/>
        <v>27086.574712328769</v>
      </c>
      <c r="M249" s="37">
        <f t="shared" ref="M249:M255" si="328">+E249-E248</f>
        <v>27086.580000000075</v>
      </c>
      <c r="N249" s="17" t="s">
        <v>5036</v>
      </c>
      <c r="O249" s="41">
        <f ca="1">SUMIFS(Stock!$O:$O,Stock!$A:$A,'Asset Line A share'!$A249,Stock!$I:$I,O$2)</f>
        <v>0</v>
      </c>
      <c r="P249" s="41">
        <f ca="1">SUMIFS(Stock!$O:$O,Stock!$A:$A,'Asset Line A share'!$A249,Stock!$I:$I,P$2)</f>
        <v>22652</v>
      </c>
      <c r="Q249" s="40" t="str">
        <f t="shared" ca="1" si="140"/>
        <v/>
      </c>
      <c r="R249" s="30"/>
      <c r="S249" s="41">
        <f t="shared" ref="S249" ca="1" si="329">+S248+O249-P249</f>
        <v>1150518.5999999999</v>
      </c>
      <c r="T249" s="30">
        <v>2372311</v>
      </c>
      <c r="U249" s="20">
        <f t="shared" ref="U249:U251" si="330">T249/1.18+E249</f>
        <v>4271180.9108474571</v>
      </c>
      <c r="W249" s="4">
        <f t="shared" ref="W249" si="331">(U249-V249)/(U248)-1</f>
        <v>6.5106071941454235E-3</v>
      </c>
      <c r="X249" s="20">
        <f t="shared" ref="X249" si="332">(U249-V249)-(U248)</f>
        <v>27628.105423728004</v>
      </c>
      <c r="Y249" s="17" t="s">
        <v>5035</v>
      </c>
      <c r="Z249" s="30">
        <f t="shared" si="179"/>
        <v>1.1882567786150158</v>
      </c>
      <c r="AA249" s="18">
        <f t="shared" si="221"/>
        <v>9.9322160128255259</v>
      </c>
    </row>
    <row r="250" spans="1:27" ht="27" x14ac:dyDescent="0.15">
      <c r="A250" s="1">
        <v>43046</v>
      </c>
      <c r="B250">
        <f t="shared" si="135"/>
        <v>2</v>
      </c>
      <c r="C250" s="30">
        <v>0</v>
      </c>
      <c r="D250" s="20">
        <v>2260939.85</v>
      </c>
      <c r="E250" s="20">
        <f t="shared" si="299"/>
        <v>2260939.85</v>
      </c>
      <c r="F250" s="4">
        <f t="shared" si="300"/>
        <v>8.4923225361466237E-5</v>
      </c>
      <c r="G250">
        <v>147</v>
      </c>
      <c r="H250">
        <v>147</v>
      </c>
      <c r="I250">
        <v>0</v>
      </c>
      <c r="J250">
        <v>-26.25</v>
      </c>
      <c r="K250" s="30">
        <f>900*3.035/36.5+1.782*23/36.5+2.956*62/36.5-9.74</f>
        <v>71.239671232876731</v>
      </c>
      <c r="L250" s="18">
        <f t="shared" si="309"/>
        <v>191.98967123287673</v>
      </c>
      <c r="M250" s="37">
        <f t="shared" si="328"/>
        <v>191.99000000022352</v>
      </c>
      <c r="N250" s="17" t="s">
        <v>5038</v>
      </c>
      <c r="O250" s="41">
        <f ca="1">SUMIFS(Stock!$O:$O,Stock!$A:$A,'Asset Line A share'!$A250,Stock!$I:$I,O$2)</f>
        <v>10398</v>
      </c>
      <c r="P250" s="41">
        <f ca="1">SUMIFS(Stock!$O:$O,Stock!$A:$A,'Asset Line A share'!$A250,Stock!$I:$I,P$2)</f>
        <v>0</v>
      </c>
      <c r="Q250" s="40">
        <f t="shared" ca="1" si="140"/>
        <v>1.4137334102712061E-2</v>
      </c>
      <c r="R250" s="30"/>
      <c r="S250" s="41">
        <f t="shared" ref="S250" ca="1" si="333">+S249+O250-P250</f>
        <v>1160916.5999999999</v>
      </c>
      <c r="T250">
        <v>2376999</v>
      </c>
      <c r="U250" s="20">
        <f t="shared" si="330"/>
        <v>4275345.7822033903</v>
      </c>
      <c r="W250" s="4">
        <f t="shared" ref="W250" si="334">(U250-V250)/(U249)-1</f>
        <v>9.7511003229944215E-4</v>
      </c>
      <c r="X250" s="20">
        <f t="shared" ref="X250" si="335">(U250-V250)-(U249)</f>
        <v>4164.8713559331372</v>
      </c>
      <c r="Y250" s="17" t="s">
        <v>5037</v>
      </c>
      <c r="Z250" s="30">
        <f t="shared" si="179"/>
        <v>1.1894154597207911</v>
      </c>
      <c r="AA250" s="18">
        <f t="shared" si="221"/>
        <v>9.6399193645699217</v>
      </c>
    </row>
    <row r="251" spans="1:27" ht="27" x14ac:dyDescent="0.15">
      <c r="A251" s="1">
        <v>43047</v>
      </c>
      <c r="B251">
        <f t="shared" si="135"/>
        <v>3</v>
      </c>
      <c r="C251" s="30">
        <v>0</v>
      </c>
      <c r="D251" s="20">
        <v>2257503.48</v>
      </c>
      <c r="E251" s="20">
        <f t="shared" si="299"/>
        <v>2257503.48</v>
      </c>
      <c r="F251" s="4">
        <f t="shared" si="300"/>
        <v>-1.5198856351708034E-3</v>
      </c>
      <c r="G251">
        <v>-24.14</v>
      </c>
      <c r="H251" s="30">
        <v>-24.14</v>
      </c>
      <c r="I251">
        <v>0</v>
      </c>
      <c r="J251">
        <v>-3480.9</v>
      </c>
      <c r="K251" s="30">
        <f>2.935*900/36.5+2.947*74/36.5-9.67</f>
        <v>68.674602739726026</v>
      </c>
      <c r="L251" s="18">
        <f t="shared" ref="L251:L255" si="336">G251+J251+K251</f>
        <v>-3436.3653972602738</v>
      </c>
      <c r="M251" s="37">
        <f t="shared" si="328"/>
        <v>-3436.3700000001118</v>
      </c>
      <c r="N251" s="17" t="s">
        <v>5039</v>
      </c>
      <c r="O251" s="41">
        <f ca="1">SUMIFS(Stock!$O:$O,Stock!$A:$A,'Asset Line A share'!$A251,Stock!$I:$I,O$2)</f>
        <v>7066</v>
      </c>
      <c r="P251" s="41">
        <f ca="1">SUMIFS(Stock!$O:$O,Stock!$A:$A,'Asset Line A share'!$A251,Stock!$I:$I,P$2)</f>
        <v>0</v>
      </c>
      <c r="Q251" s="40">
        <f t="shared" ca="1" si="140"/>
        <v>-3.4163600339654687E-3</v>
      </c>
      <c r="R251" s="30"/>
      <c r="S251" s="41">
        <f t="shared" ref="S251" ca="1" si="337">+S250+O251-P251</f>
        <v>1167982.5999999999</v>
      </c>
      <c r="T251">
        <v>2372114</v>
      </c>
      <c r="U251" s="20">
        <f t="shared" si="330"/>
        <v>4267769.5816949159</v>
      </c>
      <c r="W251" s="4">
        <f t="shared" ref="W251" si="338">(U251-V251)/(U250)-1</f>
        <v>-1.7720673120782404E-3</v>
      </c>
      <c r="X251" s="20">
        <f t="shared" ref="X251" si="339">(U251-V251)-(U250)</f>
        <v>-7576.2005084743723</v>
      </c>
      <c r="Y251" s="17" t="s">
        <v>5040</v>
      </c>
      <c r="Z251" s="30">
        <f t="shared" si="179"/>
        <v>1.1873077354641395</v>
      </c>
      <c r="AA251" s="18">
        <f t="shared" si="221"/>
        <v>7.8961422935109056</v>
      </c>
    </row>
    <row r="252" spans="1:27" ht="27" x14ac:dyDescent="0.15">
      <c r="A252" s="1">
        <v>43048</v>
      </c>
      <c r="B252">
        <f t="shared" si="135"/>
        <v>4</v>
      </c>
      <c r="C252" s="30">
        <v>0</v>
      </c>
      <c r="D252" s="20">
        <v>2269068.88</v>
      </c>
      <c r="E252" s="20">
        <f t="shared" si="299"/>
        <v>2269068.88</v>
      </c>
      <c r="F252" s="4">
        <f t="shared" si="300"/>
        <v>5.1230928778014384E-3</v>
      </c>
      <c r="G252">
        <v>1944.73</v>
      </c>
      <c r="H252" s="30">
        <v>1944.73</v>
      </c>
      <c r="I252">
        <v>0</v>
      </c>
      <c r="J252">
        <v>9552.0499999999993</v>
      </c>
      <c r="K252" s="30">
        <f>900*2.915/36.5+2.911*67/36.5-8.6</f>
        <v>68.620191780821926</v>
      </c>
      <c r="L252" s="18">
        <f t="shared" si="336"/>
        <v>11565.40019178082</v>
      </c>
      <c r="M252" s="37">
        <f t="shared" si="328"/>
        <v>11565.399999999907</v>
      </c>
      <c r="N252" s="17" t="s">
        <v>5042</v>
      </c>
      <c r="O252" s="41">
        <f ca="1">SUMIFS(Stock!$O:$O,Stock!$A:$A,'Asset Line A share'!$A252,Stock!$I:$I,O$2)</f>
        <v>83737</v>
      </c>
      <c r="P252" s="41">
        <f ca="1">SUMIFS(Stock!$O:$O,Stock!$A:$A,'Asset Line A share'!$A252,Stock!$I:$I,P$2)</f>
        <v>0</v>
      </c>
      <c r="Q252" s="40">
        <f t="shared" ca="1" si="140"/>
        <v>2.3224261676439328E-2</v>
      </c>
      <c r="R252" s="30"/>
      <c r="S252" s="41">
        <f t="shared" ref="S252" ca="1" si="340">+S251+O252-P252</f>
        <v>1251719.5999999999</v>
      </c>
      <c r="T252" s="30">
        <v>2379417</v>
      </c>
      <c r="U252" s="20">
        <f t="shared" ref="U252:U257" si="341">T252/1.18+E252</f>
        <v>4285523.9647457628</v>
      </c>
      <c r="W252" s="4">
        <f t="shared" ref="W252" si="342">(U252-V252)/(U251)-1</f>
        <v>4.1601081574313969E-3</v>
      </c>
      <c r="X252" s="20">
        <f t="shared" ref="X252" si="343">(U252-V252)-(U251)</f>
        <v>17754.383050846867</v>
      </c>
      <c r="Y252" s="17" t="s">
        <v>5041</v>
      </c>
      <c r="Z252" s="30">
        <f t="shared" si="179"/>
        <v>1.1922470640598253</v>
      </c>
      <c r="AA252" s="18">
        <f t="shared" si="221"/>
        <v>9.1555521391647474</v>
      </c>
    </row>
    <row r="253" spans="1:27" ht="54" x14ac:dyDescent="0.15">
      <c r="A253" s="1">
        <v>43049</v>
      </c>
      <c r="B253">
        <f t="shared" si="135"/>
        <v>5</v>
      </c>
      <c r="C253" s="30">
        <v>0</v>
      </c>
      <c r="D253" s="20">
        <v>2290952.65</v>
      </c>
      <c r="E253" s="20">
        <f t="shared" si="299"/>
        <v>2290952.65</v>
      </c>
      <c r="F253" s="4">
        <f t="shared" si="300"/>
        <v>9.6443832943493568E-3</v>
      </c>
      <c r="G253">
        <v>-130.47</v>
      </c>
      <c r="H253" s="30">
        <v>-130.47</v>
      </c>
      <c r="I253">
        <v>0</v>
      </c>
      <c r="J253">
        <v>21802.15</v>
      </c>
      <c r="K253" s="30">
        <f>3*(3.25*300/36.5+3.03*500/36.5+3.252*60/36.5)-8.61</f>
        <v>212.08479452054792</v>
      </c>
      <c r="L253" s="18">
        <f t="shared" si="336"/>
        <v>21883.76479452055</v>
      </c>
      <c r="M253" s="37">
        <f t="shared" si="328"/>
        <v>21883.770000000019</v>
      </c>
      <c r="N253" s="17" t="s">
        <v>5044</v>
      </c>
      <c r="O253" s="41">
        <f ca="1">SUMIFS(Stock!$O:$O,Stock!$A:$A,'Asset Line A share'!$A253,Stock!$I:$I,O$2)</f>
        <v>23400</v>
      </c>
      <c r="P253" s="41">
        <f ca="1">SUMIFS(Stock!$O:$O,Stock!$A:$A,'Asset Line A share'!$A253,Stock!$I:$I,P$2)</f>
        <v>0</v>
      </c>
      <c r="Q253" s="40">
        <f t="shared" ref="Q253" ca="1" si="344">IF(O253&lt;&gt;0,+H253/O253,"")</f>
        <v>-5.5756410256410259E-3</v>
      </c>
      <c r="R253" s="30"/>
      <c r="S253" s="41">
        <f t="shared" ref="S253" ca="1" si="345">+S252+O253-P253</f>
        <v>1275119.5999999999</v>
      </c>
      <c r="T253" s="30">
        <v>2386292</v>
      </c>
      <c r="U253" s="20">
        <f t="shared" si="341"/>
        <v>4313234.0059322035</v>
      </c>
      <c r="W253" s="4">
        <f t="shared" ref="W253" si="346">(U253-V253)/(U252)-1</f>
        <v>6.4659634188009019E-3</v>
      </c>
      <c r="X253" s="20">
        <f t="shared" ref="X253" si="347">(U253-V253)-(U252)</f>
        <v>27710.041186440736</v>
      </c>
      <c r="Y253" s="17" t="s">
        <v>5043</v>
      </c>
      <c r="Z253" s="30">
        <f t="shared" ref="Z253:Z254" si="348">Z252*(1+W253)</f>
        <v>1.1999560899622088</v>
      </c>
      <c r="AA253" s="18">
        <f t="shared" si="221"/>
        <v>9.7570785806056222</v>
      </c>
    </row>
    <row r="254" spans="1:27" x14ac:dyDescent="0.15">
      <c r="A254" s="1">
        <v>43052</v>
      </c>
      <c r="B254">
        <f t="shared" si="135"/>
        <v>1</v>
      </c>
      <c r="C254" s="30">
        <v>0</v>
      </c>
      <c r="D254" s="20">
        <v>2299177.33</v>
      </c>
      <c r="E254" s="20">
        <f t="shared" si="299"/>
        <v>2299177.33</v>
      </c>
      <c r="F254" s="4">
        <f t="shared" si="300"/>
        <v>3.5900698340491921E-3</v>
      </c>
      <c r="G254">
        <v>-95.77</v>
      </c>
      <c r="H254" s="30">
        <v>-95.77</v>
      </c>
      <c r="I254">
        <v>0</v>
      </c>
      <c r="J254">
        <v>8246.85</v>
      </c>
      <c r="K254" s="30">
        <f>3.47*500/36.5+3.455*300/36.5+3.391*61/36.5-8</f>
        <v>73.59865753424657</v>
      </c>
      <c r="L254" s="18">
        <f t="shared" si="336"/>
        <v>8224.6786575342467</v>
      </c>
      <c r="M254" s="37">
        <f t="shared" si="328"/>
        <v>8224.6800000001676</v>
      </c>
      <c r="N254" s="17" t="s">
        <v>5045</v>
      </c>
      <c r="O254" s="41">
        <f ca="1">SUMIFS(Stock!$O:$O,Stock!$A:$A,'Asset Line A share'!$A254,Stock!$I:$I,O$2)</f>
        <v>38566</v>
      </c>
      <c r="P254" s="41">
        <f ca="1">SUMIFS(Stock!$O:$O,Stock!$A:$A,'Asset Line A share'!$A254,Stock!$I:$I,P$2)</f>
        <v>0</v>
      </c>
      <c r="Q254" s="40">
        <f t="shared" ref="Q254:Q255" ca="1" si="349">IF(O254&lt;&gt;0,+H254/O254,"")</f>
        <v>-2.4832754239485556E-3</v>
      </c>
      <c r="R254" s="30"/>
      <c r="S254" s="41">
        <f t="shared" ref="S254" ca="1" si="350">+S253+O254-P254</f>
        <v>1313685.5999999999</v>
      </c>
      <c r="T254" s="30">
        <v>2388448</v>
      </c>
      <c r="U254" s="20">
        <f t="shared" si="341"/>
        <v>4323285.8045762712</v>
      </c>
      <c r="W254" s="4">
        <f t="shared" ref="W254" si="351">(U254-V254)/(U253)-1</f>
        <v>2.3304552060572359E-3</v>
      </c>
      <c r="X254" s="20">
        <f t="shared" ref="X254" si="352">(U254-V254)-(U253)</f>
        <v>10051.79864406772</v>
      </c>
      <c r="Y254" s="17" t="s">
        <v>5046</v>
      </c>
      <c r="Z254" s="30">
        <f t="shared" si="348"/>
        <v>1.2027525338791014</v>
      </c>
      <c r="AA254" s="18">
        <f t="shared" si="221"/>
        <v>10.034294801873141</v>
      </c>
    </row>
    <row r="255" spans="1:27" ht="40.5" x14ac:dyDescent="0.15">
      <c r="A255" s="1">
        <v>43053</v>
      </c>
      <c r="B255">
        <f t="shared" si="135"/>
        <v>2</v>
      </c>
      <c r="C255" s="30">
        <v>0</v>
      </c>
      <c r="D255" s="20">
        <v>2279379.5499999998</v>
      </c>
      <c r="E255" s="20">
        <f t="shared" si="299"/>
        <v>2279379.5499999998</v>
      </c>
      <c r="F255" s="4">
        <f t="shared" si="300"/>
        <v>-8.61081037189948E-3</v>
      </c>
      <c r="G255">
        <v>0</v>
      </c>
      <c r="H255">
        <v>0</v>
      </c>
      <c r="I255">
        <v>0</v>
      </c>
      <c r="J255">
        <v>-19883.7</v>
      </c>
      <c r="K255" s="30">
        <f>4.295*800/36.5-4.11</f>
        <v>90.02698630136986</v>
      </c>
      <c r="L255" s="18">
        <f t="shared" si="336"/>
        <v>-19793.67301369863</v>
      </c>
      <c r="M255" s="37">
        <f t="shared" si="328"/>
        <v>-19797.780000000261</v>
      </c>
      <c r="N255" s="17" t="s">
        <v>5051</v>
      </c>
      <c r="O255" s="41">
        <f ca="1">SUMIFS(Stock!$O:$O,Stock!$A:$A,'Asset Line A share'!$A255,Stock!$I:$I,O$2)</f>
        <v>0</v>
      </c>
      <c r="P255" s="41">
        <f ca="1">SUMIFS(Stock!$O:$O,Stock!$A:$A,'Asset Line A share'!$A255,Stock!$I:$I,P$2)</f>
        <v>0</v>
      </c>
      <c r="Q255" s="40" t="str">
        <f t="shared" ca="1" si="349"/>
        <v/>
      </c>
      <c r="R255" s="30"/>
      <c r="S255" s="41">
        <f t="shared" ref="S255" ca="1" si="353">+S254+O255-P255</f>
        <v>1313685.5999999999</v>
      </c>
      <c r="T255" s="30">
        <v>2385559</v>
      </c>
      <c r="U255" s="20">
        <f t="shared" si="341"/>
        <v>4301039.7194915256</v>
      </c>
      <c r="W255" s="4">
        <f t="shared" ref="W255" si="354">(U255-V255)/(U254)-1</f>
        <v>-5.1456429415788207E-3</v>
      </c>
      <c r="X255" s="20">
        <f t="shared" ref="X255" si="355">(U255-V255)-(U254)</f>
        <v>-22246.08508474566</v>
      </c>
      <c r="Y255" s="17" t="s">
        <v>5048</v>
      </c>
      <c r="Z255" s="30">
        <f t="shared" ref="Z255:Z259" si="356">Z254*(1+W255)</f>
        <v>1.1965635987926804</v>
      </c>
      <c r="AA255" s="18">
        <f t="shared" si="221"/>
        <v>7.6160604719155796</v>
      </c>
    </row>
    <row r="256" spans="1:27" x14ac:dyDescent="0.15">
      <c r="A256" s="1">
        <v>43054</v>
      </c>
      <c r="B256">
        <f t="shared" si="135"/>
        <v>3</v>
      </c>
      <c r="C256" s="30">
        <v>0</v>
      </c>
      <c r="D256" s="20">
        <v>2275531.09</v>
      </c>
      <c r="E256" s="20">
        <f t="shared" si="299"/>
        <v>2275531.09</v>
      </c>
      <c r="F256" s="4">
        <f t="shared" si="300"/>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57">IF(O256&lt;&gt;0,+H256/O256,"")</f>
        <v>3.0690706615405009E-3</v>
      </c>
      <c r="R256" s="30"/>
      <c r="S256" s="41">
        <f t="shared" ref="S256" ca="1" si="358">+S255+O256-P256</f>
        <v>1381572.5999999999</v>
      </c>
      <c r="T256" s="30">
        <v>2382740</v>
      </c>
      <c r="U256" s="20">
        <f t="shared" si="341"/>
        <v>4294802.2764406782</v>
      </c>
      <c r="W256" s="4">
        <f t="shared" ref="W256" si="359">(U256-V256)/(U255)-1</f>
        <v>-1.4502174956860792E-3</v>
      </c>
      <c r="X256" s="20">
        <f t="shared" ref="X256" si="360">(U256-V256)-(U255)</f>
        <v>-6237.4430508473888</v>
      </c>
      <c r="Y256" s="17" t="s">
        <v>5049</v>
      </c>
      <c r="Z256" s="30">
        <f t="shared" si="356"/>
        <v>1.1948283213270101</v>
      </c>
      <c r="AA256" s="18">
        <f>AVERAGE(W237:W256)/STDEV(W237:W256)*SQRT(252)</f>
        <v>6.4081498803441495</v>
      </c>
    </row>
    <row r="257" spans="1:27" ht="27" x14ac:dyDescent="0.15">
      <c r="A257" s="1">
        <v>43055</v>
      </c>
      <c r="B257">
        <f t="shared" si="135"/>
        <v>4</v>
      </c>
      <c r="C257" s="30">
        <v>0</v>
      </c>
      <c r="D257" s="20">
        <v>2303354.85</v>
      </c>
      <c r="E257" s="20">
        <f t="shared" si="299"/>
        <v>2303354.85</v>
      </c>
      <c r="F257" s="4">
        <f t="shared" si="300"/>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61">IF(O257&lt;&gt;0,+H257/O257,"")</f>
        <v/>
      </c>
      <c r="R257" s="30"/>
      <c r="S257" s="41">
        <f t="shared" ref="S257" ca="1" si="362">+S256+O257-P257</f>
        <v>1381572.5999999999</v>
      </c>
      <c r="T257" s="30">
        <v>2393210</v>
      </c>
      <c r="U257" s="20">
        <f t="shared" si="341"/>
        <v>4331498.9177966099</v>
      </c>
      <c r="W257" s="4">
        <f t="shared" ref="W257" si="363">(U257-V257)/(U256)-1</f>
        <v>8.5444309176310185E-3</v>
      </c>
      <c r="X257" s="20">
        <f>(U257-V257)-(U256)</f>
        <v>36696.641355931759</v>
      </c>
      <c r="Y257" s="17" t="s">
        <v>5052</v>
      </c>
      <c r="Z257" s="30">
        <f t="shared" si="356"/>
        <v>1.2050374493770177</v>
      </c>
      <c r="AA257" s="18">
        <f>AVERAGE(W238:W257)/STDEV(W238:W257)*SQRT(252)</f>
        <v>7.0578708959630347</v>
      </c>
    </row>
    <row r="258" spans="1:27" x14ac:dyDescent="0.15">
      <c r="A258" s="1">
        <v>43056</v>
      </c>
      <c r="B258">
        <f t="shared" si="135"/>
        <v>5</v>
      </c>
      <c r="C258" s="30">
        <v>0</v>
      </c>
      <c r="D258" s="20">
        <v>2294262.61</v>
      </c>
      <c r="E258" s="20">
        <f t="shared" si="299"/>
        <v>2294262.61</v>
      </c>
      <c r="F258" s="4">
        <f t="shared" si="300"/>
        <v>-3.9473900428326214E-3</v>
      </c>
      <c r="G258">
        <v>-1068.9100000000001</v>
      </c>
      <c r="H258">
        <v>-2563.58</v>
      </c>
      <c r="I258">
        <v>1494.67</v>
      </c>
      <c r="J258">
        <v>-8262.65</v>
      </c>
      <c r="K258" s="30">
        <f>3*(ROUND(3.915*500/36.5,2)+ROUND(3.88*100/36.5,2)+ROUND(3.865*100/36.5,2)+ROUND(3.816*54/36.5,2))-3.78</f>
        <v>237.72000000000006</v>
      </c>
      <c r="L258" s="18">
        <f>G258+J258+K258</f>
        <v>-9093.84</v>
      </c>
      <c r="M258" s="37">
        <f>+E258-E257</f>
        <v>-9092.2400000002235</v>
      </c>
      <c r="N258" s="17" t="s">
        <v>5058</v>
      </c>
      <c r="O258" s="41">
        <f ca="1">SUMIFS(Stock!$O:$O,Stock!$A:$A,'Asset Line A share'!$A258,Stock!$I:$I,O$2)</f>
        <v>142202</v>
      </c>
      <c r="P258" s="41">
        <f ca="1">SUMIFS(Stock!$O:$O,Stock!$A:$A,'Asset Line A share'!$A258,Stock!$I:$I,P$2)</f>
        <v>189767.4</v>
      </c>
      <c r="Q258" s="40">
        <f t="shared" ref="Q258" ca="1" si="364">IF(O258&lt;&gt;0,+H258/O258,"")</f>
        <v>-1.8027735193597839E-2</v>
      </c>
      <c r="R258" s="30"/>
      <c r="S258" s="41">
        <f ca="1">+S257+O258-P258</f>
        <v>1334007.2</v>
      </c>
      <c r="T258" s="30">
        <v>2404754</v>
      </c>
      <c r="U258" s="20">
        <f t="shared" ref="U258" si="365">T258/1.18+E258</f>
        <v>4332189.7286440674</v>
      </c>
      <c r="W258" s="4">
        <f t="shared" ref="W258" si="366">(U258-V258)/(U257)-1</f>
        <v>1.5948540229793196E-4</v>
      </c>
      <c r="X258" s="20">
        <f>(U258-V258)-(U257)</f>
        <v>690.81084745749831</v>
      </c>
      <c r="Y258" s="17" t="s">
        <v>5059</v>
      </c>
      <c r="Z258" s="30">
        <f t="shared" si="356"/>
        <v>1.2052296352594156</v>
      </c>
      <c r="AA258" s="18">
        <f>AVERAGE(W239:W258)/STDEV(W239:W258)*SQRT(252)</f>
        <v>7.6211771541950357</v>
      </c>
    </row>
    <row r="259" spans="1:27" ht="27" x14ac:dyDescent="0.15">
      <c r="A259" s="1">
        <v>43059</v>
      </c>
      <c r="B259">
        <f t="shared" si="135"/>
        <v>1</v>
      </c>
      <c r="C259" s="30">
        <v>0</v>
      </c>
      <c r="D259" s="20">
        <v>2311592.63</v>
      </c>
      <c r="E259" s="20">
        <f t="shared" si="299"/>
        <v>2311592.63</v>
      </c>
      <c r="F259" s="4">
        <f t="shared" si="300"/>
        <v>7.5536339756676618E-3</v>
      </c>
      <c r="G259">
        <v>0</v>
      </c>
      <c r="H259">
        <v>0</v>
      </c>
      <c r="I259">
        <v>0</v>
      </c>
      <c r="J259">
        <v>17264.05</v>
      </c>
      <c r="K259" s="30">
        <f>3.405*700/36.5+3.1*55/36.5-4</f>
        <v>65.972602739726028</v>
      </c>
      <c r="L259" s="18">
        <f>G259+J259+K259</f>
        <v>17330.022602739726</v>
      </c>
      <c r="M259" s="37">
        <f>+E259-E258</f>
        <v>17330.020000000019</v>
      </c>
      <c r="N259" s="17" t="s">
        <v>5061</v>
      </c>
      <c r="O259" s="41">
        <f ca="1">SUMIFS(Stock!$O:$O,Stock!$A:$A,'Asset Line A share'!$A259,Stock!$I:$I,O$2)</f>
        <v>0</v>
      </c>
      <c r="P259" s="41">
        <f ca="1">SUMIFS(Stock!$O:$O,Stock!$A:$A,'Asset Line A share'!$A259,Stock!$I:$I,P$2)</f>
        <v>0</v>
      </c>
      <c r="Q259" s="40" t="str">
        <f t="shared" ref="Q259" ca="1" si="367">IF(O259&lt;&gt;0,+H259/O259,"")</f>
        <v/>
      </c>
      <c r="R259" s="30"/>
      <c r="S259" s="41">
        <f ca="1">+S258+O259-P259</f>
        <v>1334007.2</v>
      </c>
      <c r="T259" s="30">
        <v>2410813</v>
      </c>
      <c r="U259" s="20">
        <f t="shared" ref="U259" si="368">T259/1.18+E259</f>
        <v>4354654.4944067802</v>
      </c>
      <c r="W259" s="4">
        <f t="shared" ref="W259" si="369">(U259-V259)/(U258)-1</f>
        <v>5.185545225357524E-3</v>
      </c>
      <c r="X259" s="20">
        <f>(U259-V259)-(U258)</f>
        <v>22464.765762712806</v>
      </c>
      <c r="Y259" s="17" t="s">
        <v>5062</v>
      </c>
      <c r="Z259" s="30">
        <f t="shared" si="356"/>
        <v>1.2114794080399944</v>
      </c>
      <c r="AA259" s="18">
        <f>AVERAGE(W240:W259)/STDEV(W240:W259)*SQRT(252)</f>
        <v>8.6601681978040101</v>
      </c>
    </row>
    <row r="260" spans="1:27" x14ac:dyDescent="0.15">
      <c r="A260" s="1">
        <v>43060</v>
      </c>
      <c r="B260">
        <f t="shared" si="135"/>
        <v>2</v>
      </c>
      <c r="E260" s="20"/>
      <c r="K260" s="30">
        <f>800*3.705/36.5</f>
        <v>81.205479452054789</v>
      </c>
      <c r="W260" s="4"/>
    </row>
    <row r="261" spans="1:27" x14ac:dyDescent="0.15">
      <c r="A261" s="1">
        <v>43061</v>
      </c>
      <c r="B261">
        <f t="shared" si="135"/>
        <v>3</v>
      </c>
      <c r="W261" s="69"/>
    </row>
    <row r="262" spans="1:27" x14ac:dyDescent="0.15">
      <c r="A262" s="1">
        <v>43062</v>
      </c>
      <c r="B262">
        <f t="shared" si="135"/>
        <v>4</v>
      </c>
    </row>
    <row r="263" spans="1:27" x14ac:dyDescent="0.15">
      <c r="A263" s="1">
        <v>43063</v>
      </c>
      <c r="B263">
        <f t="shared" si="135"/>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89"/>
  <sheetViews>
    <sheetView showGridLines="0" zoomScaleNormal="100" workbookViewId="0">
      <pane xSplit="1" ySplit="2" topLeftCell="G2252" activePane="bottomRight" state="frozen"/>
      <selection pane="topRight" activeCell="B1" sqref="B1"/>
      <selection pane="bottomLeft" activeCell="A3" sqref="A3"/>
      <selection pane="bottomRight" activeCell="X4" sqref="X4:X228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43059.721630902779</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39.799999999999997</v>
      </c>
      <c r="V4" s="31">
        <f>IF(ISNA(VLOOKUP(LOWER(F4)&amp;H4,Prices!A:C,2,0)),0,VLOOKUP(LOWER(F4)&amp;H4,Prices!A:C,2,0))</f>
        <v>41.55</v>
      </c>
      <c r="W4" s="31">
        <f>IF(I4="B",(V4+T4)*K4,(V4+T4)*K4)</f>
        <v>3360.9999999999991</v>
      </c>
      <c r="X4" s="31">
        <f>K4*(V4-U4)</f>
        <v>350</v>
      </c>
      <c r="Y4" s="42">
        <f>W4/O4</f>
        <v>0.67981391585760498</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74.86</v>
      </c>
      <c r="V5" s="31">
        <f>IF(ISNA(VLOOKUP(LOWER(F5)&amp;H5,Prices!A:C,2,0)),0,VLOOKUP(LOWER(F5)&amp;H5,Prices!A:C,2,0))</f>
        <v>72.930000000000007</v>
      </c>
      <c r="W5" s="31">
        <f>IF(I5="B",(V5+T5)*K5,(V5+T5)*K5)</f>
        <v>3835.0000000000009</v>
      </c>
      <c r="X5" s="31">
        <f t="shared" ref="X5:X68" si="7">K5*(V5-U5)</f>
        <v>-192.99999999999926</v>
      </c>
      <c r="Y5" s="42">
        <f t="shared" ref="Y5:Y68" si="8">W5/O5</f>
        <v>1.1106284390385175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74.86</v>
      </c>
      <c r="V6" s="31">
        <f>IF(ISNA(VLOOKUP(LOWER(F6)&amp;H6,Prices!A:C,2,0)),0,VLOOKUP(LOWER(F6)&amp;H6,Prices!A:C,2,0))</f>
        <v>72.930000000000007</v>
      </c>
      <c r="W6" s="31">
        <f t="shared" ref="W6:W13" si="9">IF(I6="B",(V6+T6)*K6,(V6+T6)*K6)</f>
        <v>-3802.5000000000005</v>
      </c>
      <c r="X6" s="31">
        <f t="shared" si="7"/>
        <v>192.99999999999926</v>
      </c>
      <c r="Y6" s="42">
        <f t="shared" si="8"/>
        <v>-1.0867390683052303</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19.55</v>
      </c>
      <c r="V7" s="31">
        <f>IF(ISNA(VLOOKUP(LOWER(F7)&amp;H7,Prices!A:C,2,0)),0,VLOOKUP(LOWER(F7)&amp;H7,Prices!A:C,2,0))</f>
        <v>19.05</v>
      </c>
      <c r="W7" s="31">
        <f t="shared" si="9"/>
        <v>-2913.5299999999943</v>
      </c>
      <c r="X7" s="31">
        <f t="shared" si="7"/>
        <v>-1000</v>
      </c>
      <c r="Y7" s="42">
        <f>W7/O7</f>
        <v>-7.1061707317073036E-2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19.55</v>
      </c>
      <c r="V8" s="31">
        <f>IF(ISNA(VLOOKUP(LOWER(F8)&amp;H8,Prices!A:C,2,0)),0,VLOOKUP(LOWER(F8)&amp;H8,Prices!A:C,2,0))</f>
        <v>19.05</v>
      </c>
      <c r="W8" s="34">
        <f t="shared" si="9"/>
        <v>3484.6187999999997</v>
      </c>
      <c r="X8" s="34">
        <f t="shared" si="7"/>
        <v>1000</v>
      </c>
      <c r="Y8" s="42">
        <f t="shared" si="8"/>
        <v>8.3684409221902012E-2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690.25</v>
      </c>
      <c r="V9" s="31">
        <f>IF(ISNA(VLOOKUP(LOWER(F9)&amp;H9,Prices!A:C,2,0)),0,VLOOKUP(LOWER(F9)&amp;H9,Prices!A:C,2,0))</f>
        <v>679.15</v>
      </c>
      <c r="W9" s="34">
        <f t="shared" si="9"/>
        <v>36423.611270000001</v>
      </c>
      <c r="X9" s="34">
        <f t="shared" si="7"/>
        <v>-1110.0000000000023</v>
      </c>
      <c r="Y9" s="42">
        <f t="shared" si="8"/>
        <v>1.1570029945046219</v>
      </c>
      <c r="Z9" s="48" t="s">
        <v>1329</v>
      </c>
      <c r="AA9" s="35">
        <f>W9+W13</f>
        <v>60.071470000002591</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33.22</v>
      </c>
      <c r="V10" s="31">
        <f>IF(ISNA(VLOOKUP(LOWER(F10)&amp;H10,Prices!A:C,2,0)),0,VLOOKUP(LOWER(F10)&amp;H10,Prices!A:C,2,0))</f>
        <v>33.1</v>
      </c>
      <c r="W10" s="34">
        <f t="shared" si="9"/>
        <v>16595.911870000004</v>
      </c>
      <c r="X10" s="34">
        <f t="shared" si="7"/>
        <v>-203.99999999999565</v>
      </c>
      <c r="Y10" s="42">
        <f t="shared" si="8"/>
        <v>0.41844411058722686</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39.799999999999997</v>
      </c>
      <c r="V11" s="31">
        <f>IF(ISNA(VLOOKUP(LOWER(F11)&amp;H11,Prices!A:C,2,0)),0,VLOOKUP(LOWER(F11)&amp;H11,Prices!A:C,2,0))</f>
        <v>41.55</v>
      </c>
      <c r="W11" s="34">
        <f t="shared" si="9"/>
        <v>25503.588899999999</v>
      </c>
      <c r="X11" s="34">
        <f t="shared" si="7"/>
        <v>2625</v>
      </c>
      <c r="Y11" s="42">
        <f t="shared" si="8"/>
        <v>0.69284403422982876</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33.22</v>
      </c>
      <c r="V12" s="13">
        <f>IF(ISNA(VLOOKUP(LOWER(F12)&amp;H12,Prices!A:C,2,0)),0,VLOOKUP(LOWER(F12)&amp;H12,Prices!A:C,2,0))</f>
        <v>33.1</v>
      </c>
      <c r="W12" s="19">
        <f t="shared" si="9"/>
        <v>-16351.762740000002</v>
      </c>
      <c r="X12" s="19">
        <f t="shared" si="7"/>
        <v>203.99999999999565</v>
      </c>
      <c r="Y12" s="43">
        <f t="shared" si="8"/>
        <v>-0.40913160207170923</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690.25</v>
      </c>
      <c r="V13" s="13">
        <f>IF(ISNA(VLOOKUP(LOWER(F13)&amp;H13,Prices!A:C,2,0)),0,VLOOKUP(LOWER(F13)&amp;H13,Prices!A:C,2,0))</f>
        <v>679.15</v>
      </c>
      <c r="W13" s="19">
        <f t="shared" si="9"/>
        <v>-36363.539799999999</v>
      </c>
      <c r="X13" s="19">
        <f t="shared" si="7"/>
        <v>1110.0000000000023</v>
      </c>
      <c r="Y13" s="43">
        <f t="shared" si="8"/>
        <v>-1.1511092054447611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39.799999999999997</v>
      </c>
      <c r="V14" s="13">
        <f>IF(ISNA(VLOOKUP(LOWER(F14)&amp;H14,Prices!A:C,2,0)),0,VLOOKUP(LOWER(F14)&amp;H14,Prices!A:C,2,0))</f>
        <v>41.55</v>
      </c>
      <c r="W14" s="19">
        <f t="shared" ref="W14:W21" si="12">IF(I14="B",(V14+T14)*K14,(V14+T14)*K14)</f>
        <v>-28916.12379999999</v>
      </c>
      <c r="X14" s="19">
        <f t="shared" si="7"/>
        <v>-2975</v>
      </c>
      <c r="Y14" s="43">
        <f t="shared" si="8"/>
        <v>-0.6922867150278913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31.52</v>
      </c>
      <c r="V15" s="13">
        <f>IF(ISNA(VLOOKUP(LOWER(F15)&amp;H15,Prices!A:C,2,0)),0,VLOOKUP(LOWER(F15)&amp;H15,Prices!A:C,2,0))</f>
        <v>31.88</v>
      </c>
      <c r="W15" s="19">
        <f t="shared" si="12"/>
        <v>-2547.0000000000005</v>
      </c>
      <c r="X15" s="19">
        <f t="shared" si="7"/>
        <v>35.999999999999943</v>
      </c>
      <c r="Y15" s="43">
        <f t="shared" si="8"/>
        <v>-0.44450261780104722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31.52</v>
      </c>
      <c r="V16" s="13">
        <f>IF(ISNA(VLOOKUP(LOWER(F16)&amp;H16,Prices!A:C,2,0)),0,VLOOKUP(LOWER(F16)&amp;H16,Prices!A:C,2,0))</f>
        <v>31.88</v>
      </c>
      <c r="W16" s="19">
        <f t="shared" si="12"/>
        <v>2681.1200000000003</v>
      </c>
      <c r="X16" s="19">
        <f t="shared" si="7"/>
        <v>-35.999999999999943</v>
      </c>
      <c r="Y16" s="43">
        <f t="shared" si="8"/>
        <v>0.45597278911564632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33.090000000000003</v>
      </c>
      <c r="V17" s="13">
        <f>IF(ISNA(VLOOKUP(LOWER(F17)&amp;H17,Prices!A:C,2,0)),0,VLOOKUP(LOWER(F17)&amp;H17,Prices!A:C,2,0))</f>
        <v>34.65</v>
      </c>
      <c r="W17" s="19">
        <f t="shared" si="12"/>
        <v>5144.0999999999985</v>
      </c>
      <c r="X17" s="19">
        <f t="shared" si="7"/>
        <v>1559.9999999999952</v>
      </c>
      <c r="Y17" s="43">
        <f t="shared" si="8"/>
        <v>0.17437627118644064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38.53</v>
      </c>
      <c r="V18" s="13">
        <f>IF(ISNA(VLOOKUP(LOWER(F18)&amp;H18,Prices!A:C,2,0)),0,VLOOKUP(LOWER(F18)&amp;H18,Prices!A:C,2,0))</f>
        <v>41.01</v>
      </c>
      <c r="W18" s="19">
        <f t="shared" si="12"/>
        <v>81380.839200000002</v>
      </c>
      <c r="X18" s="19">
        <f t="shared" si="7"/>
        <v>7439.9999999999909</v>
      </c>
      <c r="Y18" s="43">
        <f t="shared" si="8"/>
        <v>1.9543909510086457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38.53</v>
      </c>
      <c r="V19" s="13">
        <f>IF(ISNA(VLOOKUP(LOWER(F19)&amp;H19,Prices!A:C,2,0)),0,VLOOKUP(LOWER(F19)&amp;H19,Prices!A:C,2,0))</f>
        <v>41.01</v>
      </c>
      <c r="W19" s="19">
        <f t="shared" si="12"/>
        <v>-40646.317899999995</v>
      </c>
      <c r="X19" s="19">
        <f t="shared" si="7"/>
        <v>-3719.9999999999955</v>
      </c>
      <c r="Y19" s="43">
        <f t="shared" si="8"/>
        <v>-1.9452652739889924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38.53</v>
      </c>
      <c r="V20" s="13">
        <f>IF(ISNA(VLOOKUP(LOWER(F20)&amp;H20,Prices!A:C,2,0)),0,VLOOKUP(LOWER(F20)&amp;H20,Prices!A:C,2,0))</f>
        <v>41.01</v>
      </c>
      <c r="W20" s="19">
        <f t="shared" si="12"/>
        <v>-40661.297599999998</v>
      </c>
      <c r="X20" s="19">
        <f t="shared" si="7"/>
        <v>-3719.9999999999955</v>
      </c>
      <c r="Y20" s="43">
        <f t="shared" si="8"/>
        <v>-1.947380153256705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33.090000000000003</v>
      </c>
      <c r="V21" s="13">
        <f>IF(ISNA(VLOOKUP(LOWER(F21)&amp;H21,Prices!A:C,2,0)),0,VLOOKUP(LOWER(F21)&amp;H21,Prices!A:C,2,0))</f>
        <v>34.65</v>
      </c>
      <c r="W21" s="19">
        <f t="shared" si="12"/>
        <v>-5204.3761999999988</v>
      </c>
      <c r="X21" s="19">
        <f t="shared" si="7"/>
        <v>-1559.9999999999952</v>
      </c>
      <c r="Y21" s="43">
        <f t="shared" si="8"/>
        <v>-0.1765332315728774</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31.04</v>
      </c>
      <c r="V22" s="13">
        <f>IF(ISNA(VLOOKUP(LOWER(F22)&amp;H22,Prices!A:C,2,0)),0,VLOOKUP(LOWER(F22)&amp;H22,Prices!A:C,2,0))</f>
        <v>30.83</v>
      </c>
      <c r="W22" s="19">
        <f>IF(I22="B",(V22+T22)*K22,(V22+T22)*K22)</f>
        <v>-12259.477599999997</v>
      </c>
      <c r="X22" s="19">
        <f t="shared" si="7"/>
        <v>-210.00000000000085</v>
      </c>
      <c r="Y22" s="43">
        <f t="shared" si="8"/>
        <v>-0.28457468895078913</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690.25</v>
      </c>
      <c r="V23" s="13">
        <f>IF(ISNA(VLOOKUP(LOWER(F23)&amp;H23,Prices!A:C,2,0)),0,VLOOKUP(LOWER(F23)&amp;H23,Prices!A:C,2,0))</f>
        <v>679.15</v>
      </c>
      <c r="W23" s="19">
        <f>IF(I23="B",(V23+T23)*K23,(V23+T23)*K23)</f>
        <v>36453.079899999997</v>
      </c>
      <c r="X23" s="19">
        <f t="shared" si="7"/>
        <v>-1110.0000000000023</v>
      </c>
      <c r="Y23" s="43">
        <f t="shared" si="8"/>
        <v>1.1588961977428072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23.92</v>
      </c>
      <c r="V24" s="13">
        <f>IF(ISNA(VLOOKUP(LOWER(F24)&amp;H24,Prices!A:C,2,0)),0,VLOOKUP(LOWER(F24)&amp;H24,Prices!A:C,2,0))</f>
        <v>24.64</v>
      </c>
      <c r="W24" s="19">
        <f t="shared" ref="W24:W32" si="18">IF(I24="B",(V24+T24)*K24,(V24+T24)*K24)</f>
        <v>-14197.766000000001</v>
      </c>
      <c r="X24" s="19">
        <f t="shared" si="7"/>
        <v>719.99999999999886</v>
      </c>
      <c r="Y24" s="43">
        <f t="shared" si="8"/>
        <v>-0.36563909348441931</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26.47</v>
      </c>
      <c r="V25" s="13">
        <f>IF(ISNA(VLOOKUP(LOWER(F25)&amp;H25,Prices!A:C,2,0)),0,VLOOKUP(LOWER(F25)&amp;H25,Prices!A:C,2,0))</f>
        <v>26.24</v>
      </c>
      <c r="W25" s="19">
        <f>IF(I25="B",(V25+T25)*K25,(V25+T25)*K25)</f>
        <v>-23177.715199999999</v>
      </c>
      <c r="X25" s="19">
        <f t="shared" si="7"/>
        <v>-184.00000000000034</v>
      </c>
      <c r="Y25" s="43">
        <f t="shared" si="8"/>
        <v>-0.52485768115942022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13.35</v>
      </c>
      <c r="V26" s="13">
        <f>IF(ISNA(VLOOKUP(LOWER(F26)&amp;H26,Prices!A:C,2,0)),0,VLOOKUP(LOWER(F26)&amp;H26,Prices!A:C,2,0))</f>
        <v>13.51</v>
      </c>
      <c r="W26" s="19">
        <f t="shared" si="18"/>
        <v>-20236.314019999998</v>
      </c>
      <c r="X26" s="19">
        <f t="shared" si="7"/>
        <v>208.00000000000017</v>
      </c>
      <c r="Y26" s="43">
        <f t="shared" si="8"/>
        <v>-0.53547971792225657</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31.52</v>
      </c>
      <c r="V27" s="13">
        <f>IF(ISNA(VLOOKUP(LOWER(F27)&amp;H27,Prices!A:C,2,0)),0,VLOOKUP(LOWER(F27)&amp;H27,Prices!A:C,2,0))</f>
        <v>31.88</v>
      </c>
      <c r="W27" s="19">
        <f>IF(I27="B",(V27+T27)*K27,(V27+T27)*K27)</f>
        <v>-23504.162200000006</v>
      </c>
      <c r="X27" s="19">
        <f t="shared" si="7"/>
        <v>251.9999999999996</v>
      </c>
      <c r="Y27" s="43">
        <f t="shared" si="8"/>
        <v>-0.51306808845037233</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53.77</v>
      </c>
      <c r="V28" s="13">
        <f>IF(ISNA(VLOOKUP(LOWER(F28)&amp;H28,Prices!A:C,2,0)),0,VLOOKUP(LOWER(F28)&amp;H28,Prices!A:C,2,0))</f>
        <v>52.7</v>
      </c>
      <c r="W28" s="19">
        <f t="shared" si="18"/>
        <v>-9471.0380399999995</v>
      </c>
      <c r="X28" s="19">
        <f t="shared" si="7"/>
        <v>-642.00000000000023</v>
      </c>
      <c r="Y28" s="43">
        <f t="shared" si="8"/>
        <v>-0.23053984810866071</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69.010000000000005</v>
      </c>
      <c r="V29" s="13">
        <f>IF(ISNA(VLOOKUP(LOWER(F29)&amp;H29,Prices!A:C,2,0)),0,VLOOKUP(LOWER(F29)&amp;H29,Prices!A:C,2,0))</f>
        <v>68.489999999999995</v>
      </c>
      <c r="W29" s="19">
        <f t="shared" si="18"/>
        <v>24172.999999999993</v>
      </c>
      <c r="X29" s="19">
        <f t="shared" si="7"/>
        <v>-364.00000000000716</v>
      </c>
      <c r="Y29" s="43">
        <f t="shared" si="8"/>
        <v>1.0171681043551437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46.8</v>
      </c>
      <c r="V30" s="13">
        <f>IF(ISNA(VLOOKUP(LOWER(F30)&amp;H30,Prices!A:C,2,0)),0,VLOOKUP(LOWER(F30)&amp;H30,Prices!A:C,2,0))</f>
        <v>44.99</v>
      </c>
      <c r="W30" s="19">
        <f>IF(I30="B",(V30+T30)*K30,(V30+T30)*K30)</f>
        <v>-2373.4489799999997</v>
      </c>
      <c r="X30" s="19">
        <f t="shared" si="7"/>
        <v>-1266.9999999999966</v>
      </c>
      <c r="Y30" s="43">
        <f t="shared" si="8"/>
        <v>-7.0098023568327464E-2</v>
      </c>
      <c r="Z30" s="50"/>
      <c r="AA30" s="27">
        <f>+W30+W47</f>
        <v>77.084320000004027</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31.51</v>
      </c>
      <c r="V31" s="13">
        <f>IF(ISNA(VLOOKUP(LOWER(F31)&amp;H31,Prices!A:C,2,0)),0,VLOOKUP(LOWER(F31)&amp;H31,Prices!A:C,2,0))</f>
        <v>31.95</v>
      </c>
      <c r="W31" s="19">
        <f t="shared" si="18"/>
        <v>-2505.8897999999949</v>
      </c>
      <c r="X31" s="19">
        <f t="shared" si="7"/>
        <v>439.99999999999773</v>
      </c>
      <c r="Y31" s="43">
        <f t="shared" si="8"/>
        <v>-7.2742018636244743E-2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41.45</v>
      </c>
      <c r="V32" s="13">
        <f>IF(ISNA(VLOOKUP(LOWER(F32)&amp;H32,Prices!A:C,2,0)),0,VLOOKUP(LOWER(F32)&amp;H32,Prices!A:C,2,0))</f>
        <v>41.99</v>
      </c>
      <c r="W32" s="19">
        <f t="shared" si="18"/>
        <v>7003.0040000000045</v>
      </c>
      <c r="X32" s="19">
        <f t="shared" si="7"/>
        <v>539.99999999999909</v>
      </c>
      <c r="Y32" s="43">
        <f t="shared" si="8"/>
        <v>0.20020022870211562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23.92</v>
      </c>
      <c r="V33" s="13">
        <f>IF(ISNA(VLOOKUP(LOWER(F33)&amp;H33,Prices!A:C,2,0)),0,VLOOKUP(LOWER(F33)&amp;H33,Prices!A:C,2,0))</f>
        <v>24.64</v>
      </c>
      <c r="W33" s="19">
        <f>IF(I33="B",(V33+T33)*K33,(V33+T33)*K33)</f>
        <v>-13937.714</v>
      </c>
      <c r="X33" s="19">
        <f t="shared" si="7"/>
        <v>719.99999999999886</v>
      </c>
      <c r="Y33" s="43">
        <f t="shared" si="8"/>
        <v>-0.36136152450090742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14.67</v>
      </c>
      <c r="V34" s="13">
        <f>IF(ISNA(VLOOKUP(LOWER(F34)&amp;H34,Prices!A:C,2,0)),0,VLOOKUP(LOWER(F34)&amp;H34,Prices!A:C,2,0))</f>
        <v>15.26</v>
      </c>
      <c r="W34" s="19">
        <f t="shared" ref="W34:W46" si="19">IF(I34="B",(V34+T34)*K34,(V34+T34)*K34)</f>
        <v>-11215.294000000002</v>
      </c>
      <c r="X34" s="19">
        <f t="shared" si="7"/>
        <v>589.99999999999989</v>
      </c>
      <c r="Y34" s="43">
        <f t="shared" si="8"/>
        <v>-0.42369829996222147</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46.81</v>
      </c>
      <c r="V35" s="13">
        <f>IF(ISNA(VLOOKUP(LOWER(F35)&amp;H35,Prices!A:C,2,0)),0,VLOOKUP(LOWER(F35)&amp;H35,Prices!A:C,2,0))</f>
        <v>47.3</v>
      </c>
      <c r="W35" s="19">
        <f t="shared" si="19"/>
        <v>7162.8116</v>
      </c>
      <c r="X35" s="19">
        <f t="shared" si="7"/>
        <v>342.99999999999642</v>
      </c>
      <c r="Y35" s="43">
        <f t="shared" si="8"/>
        <v>0.27610868861305993</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53.65</v>
      </c>
      <c r="V36" s="13">
        <f>IF(ISNA(VLOOKUP(LOWER(F36)&amp;H36,Prices!A:C,2,0)),0,VLOOKUP(LOWER(F36)&amp;H36,Prices!A:C,2,0))</f>
        <v>54.62</v>
      </c>
      <c r="W36" s="19">
        <f t="shared" si="19"/>
        <v>27694.615999999998</v>
      </c>
      <c r="X36" s="19">
        <f t="shared" si="7"/>
        <v>969.99999999999886</v>
      </c>
      <c r="Y36" s="43">
        <f t="shared" si="8"/>
        <v>1.0287747399702822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104.85</v>
      </c>
      <c r="V37" s="13">
        <f>IF(ISNA(VLOOKUP(LOWER(F37)&amp;H37,Prices!A:C,2,0)),0,VLOOKUP(LOWER(F37)&amp;H37,Prices!A:C,2,0))</f>
        <v>105.99</v>
      </c>
      <c r="W37" s="19">
        <f t="shared" si="19"/>
        <v>-7802.3786800000007</v>
      </c>
      <c r="X37" s="19">
        <f t="shared" si="7"/>
        <v>228.00000000000011</v>
      </c>
      <c r="Y37" s="43">
        <f t="shared" si="8"/>
        <v>-0.26910321721735536</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v>
      </c>
      <c r="V38" s="13">
        <f>IF(ISNA(VLOOKUP(LOWER(F38)&amp;H38,Prices!A:C,2,0)),0,VLOOKUP(LOWER(F38)&amp;H38,Prices!A:C,2,0))</f>
        <v>5.92</v>
      </c>
      <c r="W38" s="19">
        <f t="shared" si="19"/>
        <v>-3995.4350000000004</v>
      </c>
      <c r="X38" s="19">
        <f t="shared" si="7"/>
        <v>59.999999999998721</v>
      </c>
      <c r="Y38" s="43">
        <f t="shared" si="8"/>
        <v>-0.18369816091954025</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13.35</v>
      </c>
      <c r="V39" s="13">
        <f>IF(ISNA(VLOOKUP(LOWER(F39)&amp;H39,Prices!A:C,2,0)),0,VLOOKUP(LOWER(F39)&amp;H39,Prices!A:C,2,0))</f>
        <v>13.51</v>
      </c>
      <c r="W39" s="19">
        <f t="shared" si="19"/>
        <v>22350.248359999998</v>
      </c>
      <c r="X39" s="19">
        <f t="shared" si="7"/>
        <v>-208.00000000000017</v>
      </c>
      <c r="Y39" s="43">
        <f t="shared" si="8"/>
        <v>0.55928753215554772</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14.93</v>
      </c>
      <c r="V40" s="13">
        <f>IF(ISNA(VLOOKUP(LOWER(F40)&amp;H40,Prices!A:C,2,0)),0,VLOOKUP(LOWER(F40)&amp;H40,Prices!A:C,2,0))</f>
        <v>14.83</v>
      </c>
      <c r="W40" s="19">
        <f t="shared" si="19"/>
        <v>-4370.8541999999961</v>
      </c>
      <c r="X40" s="19">
        <f t="shared" si="7"/>
        <v>-149.99999999999946</v>
      </c>
      <c r="Y40" s="43">
        <f t="shared" si="8"/>
        <v>-0.16425607666290856</v>
      </c>
      <c r="Z40" s="49"/>
      <c r="AA40" s="27">
        <f>W40+W66</f>
        <v>111.49860000000899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9.02</v>
      </c>
      <c r="V41" s="13">
        <f>IF(ISNA(VLOOKUP(LOWER(F41)&amp;H41,Prices!A:C,2,0)),0,VLOOKUP(LOWER(F41)&amp;H41,Prices!A:C,2,0))</f>
        <v>9.07</v>
      </c>
      <c r="W41" s="19">
        <f t="shared" si="19"/>
        <v>-5347.1610000000001</v>
      </c>
      <c r="X41" s="19">
        <f t="shared" si="7"/>
        <v>150.00000000000213</v>
      </c>
      <c r="Y41" s="43">
        <f t="shared" si="8"/>
        <v>-0.1642752995391705</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28.09</v>
      </c>
      <c r="V42" s="13">
        <f>IF(ISNA(VLOOKUP(LOWER(F42)&amp;H42,Prices!A:C,2,0)),0,VLOOKUP(LOWER(F42)&amp;H42,Prices!A:C,2,0))</f>
        <v>28.79</v>
      </c>
      <c r="W42" s="19">
        <f t="shared" si="19"/>
        <v>25252.889599999995</v>
      </c>
      <c r="X42" s="19">
        <f t="shared" si="7"/>
        <v>1399.9999999999986</v>
      </c>
      <c r="Y42" s="43">
        <f t="shared" si="8"/>
        <v>0.78133940594059392</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41.45</v>
      </c>
      <c r="V43" s="13">
        <f>IF(ISNA(VLOOKUP(LOWER(F43)&amp;H43,Prices!A:C,2,0)),0,VLOOKUP(LOWER(F43)&amp;H43,Prices!A:C,2,0))</f>
        <v>41.99</v>
      </c>
      <c r="W43" s="19">
        <f t="shared" si="19"/>
        <v>-6452.6960000000036</v>
      </c>
      <c r="X43" s="19">
        <f t="shared" si="7"/>
        <v>-539.99999999999909</v>
      </c>
      <c r="Y43" s="43">
        <f t="shared" si="8"/>
        <v>-0.18135739179314231</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27.88</v>
      </c>
      <c r="V44" s="13">
        <f>IF(ISNA(VLOOKUP(LOWER(F44)&amp;H44,Prices!A:C,2,0)),0,VLOOKUP(LOWER(F44)&amp;H44,Prices!A:C,2,0))</f>
        <v>28.03</v>
      </c>
      <c r="W44" s="19">
        <f t="shared" si="19"/>
        <v>-10106.470799999997</v>
      </c>
      <c r="X44" s="19">
        <f t="shared" si="7"/>
        <v>225.00000000000318</v>
      </c>
      <c r="Y44" s="43">
        <f t="shared" si="8"/>
        <v>-0.19383334867663976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19.27</v>
      </c>
      <c r="V45" s="13">
        <f>IF(ISNA(VLOOKUP(LOWER(F45)&amp;H45,Prices!A:C,2,0)),0,VLOOKUP(LOWER(F45)&amp;H45,Prices!A:C,2,0))</f>
        <v>18.850000000000001</v>
      </c>
      <c r="W45" s="19">
        <f t="shared" si="19"/>
        <v>-525.50549999999521</v>
      </c>
      <c r="X45" s="19">
        <f t="shared" si="7"/>
        <v>-545.99999999999761</v>
      </c>
      <c r="Y45" s="43">
        <f t="shared" si="8"/>
        <v>-2.0999220779220586E-2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69.010000000000005</v>
      </c>
      <c r="V46" s="13">
        <f>IF(ISNA(VLOOKUP(LOWER(F46)&amp;H46,Prices!A:C,2,0)),0,VLOOKUP(LOWER(F46)&amp;H46,Prices!A:C,2,0))</f>
        <v>68.489999999999995</v>
      </c>
      <c r="W46" s="19">
        <f t="shared" si="19"/>
        <v>-24024.949999999997</v>
      </c>
      <c r="X46" s="19">
        <f t="shared" si="7"/>
        <v>364.00000000000716</v>
      </c>
      <c r="Y46" s="43">
        <f t="shared" si="8"/>
        <v>-1.0032551050235936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46.8</v>
      </c>
      <c r="V47" s="13">
        <f>IF(ISNA(VLOOKUP(LOWER(F47)&amp;H47,Prices!A:C,2,0)),0,VLOOKUP(LOWER(F47)&amp;H47,Prices!A:C,2,0))</f>
        <v>44.99</v>
      </c>
      <c r="W47" s="19">
        <f>IF(I47="B",(V47+T47)*K47,(V47+T47)*K47)</f>
        <v>2450.5333000000037</v>
      </c>
      <c r="X47" s="19">
        <f t="shared" si="7"/>
        <v>1266.9999999999966</v>
      </c>
      <c r="Y47" s="43">
        <f t="shared" si="8"/>
        <v>7.2106320435486357E-2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31.51</v>
      </c>
      <c r="V48" s="13">
        <f>IF(ISNA(VLOOKUP(LOWER(F48)&amp;H48,Prices!A:C,2,0)),0,VLOOKUP(LOWER(F48)&amp;H48,Prices!A:C,2,0))</f>
        <v>31.95</v>
      </c>
      <c r="W48" s="19">
        <f t="shared" ref="W48:W58" si="20">IF(I48="B",(V48+T48)*K48,(V48+T48)*K48)</f>
        <v>3187.7839999999969</v>
      </c>
      <c r="X48" s="19">
        <f t="shared" si="7"/>
        <v>-439.99999999999773</v>
      </c>
      <c r="Y48" s="43">
        <f t="shared" si="8"/>
        <v>9.0613530415008442E-2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14.67</v>
      </c>
      <c r="V49" s="13">
        <f>IF(ISNA(VLOOKUP(LOWER(F49)&amp;H49,Prices!A:C,2,0)),0,VLOOKUP(LOWER(F49)&amp;H49,Prices!A:C,2,0))</f>
        <v>15.26</v>
      </c>
      <c r="W49" s="19">
        <f t="shared" si="20"/>
        <v>11637.684000000001</v>
      </c>
      <c r="X49" s="19">
        <f t="shared" si="7"/>
        <v>-589.99999999999989</v>
      </c>
      <c r="Y49" s="43">
        <f t="shared" si="8"/>
        <v>0.43214571110285932</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v>
      </c>
      <c r="V51" s="13">
        <f>IF(ISNA(VLOOKUP(LOWER(F51)&amp;H51,Prices!A:C,2,0)),0,VLOOKUP(LOWER(F51)&amp;H51,Prices!A:C,2,0))</f>
        <v>5.92</v>
      </c>
      <c r="W51" s="19">
        <f t="shared" si="20"/>
        <v>2143.7391999999995</v>
      </c>
      <c r="X51" s="19">
        <f t="shared" si="7"/>
        <v>-29.999999999999361</v>
      </c>
      <c r="Y51" s="43">
        <f t="shared" si="8"/>
        <v>0.1941792753623188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23.92</v>
      </c>
      <c r="V52" s="13">
        <f>IF(ISNA(VLOOKUP(LOWER(F52)&amp;H52,Prices!A:C,2,0)),0,VLOOKUP(LOWER(F52)&amp;H52,Prices!A:C,2,0))</f>
        <v>24.64</v>
      </c>
      <c r="W52" s="19">
        <f t="shared" si="20"/>
        <v>14393.104000000001</v>
      </c>
      <c r="X52" s="19">
        <f t="shared" si="7"/>
        <v>-719.99999999999886</v>
      </c>
      <c r="Y52" s="43">
        <f t="shared" si="8"/>
        <v>0.3682984646878199</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104.85</v>
      </c>
      <c r="V53" s="13">
        <f>IF(ISNA(VLOOKUP(LOWER(F53)&amp;H53,Prices!A:C,2,0)),0,VLOOKUP(LOWER(F53)&amp;H53,Prices!A:C,2,0))</f>
        <v>105.99</v>
      </c>
      <c r="W53" s="19">
        <f t="shared" si="20"/>
        <v>3991.0978000000014</v>
      </c>
      <c r="X53" s="19">
        <f t="shared" si="7"/>
        <v>-114.00000000000006</v>
      </c>
      <c r="Y53" s="43">
        <f t="shared" si="8"/>
        <v>0.27317575633128005</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27.68</v>
      </c>
      <c r="V54" s="13">
        <f>IF(ISNA(VLOOKUP(LOWER(F54)&amp;H54,Prices!A:C,2,0)),0,VLOOKUP(LOWER(F54)&amp;H54,Prices!A:C,2,0))</f>
        <v>27.86</v>
      </c>
      <c r="W54" s="19">
        <f t="shared" si="20"/>
        <v>-7757.3222000000014</v>
      </c>
      <c r="X54" s="19">
        <f t="shared" si="7"/>
        <v>53.999999999999915</v>
      </c>
      <c r="Y54" s="43">
        <f t="shared" si="8"/>
        <v>-0.48152217256362517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23.92</v>
      </c>
      <c r="V55" s="13">
        <f>IF(ISNA(VLOOKUP(LOWER(F55)&amp;H55,Prices!A:C,2,0)),0,VLOOKUP(LOWER(F55)&amp;H55,Prices!A:C,2,0))</f>
        <v>24.64</v>
      </c>
      <c r="W55" s="19">
        <f t="shared" si="20"/>
        <v>14303.212000000001</v>
      </c>
      <c r="X55" s="19">
        <f t="shared" si="7"/>
        <v>-719.99999999999886</v>
      </c>
      <c r="Y55" s="43">
        <f t="shared" si="8"/>
        <v>0.36684308797127474</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v>
      </c>
      <c r="V56" s="13">
        <f>IF(ISNA(VLOOKUP(LOWER(F56)&amp;H56,Prices!A:C,2,0)),0,VLOOKUP(LOWER(F56)&amp;H56,Prices!A:C,2,0))</f>
        <v>5.92</v>
      </c>
      <c r="W56" s="19">
        <f t="shared" si="20"/>
        <v>2128.7494999999994</v>
      </c>
      <c r="X56" s="19">
        <f t="shared" si="7"/>
        <v>-29.999999999999361</v>
      </c>
      <c r="Y56" s="43">
        <f t="shared" si="8"/>
        <v>0.1930838548752834</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46.81</v>
      </c>
      <c r="V57" s="13">
        <f>IF(ISNA(VLOOKUP(LOWER(F57)&amp;H57,Prices!A:C,2,0)),0,VLOOKUP(LOWER(F57)&amp;H57,Prices!A:C,2,0))</f>
        <v>47.3</v>
      </c>
      <c r="W57" s="19">
        <f t="shared" si="20"/>
        <v>-6961.4159999999983</v>
      </c>
      <c r="X57" s="19">
        <f t="shared" si="7"/>
        <v>-342.99999999999642</v>
      </c>
      <c r="Y57" s="43">
        <f t="shared" si="8"/>
        <v>-0.2659058823529411</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12.5</v>
      </c>
      <c r="V58" s="13">
        <f>IF(ISNA(VLOOKUP(LOWER(F58)&amp;H58,Prices!A:C,2,0)),0,VLOOKUP(LOWER(F58)&amp;H58,Prices!A:C,2,0))</f>
        <v>12.78</v>
      </c>
      <c r="W58" s="19">
        <f t="shared" si="20"/>
        <v>-2725.0000000000014</v>
      </c>
      <c r="X58" s="19">
        <f t="shared" si="7"/>
        <v>279.99999999999937</v>
      </c>
      <c r="Y58" s="43">
        <f t="shared" si="8"/>
        <v>-0.17580645161290331</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10.28</v>
      </c>
      <c r="V59" s="13">
        <f>IF(ISNA(VLOOKUP(LOWER(F59)&amp;H59,Prices!A:C,2,0)),0,VLOOKUP(LOWER(F59)&amp;H59,Prices!A:C,2,0))</f>
        <v>10.33</v>
      </c>
      <c r="W59" s="19">
        <f t="shared" ref="W59:W68" si="24">IF(I59="B",(V59+T59)*K59,(V59+T59)*K59)</f>
        <v>5974.7063999999991</v>
      </c>
      <c r="X59" s="19">
        <f t="shared" si="7"/>
        <v>100.00000000000142</v>
      </c>
      <c r="Y59" s="43">
        <f t="shared" si="8"/>
        <v>0.40699634877384189</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11.6</v>
      </c>
      <c r="V60" s="13">
        <f>IF(ISNA(VLOOKUP(LOWER(F60)&amp;H60,Prices!A:C,2,0)),0,VLOOKUP(LOWER(F60)&amp;H60,Prices!A:C,2,0))</f>
        <v>11.41</v>
      </c>
      <c r="W60" s="19">
        <f t="shared" si="24"/>
        <v>-4515.3184000000001</v>
      </c>
      <c r="X60" s="19">
        <f t="shared" si="7"/>
        <v>-189.99999999999949</v>
      </c>
      <c r="Y60" s="43">
        <f t="shared" si="8"/>
        <v>-0.28362552763819099</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8.2799999999999994</v>
      </c>
      <c r="V61" s="13">
        <f>IF(ISNA(VLOOKUP(LOWER(F61)&amp;H61,Prices!A:C,2,0)),0,VLOOKUP(LOWER(F61)&amp;H61,Prices!A:C,2,0))</f>
        <v>8.11</v>
      </c>
      <c r="W61" s="19">
        <f t="shared" si="24"/>
        <v>-6095.2839999999997</v>
      </c>
      <c r="X61" s="19">
        <f t="shared" si="7"/>
        <v>-169.99999999999994</v>
      </c>
      <c r="Y61" s="43">
        <f t="shared" si="8"/>
        <v>-0.429245352112676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8.6999999999999993</v>
      </c>
      <c r="V62" s="13">
        <f>IF(ISNA(VLOOKUP(LOWER(F62)&amp;H62,Prices!A:C,2,0)),0,VLOOKUP(LOWER(F62)&amp;H62,Prices!A:C,2,0))</f>
        <v>8.58</v>
      </c>
      <c r="W62" s="19">
        <f t="shared" si="24"/>
        <v>-4536.0539999999983</v>
      </c>
      <c r="X62" s="19">
        <f t="shared" si="7"/>
        <v>-359.99999999999767</v>
      </c>
      <c r="Y62" s="43">
        <f t="shared" si="8"/>
        <v>-0.14985312190287409</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19.55</v>
      </c>
      <c r="V64" s="13">
        <f>IF(ISNA(VLOOKUP(LOWER(F64)&amp;H64,Prices!A:C,2,0)),0,VLOOKUP(LOWER(F64)&amp;H64,Prices!A:C,2,0))</f>
        <v>19.05</v>
      </c>
      <c r="W64" s="19">
        <f t="shared" si="24"/>
        <v>-1013.248759999999</v>
      </c>
      <c r="X64" s="19">
        <f t="shared" si="7"/>
        <v>-300</v>
      </c>
      <c r="Y64" s="43">
        <f t="shared" si="8"/>
        <v>-8.1463962051776737E-2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9.02</v>
      </c>
      <c r="V65" s="13">
        <f>IF(ISNA(VLOOKUP(LOWER(F65)&amp;H65,Prices!A:C,2,0)),0,VLOOKUP(LOWER(F65)&amp;H65,Prices!A:C,2,0))</f>
        <v>9.07</v>
      </c>
      <c r="W65" s="19">
        <f t="shared" si="24"/>
        <v>5839.6301999999987</v>
      </c>
      <c r="X65" s="19">
        <f t="shared" si="7"/>
        <v>-150.00000000000213</v>
      </c>
      <c r="Y65" s="43">
        <f t="shared" si="8"/>
        <v>0.17647718948322752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14.93</v>
      </c>
      <c r="V66" s="13">
        <f>IF(ISNA(VLOOKUP(LOWER(F66)&amp;H66,Prices!A:C,2,0)),0,VLOOKUP(LOWER(F66)&amp;H66,Prices!A:C,2,0))</f>
        <v>14.83</v>
      </c>
      <c r="W66" s="19">
        <f t="shared" si="24"/>
        <v>4482.3528000000051</v>
      </c>
      <c r="X66" s="19">
        <f t="shared" si="7"/>
        <v>149.99999999999946</v>
      </c>
      <c r="Y66" s="43">
        <f t="shared" si="8"/>
        <v>0.16750197309417059</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104.85</v>
      </c>
      <c r="V67" s="13">
        <f>IF(ISNA(VLOOKUP(LOWER(F67)&amp;H67,Prices!A:C,2,0)),0,VLOOKUP(LOWER(F67)&amp;H67,Prices!A:C,2,0))</f>
        <v>105.99</v>
      </c>
      <c r="W67" s="19">
        <f>IF(I67="B",(V67+T67)*K67,(V67+T67)*K67)</f>
        <v>3851.2405999999983</v>
      </c>
      <c r="X67" s="19">
        <f t="shared" si="7"/>
        <v>-114.00000000000006</v>
      </c>
      <c r="Y67" s="43">
        <f t="shared" si="8"/>
        <v>0.26615346233586723</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28.09</v>
      </c>
      <c r="V68" s="13">
        <f>IF(ISNA(VLOOKUP(LOWER(F68)&amp;H68,Prices!A:C,2,0)),0,VLOOKUP(LOWER(F68)&amp;H68,Prices!A:C,2,0))</f>
        <v>28.79</v>
      </c>
      <c r="W68" s="19">
        <f t="shared" si="24"/>
        <v>-25239.503599999993</v>
      </c>
      <c r="X68" s="19">
        <f t="shared" si="7"/>
        <v>-1399.9999999999986</v>
      </c>
      <c r="Y68" s="43">
        <f t="shared" si="8"/>
        <v>-0.77947818406423686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10.28</v>
      </c>
      <c r="V69" s="13">
        <f>IF(ISNA(VLOOKUP(LOWER(F69)&amp;H69,Prices!A:C,2,0)),0,VLOOKUP(LOWER(F69)&amp;H69,Prices!A:C,2,0))</f>
        <v>10.33</v>
      </c>
      <c r="W69" s="13">
        <f t="shared" ref="W69:W95" si="32">IF(I69="B",(V69+T69)*K69,(V69+T69)*K69)</f>
        <v>-2782.7112000000006</v>
      </c>
      <c r="X69" s="13">
        <f t="shared" ref="X69:X95" si="33">K69*(V69-U69)</f>
        <v>-50.000000000000711</v>
      </c>
      <c r="Y69" s="43">
        <f t="shared" ref="Y69:Y132" si="34">W69/O69</f>
        <v>-0.36808349206349217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41.45</v>
      </c>
      <c r="V71" s="13">
        <f>IF(ISNA(VLOOKUP(LOWER(F71)&amp;H71,Prices!A:C,2,0)),0,VLOOKUP(LOWER(F71)&amp;H71,Prices!A:C,2,0))</f>
        <v>41.99</v>
      </c>
      <c r="W71" s="19">
        <f t="shared" si="32"/>
        <v>3829.0000000000005</v>
      </c>
      <c r="X71" s="13">
        <f t="shared" si="33"/>
        <v>323.99999999999949</v>
      </c>
      <c r="Y71" s="43">
        <f t="shared" si="34"/>
        <v>0.17926029962546819</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12.5</v>
      </c>
      <c r="V72" s="13">
        <f>IF(ISNA(VLOOKUP(LOWER(F72)&amp;H72,Prices!A:C,2,0)),0,VLOOKUP(LOWER(F72)&amp;H72,Prices!A:C,2,0))</f>
        <v>12.78</v>
      </c>
      <c r="W72" s="13">
        <f t="shared" si="32"/>
        <v>2819.3800000000006</v>
      </c>
      <c r="X72" s="13">
        <f t="shared" si="33"/>
        <v>-279.99999999999937</v>
      </c>
      <c r="Y72" s="43">
        <f t="shared" si="34"/>
        <v>0.18049807938540335</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41.45</v>
      </c>
      <c r="V73" s="13">
        <f>IF(ISNA(VLOOKUP(LOWER(F73)&amp;H73,Prices!A:C,2,0)),0,VLOOKUP(LOWER(F73)&amp;H73,Prices!A:C,2,0))</f>
        <v>41.99</v>
      </c>
      <c r="W73" s="19">
        <f t="shared" si="32"/>
        <v>3330.0000000000018</v>
      </c>
      <c r="X73" s="13">
        <f t="shared" si="33"/>
        <v>269.99999999999955</v>
      </c>
      <c r="Y73" s="43">
        <f t="shared" si="34"/>
        <v>0.18856172140430361</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14.33</v>
      </c>
      <c r="V74" s="13">
        <f>IF(ISNA(VLOOKUP(LOWER(F74)&amp;H74,Prices!A:C,2,0)),0,VLOOKUP(LOWER(F74)&amp;H74,Prices!A:C,2,0))</f>
        <v>14.12</v>
      </c>
      <c r="W74" s="19">
        <f t="shared" si="32"/>
        <v>-1565.3135999999997</v>
      </c>
      <c r="X74" s="13">
        <f t="shared" si="33"/>
        <v>-210.00000000000085</v>
      </c>
      <c r="Y74" s="43">
        <f t="shared" si="34"/>
        <v>-9.9828673469387744E-2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18.32</v>
      </c>
      <c r="V75" s="13">
        <f>IF(ISNA(VLOOKUP(LOWER(F75)&amp;H75,Prices!A:C,2,0)),0,VLOOKUP(LOWER(F75)&amp;H75,Prices!A:C,2,0))</f>
        <v>18.32</v>
      </c>
      <c r="W75" s="19">
        <f t="shared" si="32"/>
        <v>-18560</v>
      </c>
      <c r="X75" s="13">
        <f t="shared" si="33"/>
        <v>0</v>
      </c>
      <c r="Y75" s="43">
        <f t="shared" si="34"/>
        <v>-0.77169348467839172</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32.21</v>
      </c>
      <c r="V76" s="13">
        <f>IF(ISNA(VLOOKUP(LOWER(F76)&amp;H76,Prices!A:C,2,0)),0,VLOOKUP(LOWER(F76)&amp;H76,Prices!A:C,2,0))</f>
        <v>31.8</v>
      </c>
      <c r="W76" s="19">
        <f t="shared" si="32"/>
        <v>3305.6210199999987</v>
      </c>
      <c r="X76" s="13">
        <f t="shared" si="33"/>
        <v>-287.00000000000011</v>
      </c>
      <c r="Y76" s="43">
        <f t="shared" si="34"/>
        <v>0.17444830967333361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23.92</v>
      </c>
      <c r="V77" s="13">
        <f>IF(ISNA(VLOOKUP(LOWER(F77)&amp;H77,Prices!A:C,2,0)),0,VLOOKUP(LOWER(F77)&amp;H77,Prices!A:C,2,0))</f>
        <v>24.64</v>
      </c>
      <c r="W77" s="19">
        <f t="shared" si="32"/>
        <v>-8225.0000000000018</v>
      </c>
      <c r="X77" s="13">
        <f t="shared" si="33"/>
        <v>431.99999999999932</v>
      </c>
      <c r="Y77" s="43">
        <f t="shared" si="34"/>
        <v>-0.35754651364980006</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48.82</v>
      </c>
      <c r="V78" s="13">
        <f>IF(ISNA(VLOOKUP(LOWER(F78)&amp;H78,Prices!A:C,2,0)),0,VLOOKUP(LOWER(F78)&amp;H78,Prices!A:C,2,0))</f>
        <v>52.62</v>
      </c>
      <c r="W78" s="19">
        <f t="shared" si="32"/>
        <v>12306.614799999998</v>
      </c>
      <c r="X78" s="13">
        <f t="shared" si="33"/>
        <v>2279.9999999999982</v>
      </c>
      <c r="Y78" s="43">
        <f t="shared" si="34"/>
        <v>0.6389727310488057</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32.97</v>
      </c>
      <c r="V79" s="13">
        <f>IF(ISNA(VLOOKUP(LOWER(F79)&amp;H79,Prices!A:C,2,0)),0,VLOOKUP(LOWER(F79)&amp;H79,Prices!A:C,2,0))</f>
        <v>33.65</v>
      </c>
      <c r="W79" s="19">
        <f t="shared" si="32"/>
        <v>2024.5694999999998</v>
      </c>
      <c r="X79" s="13">
        <f t="shared" si="33"/>
        <v>475.99999999999977</v>
      </c>
      <c r="Y79" s="43">
        <f t="shared" si="34"/>
        <v>9.4056655052264806E-2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7.7</v>
      </c>
      <c r="V82" s="13">
        <f>IF(ISNA(VLOOKUP(LOWER(F82)&amp;H82,Prices!A:C,2,0)),0,VLOOKUP(LOWER(F82)&amp;H82,Prices!A:C,2,0))</f>
        <v>7.76</v>
      </c>
      <c r="W82" s="19">
        <f t="shared" si="32"/>
        <v>-7700.9999999999991</v>
      </c>
      <c r="X82" s="13">
        <f t="shared" si="33"/>
        <v>95.999999999999375</v>
      </c>
      <c r="Y82" s="43">
        <f t="shared" si="34"/>
        <v>-0.38290572792362765</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67.150000000000006</v>
      </c>
      <c r="V84" s="13">
        <f>IF(ISNA(VLOOKUP(LOWER(F84)&amp;H84,Prices!A:C,2,0)),0,VLOOKUP(LOWER(F84)&amp;H84,Prices!A:C,2,0))</f>
        <v>70.260000000000005</v>
      </c>
      <c r="W84" s="19">
        <f t="shared" si="32"/>
        <v>24109.000000000004</v>
      </c>
      <c r="X84" s="13">
        <f t="shared" si="33"/>
        <v>1865.9999999999995</v>
      </c>
      <c r="Y84" s="43">
        <f t="shared" si="34"/>
        <v>1.3362709234009535</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10.6</v>
      </c>
      <c r="V85" s="13">
        <f>IF(ISNA(VLOOKUP(LOWER(F85)&amp;H85,Prices!A:C,2,0)),0,VLOOKUP(LOWER(F85)&amp;H85,Prices!A:C,2,0))</f>
        <v>10.48</v>
      </c>
      <c r="W85" s="19">
        <f t="shared" si="32"/>
        <v>-809.26759999999967</v>
      </c>
      <c r="X85" s="13">
        <f t="shared" si="33"/>
        <v>-143.99999999999906</v>
      </c>
      <c r="Y85" s="43">
        <f t="shared" si="34"/>
        <v>-6.0483378176382635E-2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8.6999999999999993</v>
      </c>
      <c r="V86" s="13">
        <f>IF(ISNA(VLOOKUP(LOWER(F86)&amp;H86,Prices!A:C,2,0)),0,VLOOKUP(LOWER(F86)&amp;H86,Prices!A:C,2,0))</f>
        <v>8.58</v>
      </c>
      <c r="W86" s="13">
        <f t="shared" si="32"/>
        <v>1544.86</v>
      </c>
      <c r="X86" s="13">
        <f t="shared" si="33"/>
        <v>119.99999999999922</v>
      </c>
      <c r="Y86" s="43">
        <f t="shared" si="34"/>
        <v>0.15235305719921102</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27.88</v>
      </c>
      <c r="V87" s="13">
        <f>IF(ISNA(VLOOKUP(LOWER(F87)&amp;H87,Prices!A:C,2,0)),0,VLOOKUP(LOWER(F87)&amp;H87,Prices!A:C,2,0))</f>
        <v>28.03</v>
      </c>
      <c r="W87" s="19">
        <f t="shared" si="32"/>
        <v>-1931.2067000000006</v>
      </c>
      <c r="X87" s="13">
        <f t="shared" si="33"/>
        <v>45.000000000000639</v>
      </c>
      <c r="Y87" s="43">
        <f t="shared" si="34"/>
        <v>-0.18686083212385105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8.6999999999999993</v>
      </c>
      <c r="V88" s="13">
        <f>IF(ISNA(VLOOKUP(LOWER(F88)&amp;H88,Prices!A:C,2,0)),0,VLOOKUP(LOWER(F88)&amp;H88,Prices!A:C,2,0))</f>
        <v>8.58</v>
      </c>
      <c r="W88" s="13">
        <f t="shared" si="32"/>
        <v>1544.86</v>
      </c>
      <c r="X88" s="13">
        <f t="shared" si="33"/>
        <v>119.99999999999922</v>
      </c>
      <c r="Y88" s="43">
        <f t="shared" si="34"/>
        <v>0.15235305719921102</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8.6999999999999993</v>
      </c>
      <c r="V89" s="13">
        <f>IF(ISNA(VLOOKUP(LOWER(F89)&amp;H89,Prices!A:C,2,0)),0,VLOOKUP(LOWER(F89)&amp;H89,Prices!A:C,2,0))</f>
        <v>8.58</v>
      </c>
      <c r="W89" s="13">
        <f t="shared" si="32"/>
        <v>1544.86</v>
      </c>
      <c r="X89" s="13">
        <f t="shared" si="33"/>
        <v>119.99999999999922</v>
      </c>
      <c r="Y89" s="43">
        <f t="shared" si="34"/>
        <v>0.15235305719921102</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53.65</v>
      </c>
      <c r="V90" s="13">
        <f>IF(ISNA(VLOOKUP(LOWER(F90)&amp;H90,Prices!A:C,2,0)),0,VLOOKUP(LOWER(F90)&amp;H90,Prices!A:C,2,0))</f>
        <v>54.62</v>
      </c>
      <c r="W90" s="13">
        <f t="shared" si="32"/>
        <v>-27672.375999999997</v>
      </c>
      <c r="X90" s="13">
        <f t="shared" si="33"/>
        <v>-969.99999999999886</v>
      </c>
      <c r="Y90" s="43">
        <f t="shared" si="34"/>
        <v>-1.0256625648628612</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19.55</v>
      </c>
      <c r="V91" s="13">
        <f>IF(ISNA(VLOOKUP(LOWER(F91)&amp;H91,Prices!A:C,2,0)),0,VLOOKUP(LOWER(F91)&amp;H91,Prices!A:C,2,0))</f>
        <v>19.05</v>
      </c>
      <c r="W91" s="13">
        <f t="shared" si="32"/>
        <v>1056.2499200000004</v>
      </c>
      <c r="X91" s="13">
        <f t="shared" si="33"/>
        <v>300</v>
      </c>
      <c r="Y91" s="43">
        <f t="shared" si="34"/>
        <v>8.447296225207937E-2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10.28</v>
      </c>
      <c r="V92" s="13">
        <f>IF(ISNA(VLOOKUP(LOWER(F92)&amp;H92,Prices!A:C,2,0)),0,VLOOKUP(LOWER(F92)&amp;H92,Prices!A:C,2,0))</f>
        <v>10.33</v>
      </c>
      <c r="W92" s="13">
        <f t="shared" si="32"/>
        <v>-2872.6194000000005</v>
      </c>
      <c r="X92" s="13">
        <f t="shared" si="33"/>
        <v>-50.000000000000711</v>
      </c>
      <c r="Y92" s="43">
        <f t="shared" si="34"/>
        <v>-0.38455413654618481</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14.68</v>
      </c>
      <c r="V94" s="13">
        <f>IF(ISNA(VLOOKUP(LOWER(F94)&amp;H94,Prices!A:C,2,0)),0,VLOOKUP(LOWER(F94)&amp;H94,Prices!A:C,2,0))</f>
        <v>15.53</v>
      </c>
      <c r="W94" s="19">
        <f t="shared" si="32"/>
        <v>8734.5535999999975</v>
      </c>
      <c r="X94" s="13">
        <f t="shared" si="33"/>
        <v>1699.9999999999993</v>
      </c>
      <c r="Y94" s="43">
        <f t="shared" si="34"/>
        <v>0.39133304659498197</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65.12</v>
      </c>
      <c r="V95" s="13">
        <f>IF(ISNA(VLOOKUP(LOWER(F95)&amp;H95,Prices!A:C,2,0)),0,VLOOKUP(LOWER(F95)&amp;H95,Prices!A:C,2,0))</f>
        <v>68.150000000000006</v>
      </c>
      <c r="W95" s="19">
        <f t="shared" si="32"/>
        <v>9004.0000000000036</v>
      </c>
      <c r="X95" s="13">
        <f t="shared" si="33"/>
        <v>909.00000000000034</v>
      </c>
      <c r="Y95" s="43">
        <f t="shared" si="34"/>
        <v>0.78733823015040261</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14.33</v>
      </c>
      <c r="V96" s="13">
        <f>IF(ISNA(VLOOKUP(LOWER(F96)&amp;H96,Prices!A:C,2,0)),0,VLOOKUP(LOWER(F96)&amp;H96,Prices!A:C,2,0))</f>
        <v>14.12</v>
      </c>
      <c r="W96" s="19">
        <f t="shared" ref="W96:W119" si="39">IF(I96="B",(V96+T96)*K96,(V96+T96)*K96)</f>
        <v>1858.6800000000014</v>
      </c>
      <c r="X96" s="13">
        <f t="shared" ref="X96:X119" si="40">K96*(V96-U96)</f>
        <v>210.00000000000085</v>
      </c>
      <c r="Y96" s="43">
        <f t="shared" si="34"/>
        <v>0.11616750000000009</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48.82</v>
      </c>
      <c r="V97" s="13">
        <f>IF(ISNA(VLOOKUP(LOWER(F97)&amp;H97,Prices!A:C,2,0)),0,VLOOKUP(LOWER(F97)&amp;H97,Prices!A:C,2,0))</f>
        <v>52.62</v>
      </c>
      <c r="W97" s="19">
        <f t="shared" si="39"/>
        <v>8358.7463199999984</v>
      </c>
      <c r="X97" s="13">
        <f t="shared" si="40"/>
        <v>1519.9999999999989</v>
      </c>
      <c r="Y97" s="43">
        <f t="shared" si="34"/>
        <v>0.65899923683380623</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11.6</v>
      </c>
      <c r="V98" s="13">
        <f>IF(ISNA(VLOOKUP(LOWER(F98)&amp;H98,Prices!A:C,2,0)),0,VLOOKUP(LOWER(F98)&amp;H98,Prices!A:C,2,0))</f>
        <v>11.41</v>
      </c>
      <c r="W98" s="19">
        <f t="shared" si="39"/>
        <v>-3093.2443199999993</v>
      </c>
      <c r="X98" s="13">
        <f t="shared" si="40"/>
        <v>-151.9999999999996</v>
      </c>
      <c r="Y98" s="43">
        <f t="shared" si="34"/>
        <v>-0.25321253438113944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27.68</v>
      </c>
      <c r="V99" s="13">
        <f>IF(ISNA(VLOOKUP(LOWER(F99)&amp;H99,Prices!A:C,2,0)),0,VLOOKUP(LOWER(F99)&amp;H99,Prices!A:C,2,0))</f>
        <v>27.86</v>
      </c>
      <c r="W99" s="19">
        <f t="shared" si="39"/>
        <v>8054.241320000001</v>
      </c>
      <c r="X99" s="13">
        <f t="shared" si="40"/>
        <v>-53.999999999999915</v>
      </c>
      <c r="Y99" s="43">
        <f t="shared" si="34"/>
        <v>0.49009622246562012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7.7</v>
      </c>
      <c r="V100" s="13">
        <f>IF(ISNA(VLOOKUP(LOWER(F100)&amp;H100,Prices!A:C,2,0)),0,VLOOKUP(LOWER(F100)&amp;H100,Prices!A:C,2,0))</f>
        <v>7.76</v>
      </c>
      <c r="W100" s="19">
        <f t="shared" si="39"/>
        <v>7846.7099999999991</v>
      </c>
      <c r="X100" s="13">
        <f t="shared" si="40"/>
        <v>-95.999999999999375</v>
      </c>
      <c r="Y100" s="43">
        <f t="shared" si="34"/>
        <v>0.38676606861198731</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32.97</v>
      </c>
      <c r="V103" s="13">
        <f>IF(ISNA(VLOOKUP(LOWER(F103)&amp;H103,Prices!A:C,2,0)),0,VLOOKUP(LOWER(F103)&amp;H103,Prices!A:C,2,0))</f>
        <v>33.65</v>
      </c>
      <c r="W103" s="19">
        <f t="shared" si="39"/>
        <v>-1903.1135800000011</v>
      </c>
      <c r="X103" s="13">
        <f t="shared" si="40"/>
        <v>-475.99999999999977</v>
      </c>
      <c r="Y103" s="43">
        <f t="shared" si="34"/>
        <v>-8.7786040869043819E-2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18.32</v>
      </c>
      <c r="V105" s="13">
        <f>IF(ISNA(VLOOKUP(LOWER(F105)&amp;H105,Prices!A:C,2,0)),0,VLOOKUP(LOWER(F105)&amp;H105,Prices!A:C,2,0))</f>
        <v>18.32</v>
      </c>
      <c r="W105" s="19">
        <f t="shared" si="39"/>
        <v>18741.73</v>
      </c>
      <c r="X105" s="13">
        <f t="shared" si="40"/>
        <v>0</v>
      </c>
      <c r="Y105" s="43">
        <f t="shared" si="34"/>
        <v>0.77231342976058015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8.2799999999999994</v>
      </c>
      <c r="V106" s="13">
        <f>IF(ISNA(VLOOKUP(LOWER(F106)&amp;H106,Prices!A:C,2,0)),0,VLOOKUP(LOWER(F106)&amp;H106,Prices!A:C,2,0))</f>
        <v>8.11</v>
      </c>
      <c r="W106" s="19">
        <f t="shared" si="39"/>
        <v>5331.2708000000002</v>
      </c>
      <c r="X106" s="13">
        <f t="shared" si="40"/>
        <v>169.99999999999994</v>
      </c>
      <c r="Y106" s="43">
        <f t="shared" si="34"/>
        <v>0.39608252600297178</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19.27</v>
      </c>
      <c r="V107" s="13">
        <f>IF(ISNA(VLOOKUP(LOWER(F107)&amp;H107,Prices!A:C,2,0)),0,VLOOKUP(LOWER(F107)&amp;H107,Prices!A:C,2,0))</f>
        <v>18.850000000000001</v>
      </c>
      <c r="W107" s="19">
        <f t="shared" si="39"/>
        <v>-159.86750000000035</v>
      </c>
      <c r="X107" s="13">
        <f t="shared" si="40"/>
        <v>545.99999999999761</v>
      </c>
      <c r="Y107" s="43">
        <f t="shared" si="34"/>
        <v>-6.5586666666666805E-3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32.21</v>
      </c>
      <c r="V108" s="13">
        <f>IF(ISNA(VLOOKUP(LOWER(F108)&amp;H108,Prices!A:C,2,0)),0,VLOOKUP(LOWER(F108)&amp;H108,Prices!A:C,2,0))</f>
        <v>31.8</v>
      </c>
      <c r="W108" s="19">
        <f t="shared" si="39"/>
        <v>-3615.0433800000005</v>
      </c>
      <c r="X108" s="13">
        <f t="shared" si="40"/>
        <v>287.00000000000011</v>
      </c>
      <c r="Y108" s="43">
        <f t="shared" si="34"/>
        <v>-0.19363883336011573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11.6</v>
      </c>
      <c r="V109" s="13">
        <f>IF(ISNA(VLOOKUP(LOWER(F109)&amp;H109,Prices!A:C,2,0)),0,VLOOKUP(LOWER(F109)&amp;H109,Prices!A:C,2,0))</f>
        <v>11.41</v>
      </c>
      <c r="W109" s="19">
        <f t="shared" si="39"/>
        <v>3699.5673999999995</v>
      </c>
      <c r="X109" s="13">
        <f t="shared" si="40"/>
        <v>189.99999999999949</v>
      </c>
      <c r="Y109" s="43">
        <f t="shared" si="34"/>
        <v>0.24451866490416388</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53.77</v>
      </c>
      <c r="V110" s="13">
        <f>IF(ISNA(VLOOKUP(LOWER(F110)&amp;H110,Prices!A:C,2,0)),0,VLOOKUP(LOWER(F110)&amp;H110,Prices!A:C,2,0))</f>
        <v>52.7</v>
      </c>
      <c r="W110" s="19">
        <f t="shared" si="39"/>
        <v>5898.1779195600011</v>
      </c>
      <c r="X110" s="13">
        <f t="shared" si="40"/>
        <v>642.00000000000023</v>
      </c>
      <c r="Y110" s="43">
        <f t="shared" si="34"/>
        <v>0.15701676087547864</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31.52</v>
      </c>
      <c r="V111" s="13">
        <f>IF(ISNA(VLOOKUP(LOWER(F111)&amp;H111,Prices!A:C,2,0)),0,VLOOKUP(LOWER(F111)&amp;H111,Prices!A:C,2,0))</f>
        <v>31.88</v>
      </c>
      <c r="W111" s="19">
        <f t="shared" si="39"/>
        <v>20535.519399999997</v>
      </c>
      <c r="X111" s="13">
        <f t="shared" si="40"/>
        <v>-251.9999999999996</v>
      </c>
      <c r="Y111" s="43">
        <f t="shared" si="34"/>
        <v>0.47864996387199027</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67.150000000000006</v>
      </c>
      <c r="V112" s="13">
        <f>IF(ISNA(VLOOKUP(LOWER(F112)&amp;H112,Prices!A:C,2,0)),0,VLOOKUP(LOWER(F112)&amp;H112,Prices!A:C,2,0))</f>
        <v>70.260000000000005</v>
      </c>
      <c r="W112" s="19">
        <f t="shared" si="39"/>
        <v>-24119.060000000005</v>
      </c>
      <c r="X112" s="13">
        <f t="shared" si="40"/>
        <v>-1865.9999999999995</v>
      </c>
      <c r="Y112" s="43">
        <f t="shared" si="34"/>
        <v>-1.3354961240310079</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14.68</v>
      </c>
      <c r="V113" s="13">
        <f>IF(ISNA(VLOOKUP(LOWER(F113)&amp;H113,Prices!A:C,2,0)),0,VLOOKUP(LOWER(F113)&amp;H113,Prices!A:C,2,0))</f>
        <v>15.53</v>
      </c>
      <c r="W113" s="19">
        <f t="shared" si="39"/>
        <v>-8887.6439999999984</v>
      </c>
      <c r="X113" s="13">
        <f t="shared" si="40"/>
        <v>-1699.9999999999993</v>
      </c>
      <c r="Y113" s="43">
        <f t="shared" si="34"/>
        <v>-0.40034432432432426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27.88</v>
      </c>
      <c r="V114" s="13">
        <f>IF(ISNA(VLOOKUP(LOWER(F114)&amp;H114,Prices!A:C,2,0)),0,VLOOKUP(LOWER(F114)&amp;H114,Prices!A:C,2,0))</f>
        <v>28.03</v>
      </c>
      <c r="W114" s="19">
        <f t="shared" si="39"/>
        <v>11767.994439999999</v>
      </c>
      <c r="X114" s="13">
        <f t="shared" si="40"/>
        <v>-270.00000000000387</v>
      </c>
      <c r="Y114" s="43">
        <f t="shared" si="34"/>
        <v>0.18889843076824295</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10.6</v>
      </c>
      <c r="V115" s="13">
        <f>IF(ISNA(VLOOKUP(LOWER(F115)&amp;H115,Prices!A:C,2,0)),0,VLOOKUP(LOWER(F115)&amp;H115,Prices!A:C,2,0))</f>
        <v>10.48</v>
      </c>
      <c r="W115" s="19">
        <f t="shared" si="39"/>
        <v>641.49528000000021</v>
      </c>
      <c r="X115" s="13">
        <f t="shared" si="40"/>
        <v>143.99999999999906</v>
      </c>
      <c r="Y115" s="43">
        <f t="shared" si="34"/>
        <v>4.8465947416137821E-2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48.82</v>
      </c>
      <c r="V117" s="13">
        <f>IF(ISNA(VLOOKUP(LOWER(F117)&amp;H117,Prices!A:C,2,0)),0,VLOOKUP(LOWER(F117)&amp;H117,Prices!A:C,2,0))</f>
        <v>52.62</v>
      </c>
      <c r="W117" s="19">
        <f t="shared" si="39"/>
        <v>-12630.349320000001</v>
      </c>
      <c r="X117" s="13">
        <f t="shared" si="40"/>
        <v>-2279.9999999999982</v>
      </c>
      <c r="Y117" s="43">
        <f t="shared" si="34"/>
        <v>-0.6659469218601709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23.92</v>
      </c>
      <c r="V118" s="13">
        <f>IF(ISNA(VLOOKUP(LOWER(F118)&amp;H118,Prices!A:C,2,0)),0,VLOOKUP(LOWER(F118)&amp;H118,Prices!A:C,2,0))</f>
        <v>24.64</v>
      </c>
      <c r="W118" s="19">
        <f t="shared" si="39"/>
        <v>8102.0900000000011</v>
      </c>
      <c r="X118" s="13">
        <f t="shared" si="40"/>
        <v>-431.99999999999932</v>
      </c>
      <c r="Y118" s="43">
        <f t="shared" si="34"/>
        <v>0.35358689011084932</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65.12</v>
      </c>
      <c r="V119" s="13">
        <f>IF(ISNA(VLOOKUP(LOWER(F119)&amp;H119,Prices!A:C,2,0)),0,VLOOKUP(LOWER(F119)&amp;H119,Prices!A:C,2,0))</f>
        <v>68.150000000000006</v>
      </c>
      <c r="W119" s="19">
        <f t="shared" si="39"/>
        <v>-9088.3700000000044</v>
      </c>
      <c r="X119" s="13">
        <f t="shared" si="40"/>
        <v>-909.00000000000034</v>
      </c>
      <c r="Y119" s="43">
        <f t="shared" si="34"/>
        <v>-0.79911808669656259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26.47</v>
      </c>
      <c r="V122" s="13">
        <f>IF(ISNA(VLOOKUP(LOWER(F122)&amp;H122,Prices!A:C,2,0)),0,VLOOKUP(LOWER(F122)&amp;H122,Prices!A:C,2,0))</f>
        <v>26.24</v>
      </c>
      <c r="W122" s="19">
        <f t="shared" si="45"/>
        <v>21004.69944</v>
      </c>
      <c r="X122" s="13">
        <f t="shared" si="46"/>
        <v>184.00000000000034</v>
      </c>
      <c r="Y122" s="43">
        <f t="shared" si="34"/>
        <v>0.49954098744292236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11.6</v>
      </c>
      <c r="V126" s="13">
        <f>IF(ISNA(VLOOKUP(LOWER(F126)&amp;H126,Prices!A:C,2,0)),0,VLOOKUP(LOWER(F126)&amp;H126,Prices!A:C,2,0))</f>
        <v>11.41</v>
      </c>
      <c r="W126" s="19">
        <f t="shared" si="45"/>
        <v>3414.1887999999994</v>
      </c>
      <c r="X126" s="13">
        <f t="shared" si="46"/>
        <v>151.9999999999996</v>
      </c>
      <c r="Y126" s="43">
        <f t="shared" si="34"/>
        <v>0.27183031847133754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48.82</v>
      </c>
      <c r="V127" s="13">
        <f>IF(ISNA(VLOOKUP(LOWER(F127)&amp;H127,Prices!A:C,2,0)),0,VLOOKUP(LOWER(F127)&amp;H127,Prices!A:C,2,0))</f>
        <v>52.62</v>
      </c>
      <c r="W127" s="19">
        <f t="shared" si="45"/>
        <v>-8389.9335199999987</v>
      </c>
      <c r="X127" s="13">
        <f t="shared" si="46"/>
        <v>-1519.9999999999989</v>
      </c>
      <c r="Y127" s="43">
        <f t="shared" si="34"/>
        <v>-0.66187547491322174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41.45</v>
      </c>
      <c r="V128" s="13">
        <f>IF(ISNA(VLOOKUP(LOWER(F128)&amp;H128,Prices!A:C,2,0)),0,VLOOKUP(LOWER(F128)&amp;H128,Prices!A:C,2,0))</f>
        <v>41.99</v>
      </c>
      <c r="W128" s="19">
        <f t="shared" si="45"/>
        <v>-7229.8112000000028</v>
      </c>
      <c r="X128" s="13">
        <f t="shared" si="46"/>
        <v>-593.99999999999909</v>
      </c>
      <c r="Y128" s="43">
        <f t="shared" si="34"/>
        <v>-0.18535125878070047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v>
      </c>
      <c r="V129" s="13">
        <f>IF(ISNA(VLOOKUP(LOWER(F129)&amp;H129,Prices!A:C,2,0)),0,VLOOKUP(LOWER(F129)&amp;H129,Prices!A:C,2,0))</f>
        <v>28.9</v>
      </c>
      <c r="W129" s="19">
        <f t="shared" si="45"/>
        <v>2414.7040000000006</v>
      </c>
      <c r="X129" s="13">
        <f t="shared" si="46"/>
        <v>0</v>
      </c>
      <c r="Y129" s="43">
        <f t="shared" si="34"/>
        <v>9.1189728096676761E-2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19.55</v>
      </c>
      <c r="V130" s="13">
        <f>IF(ISNA(VLOOKUP(LOWER(F130)&amp;H130,Prices!A:C,2,0)),0,VLOOKUP(LOWER(F130)&amp;H130,Prices!A:C,2,0))</f>
        <v>19.05</v>
      </c>
      <c r="W130" s="19">
        <f t="shared" si="45"/>
        <v>-1626.6428999999985</v>
      </c>
      <c r="X130" s="13">
        <f t="shared" si="46"/>
        <v>-750</v>
      </c>
      <c r="Y130" s="43">
        <f t="shared" si="34"/>
        <v>-5.387126676602081E-2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14.92</v>
      </c>
      <c r="V131" s="13">
        <f>IF(ISNA(VLOOKUP(LOWER(F131)&amp;H131,Prices!A:C,2,0)),0,VLOOKUP(LOWER(F131)&amp;H131,Prices!A:C,2,0))</f>
        <v>13.99</v>
      </c>
      <c r="W131" s="19">
        <f t="shared" si="45"/>
        <v>-17289.957200000008</v>
      </c>
      <c r="X131" s="13">
        <f t="shared" si="46"/>
        <v>-1859.9999999999995</v>
      </c>
      <c r="Y131" s="43">
        <f t="shared" si="34"/>
        <v>-0.38201407865665066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45.95</v>
      </c>
      <c r="V132" s="13">
        <f>IF(ISNA(VLOOKUP(LOWER(F132)&amp;H132,Prices!A:C,2,0)),0,VLOOKUP(LOWER(F132)&amp;H132,Prices!A:C,2,0))</f>
        <v>45.82</v>
      </c>
      <c r="W132" s="19">
        <f t="shared" si="45"/>
        <v>23305</v>
      </c>
      <c r="X132" s="13">
        <f t="shared" si="46"/>
        <v>-130.00000000000256</v>
      </c>
      <c r="Y132" s="43">
        <f t="shared" si="34"/>
        <v>1.0353176366059529</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14.67</v>
      </c>
      <c r="V133" s="13">
        <f>IF(ISNA(VLOOKUP(LOWER(F133)&amp;H133,Prices!A:C,2,0)),0,VLOOKUP(LOWER(F133)&amp;H133,Prices!A:C,2,0))</f>
        <v>15.26</v>
      </c>
      <c r="W133" s="19">
        <f t="shared" si="45"/>
        <v>-9475</v>
      </c>
      <c r="X133" s="13">
        <f t="shared" si="46"/>
        <v>589.99999999999989</v>
      </c>
      <c r="Y133" s="43">
        <f t="shared" ref="Y133:Y196" si="50">W133/O133</f>
        <v>-0.3831378892033967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22.73</v>
      </c>
      <c r="V135" s="13">
        <f>IF(ISNA(VLOOKUP(LOWER(F135)&amp;H135,Prices!A:C,2,0)),0,VLOOKUP(LOWER(F135)&amp;H135,Prices!A:C,2,0))</f>
        <v>21.88</v>
      </c>
      <c r="W135" s="19">
        <f t="shared" si="45"/>
        <v>6279.6929999999929</v>
      </c>
      <c r="X135" s="13">
        <f t="shared" si="46"/>
        <v>-1275.000000000002</v>
      </c>
      <c r="Y135" s="43">
        <f t="shared" si="50"/>
        <v>0.23665698134539259</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9.6199999999999992</v>
      </c>
      <c r="V136" s="13">
        <f>IF(ISNA(VLOOKUP(LOWER(F136)&amp;H136,Prices!A:C,2,0)),0,VLOOKUP(LOWER(F136)&amp;H136,Prices!A:C,2,0))</f>
        <v>9.3000000000000007</v>
      </c>
      <c r="W136" s="19">
        <f t="shared" si="45"/>
        <v>-21067.001999999997</v>
      </c>
      <c r="X136" s="13">
        <f t="shared" si="46"/>
        <v>-479.99999999999778</v>
      </c>
      <c r="Y136" s="43">
        <f t="shared" si="50"/>
        <v>-0.60174241645244209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v>
      </c>
      <c r="V137" s="13">
        <f>IF(ISNA(VLOOKUP(LOWER(F137)&amp;H137,Prices!A:C,2,0)),0,VLOOKUP(LOWER(F137)&amp;H137,Prices!A:C,2,0))</f>
        <v>28.9</v>
      </c>
      <c r="W137" s="19">
        <f t="shared" ref="W137:W147" si="55">IF(I137="B",(V137+T137)*K137,(V137+T137)*K137)</f>
        <v>-1692.6880000000003</v>
      </c>
      <c r="X137" s="13">
        <f t="shared" ref="X137:X147" si="56">K137*(V137-U137)</f>
        <v>0</v>
      </c>
      <c r="Y137" s="43">
        <f t="shared" si="50"/>
        <v>-6.2139794419970647E-2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45.95</v>
      </c>
      <c r="V138" s="13">
        <f>IF(ISNA(VLOOKUP(LOWER(F138)&amp;H138,Prices!A:C,2,0)),0,VLOOKUP(LOWER(F138)&amp;H138,Prices!A:C,2,0))</f>
        <v>45.82</v>
      </c>
      <c r="W138" s="19">
        <f t="shared" si="55"/>
        <v>-22997.85</v>
      </c>
      <c r="X138" s="13">
        <f t="shared" si="56"/>
        <v>130.00000000000256</v>
      </c>
      <c r="Y138" s="43">
        <f t="shared" si="50"/>
        <v>-1.0064704595185996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19.55</v>
      </c>
      <c r="V139" s="13">
        <f>IF(ISNA(VLOOKUP(LOWER(F139)&amp;H139,Prices!A:C,2,0)),0,VLOOKUP(LOWER(F139)&amp;H139,Prices!A:C,2,0))</f>
        <v>19.05</v>
      </c>
      <c r="W139" s="19">
        <f t="shared" si="55"/>
        <v>1792.9008999999976</v>
      </c>
      <c r="X139" s="13">
        <f t="shared" si="56"/>
        <v>750</v>
      </c>
      <c r="Y139" s="43">
        <f t="shared" si="50"/>
        <v>5.8967304719618405E-2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9.6199999999999992</v>
      </c>
      <c r="V141" s="13">
        <f>IF(ISNA(VLOOKUP(LOWER(F141)&amp;H141,Prices!A:C,2,0)),0,VLOOKUP(LOWER(F141)&amp;H141,Prices!A:C,2,0))</f>
        <v>9.3000000000000007</v>
      </c>
      <c r="W141" s="19">
        <f t="shared" si="55"/>
        <v>21452.461000000003</v>
      </c>
      <c r="X141" s="13">
        <f t="shared" si="56"/>
        <v>479.99999999999778</v>
      </c>
      <c r="Y141" s="43">
        <f t="shared" si="50"/>
        <v>0.60523235999435754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31.04</v>
      </c>
      <c r="V142" s="13">
        <f>IF(ISNA(VLOOKUP(LOWER(F142)&amp;H142,Prices!A:C,2,0)),0,VLOOKUP(LOWER(F142)&amp;H142,Prices!A:C,2,0))</f>
        <v>30.83</v>
      </c>
      <c r="W142" s="19">
        <f t="shared" si="55"/>
        <v>8681.7368000000097</v>
      </c>
      <c r="X142" s="13">
        <f t="shared" si="56"/>
        <v>210.00000000000085</v>
      </c>
      <c r="Y142" s="43">
        <f t="shared" si="50"/>
        <v>0.21945745197168881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14.92</v>
      </c>
      <c r="V143" s="13">
        <f>IF(ISNA(VLOOKUP(LOWER(F143)&amp;H143,Prices!A:C,2,0)),0,VLOOKUP(LOWER(F143)&amp;H143,Prices!A:C,2,0))</f>
        <v>13.99</v>
      </c>
      <c r="W143" s="19">
        <f t="shared" si="55"/>
        <v>17364.61199999999</v>
      </c>
      <c r="X143" s="13">
        <f t="shared" si="56"/>
        <v>1859.9999999999995</v>
      </c>
      <c r="Y143" s="43">
        <f t="shared" si="50"/>
        <v>0.38248044052863417</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690.25</v>
      </c>
      <c r="V144" s="13">
        <f>IF(ISNA(VLOOKUP(LOWER(F144)&amp;H144,Prices!A:C,2,0)),0,VLOOKUP(LOWER(F144)&amp;H144,Prices!A:C,2,0))</f>
        <v>679.15</v>
      </c>
      <c r="W144" s="19">
        <f t="shared" si="55"/>
        <v>-37025.733939999998</v>
      </c>
      <c r="X144" s="13">
        <f t="shared" si="56"/>
        <v>1110.0000000000023</v>
      </c>
      <c r="Y144" s="43">
        <f t="shared" si="50"/>
        <v>-1.1971977217318199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22.73</v>
      </c>
      <c r="V145" s="13">
        <f>IF(ISNA(VLOOKUP(LOWER(F145)&amp;H145,Prices!A:C,2,0)),0,VLOOKUP(LOWER(F145)&amp;H145,Prices!A:C,2,0))</f>
        <v>21.88</v>
      </c>
      <c r="W145" s="19">
        <f t="shared" si="55"/>
        <v>-6211.9679999999935</v>
      </c>
      <c r="X145" s="13">
        <f t="shared" si="56"/>
        <v>1275.000000000002</v>
      </c>
      <c r="Y145" s="43">
        <f t="shared" si="50"/>
        <v>-0.2331819819819817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42.89</v>
      </c>
      <c r="V146" s="13">
        <f>IF(ISNA(VLOOKUP(LOWER(F146)&amp;H146,Prices!A:C,2,0)),0,VLOOKUP(LOWER(F146)&amp;H146,Prices!A:C,2,0))</f>
        <v>45.31</v>
      </c>
      <c r="W146" s="19">
        <f t="shared" si="55"/>
        <v>40163.885100000007</v>
      </c>
      <c r="X146" s="13">
        <f t="shared" si="56"/>
        <v>3630.0000000000027</v>
      </c>
      <c r="Y146" s="43">
        <f t="shared" si="50"/>
        <v>1.4450039611440908</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24.98</v>
      </c>
      <c r="V147" s="13">
        <f>IF(ISNA(VLOOKUP(LOWER(F147)&amp;H147,Prices!A:C,2,0)),0,VLOOKUP(LOWER(F147)&amp;H147,Prices!A:C,2,0))</f>
        <v>26.2</v>
      </c>
      <c r="W147" s="19">
        <f t="shared" si="55"/>
        <v>8468.8349999999973</v>
      </c>
      <c r="X147" s="13">
        <f t="shared" si="56"/>
        <v>1829.9999999999982</v>
      </c>
      <c r="Y147" s="43">
        <f t="shared" si="50"/>
        <v>0.27473917274939164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34.4</v>
      </c>
      <c r="V148" s="13">
        <f>IF(ISNA(VLOOKUP(LOWER(F148)&amp;H148,Prices!A:C,2,0)),0,VLOOKUP(LOWER(F148)&amp;H148,Prices!A:C,2,0))</f>
        <v>34.69</v>
      </c>
      <c r="W148" s="19">
        <f t="shared" ref="W148:W164" si="62">IF(I148="B",(V148+T148)*K148,(V148+T148)*K148)</f>
        <v>-9925.8404000000046</v>
      </c>
      <c r="X148" s="13">
        <f t="shared" ref="X148:X164" si="63">K148*(V148-U148)</f>
        <v>202.9999999999994</v>
      </c>
      <c r="Y148" s="43">
        <f t="shared" si="50"/>
        <v>-0.29021227998362681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22.17</v>
      </c>
      <c r="V149" s="13">
        <f>IF(ISNA(VLOOKUP(LOWER(F149)&amp;H149,Prices!A:C,2,0)),0,VLOOKUP(LOWER(F149)&amp;H149,Prices!A:C,2,0))</f>
        <v>22.44</v>
      </c>
      <c r="W149" s="19">
        <f t="shared" si="62"/>
        <v>9993.0239999999976</v>
      </c>
      <c r="X149" s="13">
        <f t="shared" si="63"/>
        <v>539.99999999999909</v>
      </c>
      <c r="Y149" s="43">
        <f t="shared" si="50"/>
        <v>0.28649724770642193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34.4</v>
      </c>
      <c r="V150" s="13">
        <f>IF(ISNA(VLOOKUP(LOWER(F150)&amp;H150,Prices!A:C,2,0)),0,VLOOKUP(LOWER(F150)&amp;H150,Prices!A:C,2,0))</f>
        <v>34.69</v>
      </c>
      <c r="W150" s="19">
        <f t="shared" si="62"/>
        <v>-9547.7647999999972</v>
      </c>
      <c r="X150" s="13">
        <f t="shared" si="63"/>
        <v>202.9999999999994</v>
      </c>
      <c r="Y150" s="43">
        <f t="shared" si="50"/>
        <v>-0.28227781456953632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34.4</v>
      </c>
      <c r="V151" s="13">
        <f>IF(ISNA(VLOOKUP(LOWER(F151)&amp;H151,Prices!A:C,2,0)),0,VLOOKUP(LOWER(F151)&amp;H151,Prices!A:C,2,0))</f>
        <v>34.69</v>
      </c>
      <c r="W151" s="19">
        <f t="shared" si="62"/>
        <v>-9533.7620000000024</v>
      </c>
      <c r="X151" s="13">
        <f t="shared" si="63"/>
        <v>202.9999999999994</v>
      </c>
      <c r="Y151" s="43">
        <f t="shared" si="50"/>
        <v>-0.28198053830227748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21.32</v>
      </c>
      <c r="V152" s="13">
        <f>IF(ISNA(VLOOKUP(LOWER(F152)&amp;H152,Prices!A:C,2,0)),0,VLOOKUP(LOWER(F152)&amp;H152,Prices!A:C,2,0))</f>
        <v>21.77</v>
      </c>
      <c r="W152" s="19">
        <f t="shared" si="62"/>
        <v>-1415.4635999999989</v>
      </c>
      <c r="X152" s="13">
        <f t="shared" si="63"/>
        <v>449.99999999999932</v>
      </c>
      <c r="Y152" s="43">
        <f t="shared" si="50"/>
        <v>-6.1064003451251028E-2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35.11</v>
      </c>
      <c r="V153" s="13">
        <f>IF(ISNA(VLOOKUP(LOWER(F153)&amp;H153,Prices!A:C,2,0)),0,VLOOKUP(LOWER(F153)&amp;H153,Prices!A:C,2,0))</f>
        <v>34.75</v>
      </c>
      <c r="W153" s="19">
        <f t="shared" si="62"/>
        <v>485.00000000000512</v>
      </c>
      <c r="X153" s="13">
        <f t="shared" si="63"/>
        <v>-251.9999999999996</v>
      </c>
      <c r="Y153" s="43">
        <f t="shared" si="50"/>
        <v>2.0348227396685764E-2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21.32</v>
      </c>
      <c r="V154" s="13">
        <f>IF(ISNA(VLOOKUP(LOWER(F154)&amp;H154,Prices!A:C,2,0)),0,VLOOKUP(LOWER(F154)&amp;H154,Prices!A:C,2,0))</f>
        <v>21.77</v>
      </c>
      <c r="W154" s="19">
        <f t="shared" si="62"/>
        <v>-1345.4622000000036</v>
      </c>
      <c r="X154" s="13">
        <f t="shared" si="63"/>
        <v>449.99999999999932</v>
      </c>
      <c r="Y154" s="43">
        <f t="shared" si="50"/>
        <v>-5.8219913457377911E-2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21.32</v>
      </c>
      <c r="V155" s="13">
        <f>IF(ISNA(VLOOKUP(LOWER(F155)&amp;H155,Prices!A:C,2,0)),0,VLOOKUP(LOWER(F155)&amp;H155,Prices!A:C,2,0))</f>
        <v>21.77</v>
      </c>
      <c r="W155" s="19">
        <f t="shared" si="62"/>
        <v>-2008.6243200000044</v>
      </c>
      <c r="X155" s="13">
        <f t="shared" si="63"/>
        <v>674.99999999999898</v>
      </c>
      <c r="Y155" s="43">
        <f t="shared" si="50"/>
        <v>-5.7958919667590154E-2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22.17</v>
      </c>
      <c r="V156" s="13">
        <f>IF(ISNA(VLOOKUP(LOWER(F156)&amp;H156,Prices!A:C,2,0)),0,VLOOKUP(LOWER(F156)&amp;H156,Prices!A:C,2,0))</f>
        <v>22.44</v>
      </c>
      <c r="W156" s="19">
        <f t="shared" si="62"/>
        <v>-9922.0000000000036</v>
      </c>
      <c r="X156" s="13">
        <f t="shared" si="63"/>
        <v>-539.99999999999909</v>
      </c>
      <c r="Y156" s="43">
        <f t="shared" si="50"/>
        <v>-0.2834857142857144</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35.11</v>
      </c>
      <c r="V157" s="13">
        <f>IF(ISNA(VLOOKUP(LOWER(F157)&amp;H157,Prices!A:C,2,0)),0,VLOOKUP(LOWER(F157)&amp;H157,Prices!A:C,2,0))</f>
        <v>34.75</v>
      </c>
      <c r="W157" s="19">
        <f t="shared" si="62"/>
        <v>-413.9399999999938</v>
      </c>
      <c r="X157" s="13">
        <f t="shared" si="63"/>
        <v>251.9999999999996</v>
      </c>
      <c r="Y157" s="43">
        <f t="shared" si="50"/>
        <v>-1.7290726817042346E-2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42.89</v>
      </c>
      <c r="V158" s="13">
        <f>IF(ISNA(VLOOKUP(LOWER(F158)&amp;H158,Prices!A:C,2,0)),0,VLOOKUP(LOWER(F158)&amp;H158,Prices!A:C,2,0))</f>
        <v>45.31</v>
      </c>
      <c r="W158" s="19">
        <f t="shared" si="62"/>
        <v>-40131.000960099984</v>
      </c>
      <c r="X158" s="13">
        <f t="shared" si="63"/>
        <v>-3630.0000000000027</v>
      </c>
      <c r="Y158" s="43">
        <f t="shared" si="50"/>
        <v>-1.4400387885834645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21.32</v>
      </c>
      <c r="V159" s="13">
        <f>IF(ISNA(VLOOKUP(LOWER(F159)&amp;H159,Prices!A:C,2,0)),0,VLOOKUP(LOWER(F159)&amp;H159,Prices!A:C,2,0))</f>
        <v>21.77</v>
      </c>
      <c r="W159" s="19">
        <f t="shared" si="62"/>
        <v>2365.9069399999994</v>
      </c>
      <c r="X159" s="13">
        <f t="shared" si="63"/>
        <v>-764.99999999999875</v>
      </c>
      <c r="Y159" s="43">
        <f t="shared" si="50"/>
        <v>6.0013366309007415E-2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21.32</v>
      </c>
      <c r="V160" s="13">
        <f>IF(ISNA(VLOOKUP(LOWER(F160)&amp;H160,Prices!A:C,2,0)),0,VLOOKUP(LOWER(F160)&amp;H160,Prices!A:C,2,0))</f>
        <v>21.77</v>
      </c>
      <c r="W160" s="19">
        <f t="shared" si="62"/>
        <v>2523.0527999999958</v>
      </c>
      <c r="X160" s="13">
        <f t="shared" si="63"/>
        <v>-809.99999999999875</v>
      </c>
      <c r="Y160" s="43">
        <f t="shared" si="50"/>
        <v>6.0417931034482661E-2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34.4</v>
      </c>
      <c r="V161" s="13">
        <f>IF(ISNA(VLOOKUP(LOWER(F161)&amp;H161,Prices!A:C,2,0)),0,VLOOKUP(LOWER(F161)&amp;H161,Prices!A:C,2,0))</f>
        <v>34.69</v>
      </c>
      <c r="W161" s="19">
        <f t="shared" si="62"/>
        <v>14351.080000000004</v>
      </c>
      <c r="X161" s="13">
        <f t="shared" si="63"/>
        <v>-289.99999999999915</v>
      </c>
      <c r="Y161" s="43">
        <f t="shared" si="50"/>
        <v>0.29228268839103877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24.98</v>
      </c>
      <c r="V162" s="13">
        <f>IF(ISNA(VLOOKUP(LOWER(F162)&amp;H162,Prices!A:C,2,0)),0,VLOOKUP(LOWER(F162)&amp;H162,Prices!A:C,2,0))</f>
        <v>26.2</v>
      </c>
      <c r="W162" s="19">
        <f t="shared" si="62"/>
        <v>-8287.2599999999966</v>
      </c>
      <c r="X162" s="13">
        <f t="shared" si="63"/>
        <v>-1829.9999999999982</v>
      </c>
      <c r="Y162" s="43">
        <f t="shared" si="50"/>
        <v>-0.26690048309178732</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14.67</v>
      </c>
      <c r="V163" s="13">
        <f>IF(ISNA(VLOOKUP(LOWER(F163)&amp;H163,Prices!A:C,2,0)),0,VLOOKUP(LOWER(F163)&amp;H163,Prices!A:C,2,0))</f>
        <v>15.26</v>
      </c>
      <c r="W163" s="19">
        <f t="shared" si="62"/>
        <v>4682.670000000001</v>
      </c>
      <c r="X163" s="13">
        <f t="shared" si="63"/>
        <v>-294.99999999999994</v>
      </c>
      <c r="Y163" s="43">
        <f t="shared" si="50"/>
        <v>0.37977858880778598</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34.4</v>
      </c>
      <c r="V164" s="13">
        <f>IF(ISNA(VLOOKUP(LOWER(F164)&amp;H164,Prices!A:C,2,0)),0,VLOOKUP(LOWER(F164)&amp;H164,Prices!A:C,2,0))</f>
        <v>34.69</v>
      </c>
      <c r="W164" s="19">
        <f t="shared" si="62"/>
        <v>15401.64500000001</v>
      </c>
      <c r="X164" s="13">
        <f t="shared" si="63"/>
        <v>-318.99999999999909</v>
      </c>
      <c r="Y164" s="43">
        <f t="shared" si="50"/>
        <v>0.28721016317016335</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14.67</v>
      </c>
      <c r="V165" s="13">
        <f>IF(ISNA(VLOOKUP(LOWER(F165)&amp;H165,Prices!A:C,2,0)),0,VLOOKUP(LOWER(F165)&amp;H165,Prices!A:C,2,0))</f>
        <v>15.26</v>
      </c>
      <c r="W165" s="19">
        <f t="shared" ref="W165:W179" si="68">IF(I165="B",(V165+T165)*K165,(V165+T165)*K165)</f>
        <v>4697.6500000000005</v>
      </c>
      <c r="X165" s="13">
        <f t="shared" ref="X165:X179" si="69">K165*(V165-U165)</f>
        <v>-294.99999999999994</v>
      </c>
      <c r="Y165" s="43">
        <f t="shared" si="50"/>
        <v>0.38053057918185507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20.55</v>
      </c>
      <c r="V166" s="13">
        <f>IF(ISNA(VLOOKUP(LOWER(F166)&amp;H166,Prices!A:C,2,0)),0,VLOOKUP(LOWER(F166)&amp;H166,Prices!A:C,2,0))</f>
        <v>20.49</v>
      </c>
      <c r="W166" s="19">
        <f t="shared" si="68"/>
        <v>-2815.0000000000014</v>
      </c>
      <c r="X166" s="13">
        <f t="shared" si="69"/>
        <v>-60.000000000002274</v>
      </c>
      <c r="Y166" s="43">
        <f t="shared" si="50"/>
        <v>-0.12081545064377688</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13.35</v>
      </c>
      <c r="V167" s="13">
        <f>IF(ISNA(VLOOKUP(LOWER(F167)&amp;H167,Prices!A:C,2,0)),0,VLOOKUP(LOWER(F167)&amp;H167,Prices!A:C,2,0))</f>
        <v>13.51</v>
      </c>
      <c r="W167" s="19">
        <f t="shared" si="68"/>
        <v>-15326.342599999998</v>
      </c>
      <c r="X167" s="13">
        <f t="shared" si="69"/>
        <v>160.00000000000014</v>
      </c>
      <c r="Y167" s="43">
        <f t="shared" si="50"/>
        <v>-0.53161091224418999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46.8</v>
      </c>
      <c r="V168" s="13">
        <f>IF(ISNA(VLOOKUP(LOWER(F168)&amp;H168,Prices!A:C,2,0)),0,VLOOKUP(LOWER(F168)&amp;H168,Prices!A:C,2,0))</f>
        <v>44.99</v>
      </c>
      <c r="W168" s="19">
        <f>IF(I168="B",(V168+T168)*K168,(V168+T168)*K168)</f>
        <v>-1290.221159999996</v>
      </c>
      <c r="X168" s="13">
        <f t="shared" si="69"/>
        <v>-1085.999999999997</v>
      </c>
      <c r="Y168" s="43">
        <f t="shared" si="50"/>
        <v>-4.5626322936558314E-2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16.579999999999998</v>
      </c>
      <c r="V169" s="13">
        <f>IF(ISNA(VLOOKUP(LOWER(F169)&amp;H169,Prices!A:C,2,0)),0,VLOOKUP(LOWER(F169)&amp;H169,Prices!A:C,2,0))</f>
        <v>17.25</v>
      </c>
      <c r="W169" s="19">
        <f t="shared" si="68"/>
        <v>-1887.2759999999998</v>
      </c>
      <c r="X169" s="13">
        <f t="shared" si="69"/>
        <v>1340.0000000000034</v>
      </c>
      <c r="Y169" s="43">
        <f t="shared" si="50"/>
        <v>-5.1876745464540949E-2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17.149999999999999</v>
      </c>
      <c r="V170" s="13">
        <f>IF(ISNA(VLOOKUP(LOWER(F170)&amp;H170,Prices!A:C,2,0)),0,VLOOKUP(LOWER(F170)&amp;H170,Prices!A:C,2,0))</f>
        <v>17.14</v>
      </c>
      <c r="W170" s="19">
        <f t="shared" si="68"/>
        <v>-5496.2399999999989</v>
      </c>
      <c r="X170" s="13">
        <f t="shared" si="69"/>
        <v>-14.999999999997016</v>
      </c>
      <c r="Y170" s="43">
        <f t="shared" si="50"/>
        <v>-0.17616153846153842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12.7</v>
      </c>
      <c r="V171" s="13">
        <f>IF(ISNA(VLOOKUP(LOWER(F171)&amp;H171,Prices!A:C,2,0)),0,VLOOKUP(LOWER(F171)&amp;H171,Prices!A:C,2,0))</f>
        <v>13.09</v>
      </c>
      <c r="W171" s="19">
        <f t="shared" si="68"/>
        <v>-7715</v>
      </c>
      <c r="X171" s="13">
        <f t="shared" si="69"/>
        <v>390.00000000000057</v>
      </c>
      <c r="Y171" s="43">
        <f t="shared" si="50"/>
        <v>-0.37091346153846155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13.35</v>
      </c>
      <c r="V172" s="13">
        <f>IF(ISNA(VLOOKUP(LOWER(F172)&amp;H172,Prices!A:C,2,0)),0,VLOOKUP(LOWER(F172)&amp;H172,Prices!A:C,2,0))</f>
        <v>13.51</v>
      </c>
      <c r="W172" s="19">
        <f t="shared" si="68"/>
        <v>-15066.285400000001</v>
      </c>
      <c r="X172" s="13">
        <f t="shared" si="69"/>
        <v>160.00000000000014</v>
      </c>
      <c r="Y172" s="43">
        <f t="shared" si="50"/>
        <v>-0.5273463563178159</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16.579999999999998</v>
      </c>
      <c r="V173" s="13">
        <f>IF(ISNA(VLOOKUP(LOWER(F173)&amp;H173,Prices!A:C,2,0)),0,VLOOKUP(LOWER(F173)&amp;H173,Prices!A:C,2,0))</f>
        <v>17.25</v>
      </c>
      <c r="W173" s="19">
        <f t="shared" si="68"/>
        <v>-1355.4449999999943</v>
      </c>
      <c r="X173" s="13">
        <f t="shared" si="69"/>
        <v>1005.0000000000025</v>
      </c>
      <c r="Y173" s="43">
        <f t="shared" si="50"/>
        <v>-4.9786776859503931E-2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14.33</v>
      </c>
      <c r="V174" s="13">
        <f>IF(ISNA(VLOOKUP(LOWER(F174)&amp;H174,Prices!A:C,2,0)),0,VLOOKUP(LOWER(F174)&amp;H174,Prices!A:C,2,0))</f>
        <v>14.12</v>
      </c>
      <c r="W174" s="19">
        <f t="shared" si="68"/>
        <v>-2406.7408000000014</v>
      </c>
      <c r="X174" s="13">
        <f t="shared" si="69"/>
        <v>-420.00000000000171</v>
      </c>
      <c r="Y174" s="43">
        <f t="shared" si="50"/>
        <v>-7.854898172323764E-2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14.33</v>
      </c>
      <c r="V175" s="13">
        <f>IF(ISNA(VLOOKUP(LOWER(F175)&amp;H175,Prices!A:C,2,0)),0,VLOOKUP(LOWER(F175)&amp;H175,Prices!A:C,2,0))</f>
        <v>14.12</v>
      </c>
      <c r="W175" s="19">
        <f t="shared" si="68"/>
        <v>-1155.3053999999995</v>
      </c>
      <c r="X175" s="13">
        <f t="shared" si="69"/>
        <v>-210.00000000000085</v>
      </c>
      <c r="Y175" s="43">
        <f t="shared" si="50"/>
        <v>-7.5658506876227868E-2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13.02</v>
      </c>
      <c r="V176" s="13">
        <f>IF(ISNA(VLOOKUP(LOWER(F176)&amp;H176,Prices!A:C,2,0)),0,VLOOKUP(LOWER(F176)&amp;H176,Prices!A:C,2,0))</f>
        <v>13.35</v>
      </c>
      <c r="W176" s="19">
        <f t="shared" si="68"/>
        <v>934.84800000000234</v>
      </c>
      <c r="X176" s="13">
        <f t="shared" si="69"/>
        <v>660.00000000000011</v>
      </c>
      <c r="Y176" s="43">
        <f t="shared" si="50"/>
        <v>3.6290683229813755E-2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14.33</v>
      </c>
      <c r="V177" s="13">
        <f>IF(ISNA(VLOOKUP(LOWER(F177)&amp;H177,Prices!A:C,2,0)),0,VLOOKUP(LOWER(F177)&amp;H177,Prices!A:C,2,0))</f>
        <v>14.12</v>
      </c>
      <c r="W177" s="19">
        <f t="shared" si="68"/>
        <v>-1966.6440000000023</v>
      </c>
      <c r="X177" s="13">
        <f t="shared" si="69"/>
        <v>-420.00000000000171</v>
      </c>
      <c r="Y177" s="43">
        <f t="shared" si="50"/>
        <v>-6.5120662251655706E-2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13.35</v>
      </c>
      <c r="V178" s="13">
        <f>IF(ISNA(VLOOKUP(LOWER(F178)&amp;H178,Prices!A:C,2,0)),0,VLOOKUP(LOWER(F178)&amp;H178,Prices!A:C,2,0))</f>
        <v>13.51</v>
      </c>
      <c r="W178" s="19">
        <f t="shared" si="68"/>
        <v>-14866.241399999997</v>
      </c>
      <c r="X178" s="13">
        <f t="shared" si="69"/>
        <v>160.00000000000014</v>
      </c>
      <c r="Y178" s="43">
        <f t="shared" si="50"/>
        <v>-0.52401273880860055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13.35</v>
      </c>
      <c r="V179" s="13">
        <f>IF(ISNA(VLOOKUP(LOWER(F179)&amp;H179,Prices!A:C,2,0)),0,VLOOKUP(LOWER(F179)&amp;H179,Prices!A:C,2,0))</f>
        <v>13.51</v>
      </c>
      <c r="W179" s="19">
        <f t="shared" si="68"/>
        <v>-14721.209500000003</v>
      </c>
      <c r="X179" s="13">
        <f t="shared" si="69"/>
        <v>160.00000000000014</v>
      </c>
      <c r="Y179" s="43">
        <f t="shared" si="50"/>
        <v>-0.52156632418069093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20.55</v>
      </c>
      <c r="V180" s="13">
        <f>IF(ISNA(VLOOKUP(LOWER(F180)&amp;H180,Prices!A:C,2,0)),0,VLOOKUP(LOWER(F180)&amp;H180,Prices!A:C,2,0))</f>
        <v>20.49</v>
      </c>
      <c r="W180" s="19">
        <f t="shared" ref="W180:W193" si="74">IF(I180="B",(V180+T180)*K180,(V180+T180)*K180)</f>
        <v>2472.0100000000011</v>
      </c>
      <c r="X180" s="13">
        <f t="shared" ref="X180:X193" si="75">K180*(V180-U180)</f>
        <v>60.000000000002274</v>
      </c>
      <c r="Y180" s="43">
        <f t="shared" si="50"/>
        <v>0.10752544584602006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46.8</v>
      </c>
      <c r="V181" s="13">
        <f>IF(ISNA(VLOOKUP(LOWER(F181)&amp;H181,Prices!A:C,2,0)),0,VLOOKUP(LOWER(F181)&amp;H181,Prices!A:C,2,0))</f>
        <v>44.99</v>
      </c>
      <c r="W181" s="19">
        <f>IF(I181="B",(V181+T181)*K181,(V181+T181)*K181)</f>
        <v>-354.01524000000109</v>
      </c>
      <c r="X181" s="13">
        <f t="shared" si="75"/>
        <v>-1085.999999999997</v>
      </c>
      <c r="Y181" s="43">
        <f t="shared" si="50"/>
        <v>-1.2947671713846868E-2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12.7</v>
      </c>
      <c r="V182" s="13">
        <f>IF(ISNA(VLOOKUP(LOWER(F182)&amp;H182,Prices!A:C,2,0)),0,VLOOKUP(LOWER(F182)&amp;H182,Prices!A:C,2,0))</f>
        <v>13.09</v>
      </c>
      <c r="W182" s="19">
        <f t="shared" si="74"/>
        <v>8003.8800000000019</v>
      </c>
      <c r="X182" s="13">
        <f t="shared" si="75"/>
        <v>-390.00000000000057</v>
      </c>
      <c r="Y182" s="43">
        <f t="shared" si="50"/>
        <v>0.37897159090909099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17.149999999999999</v>
      </c>
      <c r="V183" s="13">
        <f>IF(ISNA(VLOOKUP(LOWER(F183)&amp;H183,Prices!A:C,2,0)),0,VLOOKUP(LOWER(F183)&amp;H183,Prices!A:C,2,0))</f>
        <v>17.14</v>
      </c>
      <c r="W183" s="19">
        <f t="shared" si="74"/>
        <v>-4941.1289999999999</v>
      </c>
      <c r="X183" s="13">
        <f t="shared" si="75"/>
        <v>-14.999999999997016</v>
      </c>
      <c r="Y183" s="43">
        <f t="shared" si="50"/>
        <v>-0.1612376896720509</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13.02</v>
      </c>
      <c r="V184" s="13">
        <f>IF(ISNA(VLOOKUP(LOWER(F184)&amp;H184,Prices!A:C,2,0)),0,VLOOKUP(LOWER(F184)&amp;H184,Prices!A:C,2,0))</f>
        <v>13.35</v>
      </c>
      <c r="W184" s="19">
        <f t="shared" si="74"/>
        <v>1194.9000000000005</v>
      </c>
      <c r="X184" s="13">
        <f t="shared" si="75"/>
        <v>660.00000000000011</v>
      </c>
      <c r="Y184" s="43">
        <f t="shared" si="50"/>
        <v>4.6858823529411786E-2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13.35</v>
      </c>
      <c r="V185" s="13">
        <f>IF(ISNA(VLOOKUP(LOWER(F185)&amp;H185,Prices!A:C,2,0)),0,VLOOKUP(LOWER(F185)&amp;H185,Prices!A:C,2,0))</f>
        <v>13.51</v>
      </c>
      <c r="W185" s="19">
        <f t="shared" si="74"/>
        <v>-14316.120400000002</v>
      </c>
      <c r="X185" s="13">
        <f t="shared" si="75"/>
        <v>160.00000000000014</v>
      </c>
      <c r="Y185" s="43">
        <f t="shared" si="50"/>
        <v>-0.51459814521926672</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46.8</v>
      </c>
      <c r="V186" s="13">
        <f>IF(ISNA(VLOOKUP(LOWER(F186)&amp;H186,Prices!A:C,2,0)),0,VLOOKUP(LOWER(F186)&amp;H186,Prices!A:C,2,0))</f>
        <v>44.99</v>
      </c>
      <c r="W186" s="19">
        <f>IF(I186="B",(V186+T186)*K186,(V186+T186)*K186)</f>
        <v>-149.97035999999468</v>
      </c>
      <c r="X186" s="13">
        <f t="shared" si="75"/>
        <v>-1085.999999999997</v>
      </c>
      <c r="Y186" s="43">
        <f t="shared" si="50"/>
        <v>-5.5262126906918231E-3</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13.35</v>
      </c>
      <c r="V187" s="13">
        <f>IF(ISNA(VLOOKUP(LOWER(F187)&amp;H187,Prices!A:C,2,0)),0,VLOOKUP(LOWER(F187)&amp;H187,Prices!A:C,2,0))</f>
        <v>13.51</v>
      </c>
      <c r="W187" s="19">
        <f t="shared" si="74"/>
        <v>-14286.113800000001</v>
      </c>
      <c r="X187" s="13">
        <f t="shared" si="75"/>
        <v>160.00000000000014</v>
      </c>
      <c r="Y187" s="43">
        <f t="shared" si="50"/>
        <v>-0.51407390428211586</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10.86</v>
      </c>
      <c r="V188" s="13">
        <f>IF(ISNA(VLOOKUP(LOWER(F188)&amp;H188,Prices!A:C,2,0)),0,VLOOKUP(LOWER(F188)&amp;H188,Prices!A:C,2,0))</f>
        <v>10.65</v>
      </c>
      <c r="W188" s="19">
        <f t="shared" si="74"/>
        <v>-13885.784398199601</v>
      </c>
      <c r="X188" s="13">
        <f t="shared" si="75"/>
        <v>-692.99999999999693</v>
      </c>
      <c r="Y188" s="43">
        <f t="shared" si="50"/>
        <v>-0.28326773559178869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14.33</v>
      </c>
      <c r="V189" s="13">
        <f>IF(ISNA(VLOOKUP(LOWER(F189)&amp;H189,Prices!A:C,2,0)),0,VLOOKUP(LOWER(F189)&amp;H189,Prices!A:C,2,0))</f>
        <v>14.12</v>
      </c>
      <c r="W189" s="19">
        <f t="shared" si="74"/>
        <v>2878.3605000000057</v>
      </c>
      <c r="X189" s="13">
        <f t="shared" si="75"/>
        <v>525.00000000000216</v>
      </c>
      <c r="Y189" s="43">
        <f t="shared" si="50"/>
        <v>7.5300470896010607E-2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14.33</v>
      </c>
      <c r="V190" s="13">
        <f>IF(ISNA(VLOOKUP(LOWER(F190)&amp;H190,Prices!A:C,2,0)),0,VLOOKUP(LOWER(F190)&amp;H190,Prices!A:C,2,0))</f>
        <v>14.12</v>
      </c>
      <c r="W190" s="19">
        <f t="shared" si="74"/>
        <v>2928.2995000000024</v>
      </c>
      <c r="X190" s="13">
        <f t="shared" si="75"/>
        <v>525.00000000000216</v>
      </c>
      <c r="Y190" s="43">
        <f t="shared" si="50"/>
        <v>7.6506845199216258E-2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46.8</v>
      </c>
      <c r="V191" s="13">
        <f>IF(ISNA(VLOOKUP(LOWER(F191)&amp;H191,Prices!A:C,2,0)),0,VLOOKUP(LOWER(F191)&amp;H191,Prices!A:C,2,0))</f>
        <v>44.99</v>
      </c>
      <c r="W191" s="19">
        <f>IF(I191="B",(V191+T191)*K191,(V191+T191)*K191)</f>
        <v>-32.928680000003396</v>
      </c>
      <c r="X191" s="13">
        <f t="shared" si="75"/>
        <v>1085.999999999997</v>
      </c>
      <c r="Y191" s="43">
        <f t="shared" si="50"/>
        <v>-1.2198518189228493E-3</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13.35</v>
      </c>
      <c r="V192" s="13">
        <f>IF(ISNA(VLOOKUP(LOWER(F192)&amp;H192,Prices!A:C,2,0)),0,VLOOKUP(LOWER(F192)&amp;H192,Prices!A:C,2,0))</f>
        <v>13.51</v>
      </c>
      <c r="W192" s="19">
        <f t="shared" si="74"/>
        <v>54905.922620000005</v>
      </c>
      <c r="X192" s="13">
        <f t="shared" si="75"/>
        <v>-640.00000000000057</v>
      </c>
      <c r="Y192" s="43">
        <f t="shared" si="50"/>
        <v>0.50335924073378013</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13.02</v>
      </c>
      <c r="V193" s="13">
        <f>IF(ISNA(VLOOKUP(LOWER(F193)&amp;H193,Prices!A:C,2,0)),0,VLOOKUP(LOWER(F193)&amp;H193,Prices!A:C,2,0))</f>
        <v>13.35</v>
      </c>
      <c r="W193" s="19">
        <f t="shared" si="74"/>
        <v>-1190.6479999999995</v>
      </c>
      <c r="X193" s="13">
        <f t="shared" si="75"/>
        <v>-660.00000000000011</v>
      </c>
      <c r="Y193" s="43">
        <f t="shared" si="50"/>
        <v>-4.6618950665622529E-2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16.579999999999998</v>
      </c>
      <c r="V194" s="13">
        <f>IF(ISNA(VLOOKUP(LOWER(F194)&amp;H194,Prices!A:C,2,0)),0,VLOOKUP(LOWER(F194)&amp;H194,Prices!A:C,2,0))</f>
        <v>17.25</v>
      </c>
      <c r="W194" s="19">
        <f>IF(I194="B",(V194+T194)*K194,(V194+T194)*K194)</f>
        <v>3010.8476000000087</v>
      </c>
      <c r="X194" s="13">
        <f t="shared" ref="X194:X202" si="80">K194*(V194-U194)</f>
        <v>-2345.0000000000059</v>
      </c>
      <c r="Y194" s="43">
        <f t="shared" si="50"/>
        <v>4.7443314109230854E-2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13.35</v>
      </c>
      <c r="V195" s="13">
        <f>IF(ISNA(VLOOKUP(LOWER(F195)&amp;H195,Prices!A:C,2,0)),0,VLOOKUP(LOWER(F195)&amp;H195,Prices!A:C,2,0))</f>
        <v>13.51</v>
      </c>
      <c r="W195" s="19">
        <f>IF(I195="B",(V195+T195)*K195,(V195+T195)*K195)</f>
        <v>27293.656400000007</v>
      </c>
      <c r="X195" s="13">
        <f t="shared" si="80"/>
        <v>-320.00000000000028</v>
      </c>
      <c r="Y195" s="43">
        <f t="shared" si="50"/>
        <v>0.50190614931960298</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46.8</v>
      </c>
      <c r="V196" s="13">
        <f>IF(ISNA(VLOOKUP(LOWER(F196)&amp;H196,Prices!A:C,2,0)),0,VLOOKUP(LOWER(F196)&amp;H196,Prices!A:C,2,0))</f>
        <v>44.99</v>
      </c>
      <c r="W196" s="19">
        <f>IF(I196="B",(V196+T196)*K196,(V196+T196)*K196)</f>
        <v>173.83983999999373</v>
      </c>
      <c r="X196" s="13">
        <f t="shared" si="80"/>
        <v>2171.9999999999941</v>
      </c>
      <c r="Y196" s="43">
        <f t="shared" si="50"/>
        <v>3.2057210297262249E-3</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17.149999999999999</v>
      </c>
      <c r="V197" s="13">
        <f>IF(ISNA(VLOOKUP(LOWER(F197)&amp;H197,Prices!A:C,2,0)),0,VLOOKUP(LOWER(F197)&amp;H197,Prices!A:C,2,0))</f>
        <v>17.14</v>
      </c>
      <c r="W197" s="19">
        <f t="shared" ref="W197:W202" si="84">IF(I197="B",(V197+T197)*K197,(V197+T197)*K197)</f>
        <v>9916.3080000000009</v>
      </c>
      <c r="X197" s="13">
        <f t="shared" si="80"/>
        <v>29.999999999994031</v>
      </c>
      <c r="Y197" s="43">
        <f t="shared" ref="Y197:Y260" si="85">W197/O197</f>
        <v>0.16147708842208111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13.02</v>
      </c>
      <c r="V198" s="13">
        <f>IF(ISNA(VLOOKUP(LOWER(F198)&amp;H198,Prices!A:C,2,0)),0,VLOOKUP(LOWER(F198)&amp;H198,Prices!A:C,2,0))</f>
        <v>13.35</v>
      </c>
      <c r="W198" s="19">
        <f t="shared" si="84"/>
        <v>-1755.9700000000014</v>
      </c>
      <c r="X198" s="13">
        <f t="shared" si="80"/>
        <v>-660.00000000000011</v>
      </c>
      <c r="Y198" s="43">
        <f t="shared" si="85"/>
        <v>-7.0311924401377485E-2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10.86</v>
      </c>
      <c r="V199" s="13">
        <f>IF(ISNA(VLOOKUP(LOWER(F199)&amp;H199,Prices!A:C,2,0)),0,VLOOKUP(LOWER(F199)&amp;H199,Prices!A:C,2,0))</f>
        <v>10.65</v>
      </c>
      <c r="W199" s="19">
        <f t="shared" si="84"/>
        <v>13610.450698600303</v>
      </c>
      <c r="X199" s="13">
        <f t="shared" si="80"/>
        <v>692.99999999999693</v>
      </c>
      <c r="Y199" s="43">
        <f t="shared" si="85"/>
        <v>0.27881697631856289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45.95</v>
      </c>
      <c r="V200" s="13">
        <f>IF(ISNA(VLOOKUP(LOWER(F200)&amp;H200,Prices!A:C,2,0)),0,VLOOKUP(LOWER(F200)&amp;H200,Prices!A:C,2,0))</f>
        <v>45.82</v>
      </c>
      <c r="W200" s="19">
        <f t="shared" si="84"/>
        <v>20114.86</v>
      </c>
      <c r="X200" s="13">
        <f t="shared" si="80"/>
        <v>-130.00000000000256</v>
      </c>
      <c r="Y200" s="43">
        <f t="shared" si="85"/>
        <v>0.78267937743190663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45.95</v>
      </c>
      <c r="V201" s="13">
        <f>IF(ISNA(VLOOKUP(LOWER(F201)&amp;H201,Prices!A:C,2,0)),0,VLOOKUP(LOWER(F201)&amp;H201,Prices!A:C,2,0))</f>
        <v>45.82</v>
      </c>
      <c r="W201" s="19">
        <f t="shared" si="84"/>
        <v>30157.286999999997</v>
      </c>
      <c r="X201" s="13">
        <f t="shared" si="80"/>
        <v>-195.00000000000384</v>
      </c>
      <c r="Y201" s="43">
        <f t="shared" si="85"/>
        <v>0.78198591987553467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61.8</v>
      </c>
      <c r="V202" s="13">
        <f>IF(ISNA(VLOOKUP(LOWER(F202)&amp;H202,Prices!A:C,2,0)),0,VLOOKUP(LOWER(F202)&amp;H202,Prices!A:C,2,0))</f>
        <v>63.55</v>
      </c>
      <c r="W202" s="19">
        <f t="shared" si="84"/>
        <v>3389.0532000000021</v>
      </c>
      <c r="X202" s="13">
        <f t="shared" si="80"/>
        <v>1050</v>
      </c>
      <c r="Y202" s="43">
        <f t="shared" si="85"/>
        <v>9.7571635861115974E-2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61.8</v>
      </c>
      <c r="V203" s="13">
        <f>IF(ISNA(VLOOKUP(LOWER(F203)&amp;H203,Prices!A:C,2,0)),0,VLOOKUP(LOWER(F203)&amp;H203,Prices!A:C,2,0))</f>
        <v>63.55</v>
      </c>
      <c r="W203" s="19">
        <f>IF(I203="B",(V203+T203)*K203,(V203+T203)*K203)</f>
        <v>-3185.9871999999955</v>
      </c>
      <c r="X203" s="13">
        <f t="shared" ref="X203:X214" si="90">K203*(V203-U203)</f>
        <v>-1050</v>
      </c>
      <c r="Y203" s="43">
        <f t="shared" si="85"/>
        <v>-9.1064631566912344E-2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45.95</v>
      </c>
      <c r="V204" s="13">
        <f>IF(ISNA(VLOOKUP(LOWER(F204)&amp;H204,Prices!A:C,2,0)),0,VLOOKUP(LOWER(F204)&amp;H204,Prices!A:C,2,0))</f>
        <v>45.82</v>
      </c>
      <c r="W204" s="19">
        <f t="shared" ref="W204:W214" si="91">IF(I204="B",(V204+T204)*K204,(V204+T204)*K204)</f>
        <v>-46631.600000000006</v>
      </c>
      <c r="X204" s="13">
        <f t="shared" si="90"/>
        <v>325.00000000000637</v>
      </c>
      <c r="Y204" s="43">
        <f t="shared" si="85"/>
        <v>-0.68575882352941187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31.51</v>
      </c>
      <c r="V205" s="13">
        <f>IF(ISNA(VLOOKUP(LOWER(F205)&amp;H205,Prices!A:C,2,0)),0,VLOOKUP(LOWER(F205)&amp;H205,Prices!A:C,2,0))</f>
        <v>31.2</v>
      </c>
      <c r="W205" s="19">
        <f t="shared" si="91"/>
        <v>27446.939520000004</v>
      </c>
      <c r="X205" s="13">
        <f t="shared" si="90"/>
        <v>-682.000000000005</v>
      </c>
      <c r="Y205" s="43">
        <f t="shared" si="85"/>
        <v>0.66644666666666674</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8.5399999999999991</v>
      </c>
      <c r="V206" s="13">
        <f>IF(ISNA(VLOOKUP(LOWER(F206)&amp;H206,Prices!A:C,2,0)),0,VLOOKUP(LOWER(F206)&amp;H206,Prices!A:C,2,0))</f>
        <v>8.59</v>
      </c>
      <c r="W206" s="19">
        <f t="shared" si="91"/>
        <v>-2778.8461800000005</v>
      </c>
      <c r="X206" s="13">
        <f t="shared" si="90"/>
        <v>165.00000000000233</v>
      </c>
      <c r="Y206" s="43">
        <f t="shared" si="85"/>
        <v>-8.9297412513255583E-2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54.2</v>
      </c>
      <c r="V207" s="13">
        <f>IF(ISNA(VLOOKUP(LOWER(F207)&amp;H207,Prices!A:C,2,0)),0,VLOOKUP(LOWER(F207)&amp;H207,Prices!A:C,2,0))</f>
        <v>58.14</v>
      </c>
      <c r="W207" s="19">
        <f t="shared" si="91"/>
        <v>47031.966</v>
      </c>
      <c r="X207" s="13">
        <f t="shared" si="90"/>
        <v>5909.9999999999964</v>
      </c>
      <c r="Y207" s="43">
        <f t="shared" si="85"/>
        <v>1.170823151605676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17.36</v>
      </c>
      <c r="V208" s="13">
        <f>IF(ISNA(VLOOKUP(LOWER(F208)&amp;H208,Prices!A:C,2,0)),0,VLOOKUP(LOWER(F208)&amp;H208,Prices!A:C,2,0))</f>
        <v>17.559999999999999</v>
      </c>
      <c r="W208" s="19">
        <f t="shared" si="91"/>
        <v>1638.7733999999873</v>
      </c>
      <c r="X208" s="13">
        <f t="shared" si="90"/>
        <v>599.99999999999784</v>
      </c>
      <c r="Y208" s="43">
        <f t="shared" si="85"/>
        <v>3.2113921222809858E-2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19.68</v>
      </c>
      <c r="V209" s="13">
        <f>IF(ISNA(VLOOKUP(LOWER(F209)&amp;H209,Prices!A:C,2,0)),0,VLOOKUP(LOWER(F209)&amp;H209,Prices!A:C,2,0))</f>
        <v>20.079999999999998</v>
      </c>
      <c r="W209" s="19">
        <f t="shared" si="91"/>
        <v>8613.6919999999973</v>
      </c>
      <c r="X209" s="13">
        <f t="shared" si="90"/>
        <v>799.99999999999716</v>
      </c>
      <c r="Y209" s="43">
        <f t="shared" si="85"/>
        <v>0.27310374128091303</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17.36</v>
      </c>
      <c r="V210" s="13">
        <f>IF(ISNA(VLOOKUP(LOWER(F210)&amp;H210,Prices!A:C,2,0)),0,VLOOKUP(LOWER(F210)&amp;H210,Prices!A:C,2,0))</f>
        <v>17.559999999999999</v>
      </c>
      <c r="W210" s="19">
        <f t="shared" si="91"/>
        <v>1292.5595999999971</v>
      </c>
      <c r="X210" s="13">
        <f t="shared" si="90"/>
        <v>399.99999999999858</v>
      </c>
      <c r="Y210" s="43">
        <f t="shared" si="85"/>
        <v>3.8218793613246517E-2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37.1</v>
      </c>
      <c r="V211" s="13">
        <f>IF(ISNA(VLOOKUP(LOWER(F211)&amp;H211,Prices!A:C,2,0)),0,VLOOKUP(LOWER(F211)&amp;H211,Prices!A:C,2,0))</f>
        <v>37.9</v>
      </c>
      <c r="W211" s="19">
        <f t="shared" si="91"/>
        <v>8024.0259999999989</v>
      </c>
      <c r="X211" s="13">
        <f t="shared" si="90"/>
        <v>799.99999999999716</v>
      </c>
      <c r="Y211" s="43">
        <f t="shared" si="85"/>
        <v>0.26863160361566785</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31.51</v>
      </c>
      <c r="V212" s="13">
        <f>IF(ISNA(VLOOKUP(LOWER(F212)&amp;H212,Prices!A:C,2,0)),0,VLOOKUP(LOWER(F212)&amp;H212,Prices!A:C,2,0))</f>
        <v>31.2</v>
      </c>
      <c r="W212" s="19">
        <f t="shared" si="91"/>
        <v>25551.895199999995</v>
      </c>
      <c r="X212" s="13">
        <f t="shared" si="90"/>
        <v>-620.00000000000455</v>
      </c>
      <c r="Y212" s="43">
        <f t="shared" si="85"/>
        <v>0.69359107491856664</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31.51</v>
      </c>
      <c r="V213" s="13">
        <f>IF(ISNA(VLOOKUP(LOWER(F213)&amp;H213,Prices!A:C,2,0)),0,VLOOKUP(LOWER(F213)&amp;H213,Prices!A:C,2,0))</f>
        <v>31.2</v>
      </c>
      <c r="W213" s="19">
        <f t="shared" si="91"/>
        <v>25471.8776</v>
      </c>
      <c r="X213" s="13">
        <f t="shared" si="90"/>
        <v>-620.00000000000455</v>
      </c>
      <c r="Y213" s="43">
        <f t="shared" si="85"/>
        <v>0.68992084507042251</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31.51</v>
      </c>
      <c r="V214" s="13">
        <f>IF(ISNA(VLOOKUP(LOWER(F214)&amp;H214,Prices!A:C,2,0)),0,VLOOKUP(LOWER(F214)&amp;H214,Prices!A:C,2,0))</f>
        <v>31.2</v>
      </c>
      <c r="W214" s="19">
        <f t="shared" si="91"/>
        <v>12924.634600000001</v>
      </c>
      <c r="X214" s="13">
        <f t="shared" si="90"/>
        <v>-310.00000000000227</v>
      </c>
      <c r="Y214" s="43">
        <f t="shared" si="85"/>
        <v>0.70742389709906961</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20.64</v>
      </c>
      <c r="V215" s="13">
        <f>IF(ISNA(VLOOKUP(LOWER(F215)&amp;H215,Prices!A:C,2,0)),0,VLOOKUP(LOWER(F215)&amp;H215,Prices!A:C,2,0))</f>
        <v>18.579999999999998</v>
      </c>
      <c r="W215" s="19">
        <f t="shared" ref="W215:W230" si="97">IF(I215="B",(V215+T215)*K215,(V215+T215)*K215)</f>
        <v>-8335</v>
      </c>
      <c r="X215" s="13">
        <f t="shared" ref="X215:X230" si="98">K215*(V215-U215)</f>
        <v>-1030.0000000000011</v>
      </c>
      <c r="Y215" s="43">
        <f t="shared" si="85"/>
        <v>-0.47304199772985245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17.899999999999999</v>
      </c>
      <c r="V216" s="13">
        <f>IF(ISNA(VLOOKUP(LOWER(F216)&amp;H216,Prices!A:C,2,0)),0,VLOOKUP(LOWER(F216)&amp;H216,Prices!A:C,2,0))</f>
        <v>18.579999999999998</v>
      </c>
      <c r="W216" s="19">
        <f t="shared" si="97"/>
        <v>494.99999999999744</v>
      </c>
      <c r="X216" s="13">
        <f t="shared" si="98"/>
        <v>679.99999999999977</v>
      </c>
      <c r="Y216" s="43">
        <f t="shared" si="85"/>
        <v>2.7378318584070655E-2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19.68</v>
      </c>
      <c r="V217" s="13">
        <f>IF(ISNA(VLOOKUP(LOWER(F217)&amp;H217,Prices!A:C,2,0)),0,VLOOKUP(LOWER(F217)&amp;H217,Prices!A:C,2,0))</f>
        <v>20.079999999999998</v>
      </c>
      <c r="W217" s="19">
        <f t="shared" si="97"/>
        <v>4474.9999999999982</v>
      </c>
      <c r="X217" s="13">
        <f t="shared" si="98"/>
        <v>399.99999999999858</v>
      </c>
      <c r="Y217" s="43">
        <f t="shared" si="85"/>
        <v>0.28685897435897423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7.45</v>
      </c>
      <c r="V218" s="13">
        <f>IF(ISNA(VLOOKUP(LOWER(F218)&amp;H218,Prices!A:C,2,0)),0,VLOOKUP(LOWER(F218)&amp;H218,Prices!A:C,2,0))</f>
        <v>7.43</v>
      </c>
      <c r="W218" s="19">
        <f t="shared" si="97"/>
        <v>-5565.408400000003</v>
      </c>
      <c r="X218" s="13">
        <f t="shared" si="98"/>
        <v>-40.000000000000924</v>
      </c>
      <c r="Y218" s="43">
        <f t="shared" si="85"/>
        <v>-0.27254693437806088</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54.2</v>
      </c>
      <c r="V219" s="13">
        <f>IF(ISNA(VLOOKUP(LOWER(F219)&amp;H219,Prices!A:C,2,0)),0,VLOOKUP(LOWER(F219)&amp;H219,Prices!A:C,2,0))</f>
        <v>58.14</v>
      </c>
      <c r="W219" s="19">
        <f t="shared" si="97"/>
        <v>-46638.744000000006</v>
      </c>
      <c r="X219" s="13">
        <f t="shared" si="98"/>
        <v>-5909.9999999999964</v>
      </c>
      <c r="Y219" s="43">
        <f t="shared" si="85"/>
        <v>-1.1481719350073856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31.51</v>
      </c>
      <c r="V220" s="13">
        <f>IF(ISNA(VLOOKUP(LOWER(F220)&amp;H220,Prices!A:C,2,0)),0,VLOOKUP(LOWER(F220)&amp;H220,Prices!A:C,2,0))</f>
        <v>31.2</v>
      </c>
      <c r="W220" s="19">
        <f t="shared" si="97"/>
        <v>-42205.643999999978</v>
      </c>
      <c r="X220" s="13">
        <f t="shared" si="98"/>
        <v>1116.0000000000082</v>
      </c>
      <c r="Y220" s="43">
        <f t="shared" si="85"/>
        <v>-0.60121999999999964</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19.68</v>
      </c>
      <c r="V221" s="13">
        <f>IF(ISNA(VLOOKUP(LOWER(F221)&amp;H221,Prices!A:C,2,0)),0,VLOOKUP(LOWER(F221)&amp;H221,Prices!A:C,2,0))</f>
        <v>20.079999999999998</v>
      </c>
      <c r="W221" s="19">
        <f t="shared" si="97"/>
        <v>4544.9999999999982</v>
      </c>
      <c r="X221" s="13">
        <f t="shared" si="98"/>
        <v>399.99999999999858</v>
      </c>
      <c r="Y221" s="43">
        <f t="shared" si="85"/>
        <v>0.29265936896329675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19.68</v>
      </c>
      <c r="V222" s="13">
        <f>IF(ISNA(VLOOKUP(LOWER(F222)&amp;H222,Prices!A:C,2,0)),0,VLOOKUP(LOWER(F222)&amp;H222,Prices!A:C,2,0))</f>
        <v>20.079999999999998</v>
      </c>
      <c r="W222" s="19">
        <f t="shared" si="97"/>
        <v>4624.9999999999982</v>
      </c>
      <c r="X222" s="13">
        <f t="shared" si="98"/>
        <v>399.99999999999858</v>
      </c>
      <c r="Y222" s="43">
        <f t="shared" si="85"/>
        <v>0.29935275080906137</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19.68</v>
      </c>
      <c r="V223" s="13">
        <f>IF(ISNA(VLOOKUP(LOWER(F223)&amp;H223,Prices!A:C,2,0)),0,VLOOKUP(LOWER(F223)&amp;H223,Prices!A:C,2,0))</f>
        <v>20.079999999999998</v>
      </c>
      <c r="W223" s="19">
        <f t="shared" si="97"/>
        <v>4714.9999999999982</v>
      </c>
      <c r="X223" s="13">
        <f t="shared" si="98"/>
        <v>399.99999999999858</v>
      </c>
      <c r="Y223" s="43">
        <f t="shared" si="85"/>
        <v>0.3069661458333332</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31.51</v>
      </c>
      <c r="V224" s="13">
        <f>IF(ISNA(VLOOKUP(LOWER(F224)&amp;H224,Prices!A:C,2,0)),0,VLOOKUP(LOWER(F224)&amp;H224,Prices!A:C,2,0))</f>
        <v>31.2</v>
      </c>
      <c r="W224" s="19">
        <f t="shared" si="97"/>
        <v>-40048.279199999983</v>
      </c>
      <c r="X224" s="13">
        <f t="shared" si="98"/>
        <v>1116.0000000000082</v>
      </c>
      <c r="Y224" s="43">
        <f t="shared" si="85"/>
        <v>-0.55345880597014896</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36.049999999999997</v>
      </c>
      <c r="V225" s="13">
        <f>IF(ISNA(VLOOKUP(LOWER(F225)&amp;H225,Prices!A:C,2,0)),0,VLOOKUP(LOWER(F225)&amp;H225,Prices!A:C,2,0))</f>
        <v>39.25</v>
      </c>
      <c r="W225" s="19">
        <f t="shared" si="97"/>
        <v>44453.192000000003</v>
      </c>
      <c r="X225" s="13">
        <f t="shared" si="98"/>
        <v>6400.0000000000055</v>
      </c>
      <c r="Y225" s="43">
        <f t="shared" si="85"/>
        <v>1.3059104582843715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29.38</v>
      </c>
      <c r="V226" s="13">
        <f>IF(ISNA(VLOOKUP(LOWER(F226)&amp;H226,Prices!A:C,2,0)),0,VLOOKUP(LOWER(F226)&amp;H226,Prices!A:C,2,0))</f>
        <v>30.53</v>
      </c>
      <c r="W226" s="19">
        <f t="shared" si="97"/>
        <v>23871.820399999997</v>
      </c>
      <c r="X226" s="13">
        <f t="shared" si="98"/>
        <v>2300.0000000000041</v>
      </c>
      <c r="Y226" s="43">
        <f t="shared" si="85"/>
        <v>0.64206079612694988</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7.45</v>
      </c>
      <c r="V227" s="13">
        <f>IF(ISNA(VLOOKUP(LOWER(F227)&amp;H227,Prices!A:C,2,0)),0,VLOOKUP(LOWER(F227)&amp;H227,Prices!A:C,2,0))</f>
        <v>7.43</v>
      </c>
      <c r="W227" s="19">
        <f t="shared" si="97"/>
        <v>-5325.4036000000015</v>
      </c>
      <c r="X227" s="13">
        <f t="shared" si="98"/>
        <v>-40.000000000000924</v>
      </c>
      <c r="Y227" s="43">
        <f t="shared" si="85"/>
        <v>-0.26389512388503478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7.45</v>
      </c>
      <c r="V228" s="13">
        <f>IF(ISNA(VLOOKUP(LOWER(F228)&amp;H228,Prices!A:C,2,0)),0,VLOOKUP(LOWER(F228)&amp;H228,Prices!A:C,2,0))</f>
        <v>7.43</v>
      </c>
      <c r="W228" s="19">
        <f t="shared" si="97"/>
        <v>-5345.4039999999986</v>
      </c>
      <c r="X228" s="13">
        <f t="shared" si="98"/>
        <v>-40.000000000000924</v>
      </c>
      <c r="Y228" s="43">
        <f t="shared" si="85"/>
        <v>-0.26462396039603953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7.45</v>
      </c>
      <c r="V229" s="13">
        <f>IF(ISNA(VLOOKUP(LOWER(F229)&amp;H229,Prices!A:C,2,0)),0,VLOOKUP(LOWER(F229)&amp;H229,Prices!A:C,2,0))</f>
        <v>7.43</v>
      </c>
      <c r="W229" s="19">
        <f t="shared" si="97"/>
        <v>-5305.4032000000007</v>
      </c>
      <c r="X229" s="13">
        <f t="shared" si="98"/>
        <v>-40.000000000000924</v>
      </c>
      <c r="Y229" s="43">
        <f t="shared" si="85"/>
        <v>-0.2631648412698413</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36.049999999999997</v>
      </c>
      <c r="V230" s="13">
        <f>IF(ISNA(VLOOKUP(LOWER(F230)&amp;H230,Prices!A:C,2,0)),0,VLOOKUP(LOWER(F230)&amp;H230,Prices!A:C,2,0))</f>
        <v>39.25</v>
      </c>
      <c r="W230" s="19">
        <f t="shared" si="97"/>
        <v>33459.917999999998</v>
      </c>
      <c r="X230" s="13">
        <f t="shared" si="98"/>
        <v>4800.0000000000045</v>
      </c>
      <c r="Y230" s="43">
        <f t="shared" si="85"/>
        <v>1.3168011806375439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29.38</v>
      </c>
      <c r="V231" s="13">
        <f>IF(ISNA(VLOOKUP(LOWER(F231)&amp;H231,Prices!A:C,2,0)),0,VLOOKUP(LOWER(F231)&amp;H231,Prices!A:C,2,0))</f>
        <v>30.53</v>
      </c>
      <c r="W231" s="19">
        <f t="shared" ref="W231:W248" si="103">IF(I231="B",(V231+T231)*K231,(V231+T231)*K231)</f>
        <v>-23585.774399999998</v>
      </c>
      <c r="X231" s="13">
        <f t="shared" ref="X231:X248" si="104">K231*(V231-U231)</f>
        <v>-2300.0000000000041</v>
      </c>
      <c r="Y231" s="43">
        <f t="shared" si="85"/>
        <v>-0.62861872068230273</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8.5399999999999991</v>
      </c>
      <c r="V232" s="13">
        <f>IF(ISNA(VLOOKUP(LOWER(F232)&amp;H232,Prices!A:C,2,0)),0,VLOOKUP(LOWER(F232)&amp;H232,Prices!A:C,2,0))</f>
        <v>8.59</v>
      </c>
      <c r="W232" s="19">
        <f t="shared" si="103"/>
        <v>2964.7530000000006</v>
      </c>
      <c r="X232" s="13">
        <f t="shared" si="104"/>
        <v>-165.00000000000233</v>
      </c>
      <c r="Y232" s="43">
        <f t="shared" si="85"/>
        <v>9.456947368421055E-2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20.64</v>
      </c>
      <c r="V233" s="13">
        <f>IF(ISNA(VLOOKUP(LOWER(F233)&amp;H233,Prices!A:C,2,0)),0,VLOOKUP(LOWER(F233)&amp;H233,Prices!A:C,2,0))</f>
        <v>18.579999999999998</v>
      </c>
      <c r="W233" s="19">
        <f t="shared" si="103"/>
        <v>8477.2099999999991</v>
      </c>
      <c r="X233" s="13">
        <f t="shared" si="104"/>
        <v>1030.0000000000011</v>
      </c>
      <c r="Y233" s="43">
        <f t="shared" si="85"/>
        <v>0.4765154581225407</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17.36</v>
      </c>
      <c r="V234" s="13">
        <f>IF(ISNA(VLOOKUP(LOWER(F234)&amp;H234,Prices!A:C,2,0)),0,VLOOKUP(LOWER(F234)&amp;H234,Prices!A:C,2,0))</f>
        <v>17.559999999999999</v>
      </c>
      <c r="W234" s="19">
        <f t="shared" si="103"/>
        <v>-2703.943999999989</v>
      </c>
      <c r="X234" s="13">
        <f t="shared" si="104"/>
        <v>-999.99999999999648</v>
      </c>
      <c r="Y234" s="43">
        <f t="shared" si="85"/>
        <v>-3.1736431924882499E-2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36.049999999999997</v>
      </c>
      <c r="V235" s="13">
        <f>IF(ISNA(VLOOKUP(LOWER(F235)&amp;H235,Prices!A:C,2,0)),0,VLOOKUP(LOWER(F235)&amp;H235,Prices!A:C,2,0))</f>
        <v>39.25</v>
      </c>
      <c r="W235" s="19">
        <f t="shared" si="103"/>
        <v>-77631.78300000001</v>
      </c>
      <c r="X235" s="13">
        <f t="shared" si="104"/>
        <v>-11200.000000000009</v>
      </c>
      <c r="Y235" s="43">
        <f t="shared" si="85"/>
        <v>-1.2978647997993815</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29.2</v>
      </c>
      <c r="V236" s="13">
        <f>IF(ISNA(VLOOKUP(LOWER(F236)&amp;H236,Prices!A:C,2,0)),0,VLOOKUP(LOWER(F236)&amp;H236,Prices!A:C,2,0))</f>
        <v>29.8</v>
      </c>
      <c r="W236" s="19">
        <f t="shared" si="103"/>
        <v>22572.595999999998</v>
      </c>
      <c r="X236" s="13">
        <f t="shared" si="104"/>
        <v>1200.0000000000027</v>
      </c>
      <c r="Y236" s="43">
        <f t="shared" si="85"/>
        <v>0.60974057266342507</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7.45</v>
      </c>
      <c r="V237" s="13">
        <f>IF(ISNA(VLOOKUP(LOWER(F237)&amp;H237,Prices!A:C,2,0)),0,VLOOKUP(LOWER(F237)&amp;H237,Prices!A:C,2,0))</f>
        <v>7.43</v>
      </c>
      <c r="W237" s="19">
        <f t="shared" si="103"/>
        <v>10830.468000000003</v>
      </c>
      <c r="X237" s="13">
        <f t="shared" si="104"/>
        <v>80.000000000001847</v>
      </c>
      <c r="Y237" s="43">
        <f t="shared" si="85"/>
        <v>0.26676029556650255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17.899999999999999</v>
      </c>
      <c r="V238" s="13">
        <f>IF(ISNA(VLOOKUP(LOWER(F238)&amp;H238,Prices!A:C,2,0)),0,VLOOKUP(LOWER(F238)&amp;H238,Prices!A:C,2,0))</f>
        <v>18.579999999999998</v>
      </c>
      <c r="W238" s="19">
        <f t="shared" si="103"/>
        <v>774.99999999999864</v>
      </c>
      <c r="X238" s="13">
        <f t="shared" si="104"/>
        <v>679.99999999999977</v>
      </c>
      <c r="Y238" s="43">
        <f t="shared" si="85"/>
        <v>4.3539325842696555E-2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9.24</v>
      </c>
      <c r="V239" s="13">
        <f>IF(ISNA(VLOOKUP(LOWER(F239)&amp;H239,Prices!A:C,2,0)),0,VLOOKUP(LOWER(F239)&amp;H239,Prices!A:C,2,0))</f>
        <v>9.2200000000000006</v>
      </c>
      <c r="W239" s="19">
        <f t="shared" si="103"/>
        <v>-1266.362399999995</v>
      </c>
      <c r="X239" s="13">
        <f t="shared" si="104"/>
        <v>-59.999999999998721</v>
      </c>
      <c r="Y239" s="43">
        <f t="shared" si="85"/>
        <v>-4.3788464730290286E-2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14.33</v>
      </c>
      <c r="V240" s="13">
        <f>IF(ISNA(VLOOKUP(LOWER(F240)&amp;H240,Prices!A:C,2,0)),0,VLOOKUP(LOWER(F240)&amp;H240,Prices!A:C,2,0))</f>
        <v>14.12</v>
      </c>
      <c r="W240" s="19">
        <f t="shared" si="103"/>
        <v>-4167.1280000000015</v>
      </c>
      <c r="X240" s="13">
        <f t="shared" si="104"/>
        <v>-420.00000000000171</v>
      </c>
      <c r="Y240" s="43">
        <f t="shared" si="85"/>
        <v>-0.1286150617283951</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37.1</v>
      </c>
      <c r="V241" s="13">
        <f>IF(ISNA(VLOOKUP(LOWER(F241)&amp;H241,Prices!A:C,2,0)),0,VLOOKUP(LOWER(F241)&amp;H241,Prices!A:C,2,0))</f>
        <v>37.9</v>
      </c>
      <c r="W241" s="19">
        <f t="shared" si="103"/>
        <v>-7906.0360000000001</v>
      </c>
      <c r="X241" s="13">
        <f t="shared" si="104"/>
        <v>-799.99999999999716</v>
      </c>
      <c r="Y241" s="43">
        <f t="shared" si="85"/>
        <v>-0.26327126207126206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7.45</v>
      </c>
      <c r="V242" s="13">
        <f>IF(ISNA(VLOOKUP(LOWER(F242)&amp;H242,Prices!A:C,2,0)),0,VLOOKUP(LOWER(F242)&amp;H242,Prices!A:C,2,0))</f>
        <v>7.43</v>
      </c>
      <c r="W242" s="19">
        <f t="shared" si="103"/>
        <v>5494.2124000000022</v>
      </c>
      <c r="X242" s="13">
        <f t="shared" si="104"/>
        <v>40.000000000000924</v>
      </c>
      <c r="Y242" s="43">
        <f t="shared" si="85"/>
        <v>0.26958843964671259</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7.45</v>
      </c>
      <c r="V243" s="13">
        <f>IF(ISNA(VLOOKUP(LOWER(F243)&amp;H243,Prices!A:C,2,0)),0,VLOOKUP(LOWER(F243)&amp;H243,Prices!A:C,2,0))</f>
        <v>7.43</v>
      </c>
      <c r="W243" s="19">
        <f t="shared" si="103"/>
        <v>5514.1920000000009</v>
      </c>
      <c r="X243" s="13">
        <f t="shared" si="104"/>
        <v>40.000000000000924</v>
      </c>
      <c r="Y243" s="43">
        <f t="shared" si="85"/>
        <v>0.27030352941176478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58.24</v>
      </c>
      <c r="V244" s="13">
        <f>IF(ISNA(VLOOKUP(LOWER(F244)&amp;H244,Prices!A:C,2,0)),0,VLOOKUP(LOWER(F244)&amp;H244,Prices!A:C,2,0))</f>
        <v>58.82</v>
      </c>
      <c r="W244" s="19">
        <f t="shared" si="103"/>
        <v>23482.934000000001</v>
      </c>
      <c r="X244" s="13">
        <f t="shared" si="104"/>
        <v>579.99999999999829</v>
      </c>
      <c r="Y244" s="43">
        <f t="shared" si="85"/>
        <v>0.66467404472120017</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61.8</v>
      </c>
      <c r="V245" s="13">
        <f>IF(ISNA(VLOOKUP(LOWER(F245)&amp;H245,Prices!A:C,2,0)),0,VLOOKUP(LOWER(F245)&amp;H245,Prices!A:C,2,0))</f>
        <v>63.55</v>
      </c>
      <c r="W245" s="19">
        <f t="shared" si="103"/>
        <v>2315.5677999999966</v>
      </c>
      <c r="X245" s="13">
        <f t="shared" si="104"/>
        <v>1225</v>
      </c>
      <c r="Y245" s="43">
        <f t="shared" si="85"/>
        <v>5.4922032209862116E-2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61.8</v>
      </c>
      <c r="V246" s="13">
        <f>IF(ISNA(VLOOKUP(LOWER(F246)&amp;H246,Prices!A:C,2,0)),0,VLOOKUP(LOWER(F246)&amp;H246,Prices!A:C,2,0))</f>
        <v>63.55</v>
      </c>
      <c r="W246" s="19">
        <f t="shared" si="103"/>
        <v>1390.9999999999995</v>
      </c>
      <c r="X246" s="13">
        <f t="shared" si="104"/>
        <v>700</v>
      </c>
      <c r="Y246" s="43">
        <f t="shared" si="85"/>
        <v>5.7900432900432883E-2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17.899999999999999</v>
      </c>
      <c r="V247" s="13">
        <f>IF(ISNA(VLOOKUP(LOWER(F247)&amp;H247,Prices!A:C,2,0)),0,VLOOKUP(LOWER(F247)&amp;H247,Prices!A:C,2,0))</f>
        <v>18.579999999999998</v>
      </c>
      <c r="W247" s="19">
        <f t="shared" si="103"/>
        <v>-1142.4599999999962</v>
      </c>
      <c r="X247" s="13">
        <f t="shared" si="104"/>
        <v>-679.99999999999977</v>
      </c>
      <c r="Y247" s="43">
        <f t="shared" si="85"/>
        <v>-6.5432989690721435E-2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19.68</v>
      </c>
      <c r="V248" s="13">
        <f>IF(ISNA(VLOOKUP(LOWER(F248)&amp;H248,Prices!A:C,2,0)),0,VLOOKUP(LOWER(F248)&amp;H248,Prices!A:C,2,0))</f>
        <v>20.079999999999998</v>
      </c>
      <c r="W248" s="19">
        <f t="shared" si="103"/>
        <v>-29149.727999999988</v>
      </c>
      <c r="X248" s="13">
        <f t="shared" si="104"/>
        <v>-2399.9999999999914</v>
      </c>
      <c r="Y248" s="43">
        <f t="shared" si="85"/>
        <v>-0.31878530183727022</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61.8</v>
      </c>
      <c r="V249" s="13">
        <f>IF(ISNA(VLOOKUP(LOWER(F249)&amp;H249,Prices!A:C,2,0)),0,VLOOKUP(LOWER(F249)&amp;H249,Prices!A:C,2,0))</f>
        <v>63.55</v>
      </c>
      <c r="W249" s="19">
        <f t="shared" ref="W249:W256" si="109">IF(I249="B",(V249+T249)*K249,(V249+T249)*K249)</f>
        <v>-3134.2202039992053</v>
      </c>
      <c r="X249" s="13">
        <f t="shared" ref="X249:X259" si="110">K249*(V249-U249)</f>
        <v>-1925</v>
      </c>
      <c r="Y249" s="43">
        <f t="shared" si="85"/>
        <v>-4.6883669716036261E-2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29.2</v>
      </c>
      <c r="V250" s="13">
        <f>IF(ISNA(VLOOKUP(LOWER(F250)&amp;H250,Prices!A:C,2,0)),0,VLOOKUP(LOWER(F250)&amp;H250,Prices!A:C,2,0))</f>
        <v>29.8</v>
      </c>
      <c r="W250" s="19">
        <f t="shared" si="109"/>
        <v>-21425.864000000005</v>
      </c>
      <c r="X250" s="13">
        <f t="shared" si="110"/>
        <v>-1200.0000000000027</v>
      </c>
      <c r="Y250" s="43">
        <f t="shared" si="85"/>
        <v>-0.5605929879644167</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9.24</v>
      </c>
      <c r="V251" s="13">
        <f>IF(ISNA(VLOOKUP(LOWER(F251)&amp;H251,Prices!A:C,2,0)),0,VLOOKUP(LOWER(F251)&amp;H251,Prices!A:C,2,0))</f>
        <v>9.2200000000000006</v>
      </c>
      <c r="W251" s="19">
        <f t="shared" si="109"/>
        <v>775.26659999999481</v>
      </c>
      <c r="X251" s="13">
        <f t="shared" si="110"/>
        <v>59.999999999998721</v>
      </c>
      <c r="Y251" s="43">
        <f t="shared" si="85"/>
        <v>2.7231001053740597E-2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17.899999999999999</v>
      </c>
      <c r="V252" s="13">
        <f>IF(ISNA(VLOOKUP(LOWER(F252)&amp;H252,Prices!A:C,2,0)),0,VLOOKUP(LOWER(F252)&amp;H252,Prices!A:C,2,0))</f>
        <v>18.579999999999998</v>
      </c>
      <c r="W252" s="19">
        <f t="shared" si="109"/>
        <v>-1022.5800000000014</v>
      </c>
      <c r="X252" s="13">
        <f t="shared" si="110"/>
        <v>-679.99999999999977</v>
      </c>
      <c r="Y252" s="43">
        <f t="shared" si="85"/>
        <v>-5.8167235494880627E-2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58.24</v>
      </c>
      <c r="V253" s="13">
        <f>IF(ISNA(VLOOKUP(LOWER(F253)&amp;H253,Prices!A:C,2,0)),0,VLOOKUP(LOWER(F253)&amp;H253,Prices!A:C,2,0))</f>
        <v>58.82</v>
      </c>
      <c r="W253" s="19">
        <f t="shared" si="109"/>
        <v>-23442.504000000001</v>
      </c>
      <c r="X253" s="13">
        <f t="shared" si="110"/>
        <v>-579.99999999999829</v>
      </c>
      <c r="Y253" s="43">
        <f t="shared" si="85"/>
        <v>-0.66184370412196503</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14.33</v>
      </c>
      <c r="V254" s="13">
        <f>IF(ISNA(VLOOKUP(LOWER(F254)&amp;H254,Prices!A:C,2,0)),0,VLOOKUP(LOWER(F254)&amp;H254,Prices!A:C,2,0))</f>
        <v>14.12</v>
      </c>
      <c r="W254" s="19">
        <f t="shared" si="109"/>
        <v>-1153.2206400000005</v>
      </c>
      <c r="X254" s="13">
        <f t="shared" si="110"/>
        <v>-147.0000000000006</v>
      </c>
      <c r="Y254" s="43">
        <f t="shared" si="85"/>
        <v>-0.10453414068165341</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14.33</v>
      </c>
      <c r="V255" s="13">
        <f>IF(ISNA(VLOOKUP(LOWER(F255)&amp;H255,Prices!A:C,2,0)),0,VLOOKUP(LOWER(F255)&amp;H255,Prices!A:C,2,0))</f>
        <v>14.12</v>
      </c>
      <c r="W255" s="19">
        <f t="shared" si="109"/>
        <v>-1436.2827800000007</v>
      </c>
      <c r="X255" s="13">
        <f t="shared" si="110"/>
        <v>-189.00000000000077</v>
      </c>
      <c r="Y255" s="43">
        <f t="shared" si="85"/>
        <v>-0.10158305254968532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14.33</v>
      </c>
      <c r="V256" s="13">
        <f>IF(ISNA(VLOOKUP(LOWER(F256)&amp;H256,Prices!A:C,2,0)),0,VLOOKUP(LOWER(F256)&amp;H256,Prices!A:C,2,0))</f>
        <v>14.12</v>
      </c>
      <c r="W256" s="19">
        <f t="shared" si="109"/>
        <v>3441.3015999999993</v>
      </c>
      <c r="X256" s="13">
        <f t="shared" si="110"/>
        <v>420.00000000000171</v>
      </c>
      <c r="Y256" s="43">
        <f t="shared" si="85"/>
        <v>0.10848996216897853</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9.0299999999999994</v>
      </c>
      <c r="V257" s="13">
        <f>IF(ISNA(VLOOKUP(LOWER(F257)&amp;H257,Prices!A:C,2,0)),0,VLOOKUP(LOWER(F257)&amp;H257,Prices!A:C,2,0))</f>
        <v>9.0299999999999994</v>
      </c>
      <c r="W257" s="19">
        <f>IF(I257="B",(V257+T257)*K257,(V257+T257)*K257)</f>
        <v>17283.939999999981</v>
      </c>
      <c r="X257" s="13">
        <f t="shared" si="110"/>
        <v>0</v>
      </c>
      <c r="Y257" s="43">
        <f t="shared" si="85"/>
        <v>0.23676630136986274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14.33</v>
      </c>
      <c r="V258" s="13">
        <f>IF(ISNA(VLOOKUP(LOWER(F258)&amp;H258,Prices!A:C,2,0)),0,VLOOKUP(LOWER(F258)&amp;H258,Prices!A:C,2,0))</f>
        <v>14.12</v>
      </c>
      <c r="W258" s="19">
        <f>IF(I258="B",(V258+T258)*K258,(V258+T258)*K258)</f>
        <v>2417.4511999999963</v>
      </c>
      <c r="X258" s="13">
        <f t="shared" si="110"/>
        <v>336.00000000000136</v>
      </c>
      <c r="Y258" s="43">
        <f t="shared" si="85"/>
        <v>9.6543578274760233E-2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61.8</v>
      </c>
      <c r="V259" s="13">
        <f>IF(ISNA(VLOOKUP(LOWER(F259)&amp;H259,Prices!A:C,2,0)),0,VLOOKUP(LOWER(F259)&amp;H259,Prices!A:C,2,0))</f>
        <v>63.55</v>
      </c>
      <c r="W259" s="19">
        <f>IF(I259="B",(V259+T259)*K259,(V259+T259)*K259)</f>
        <v>22457.953399999973</v>
      </c>
      <c r="X259" s="13">
        <f t="shared" si="110"/>
        <v>8750</v>
      </c>
      <c r="Y259" s="43">
        <f t="shared" si="85"/>
        <v>7.6068574312492074E-2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31.51</v>
      </c>
      <c r="V260" s="13">
        <f>IF(ISNA(VLOOKUP(LOWER(F260)&amp;H260,Prices!A:C,2,0)),0,VLOOKUP(LOWER(F260)&amp;H260,Prices!A:C,2,0))</f>
        <v>31.2</v>
      </c>
      <c r="W260" s="19">
        <f t="shared" ref="W260:W271" si="115">IF(I260="B",(V260+T260)*K260,(V260+T260)*K260)</f>
        <v>38724.930340043997</v>
      </c>
      <c r="X260" s="13">
        <f t="shared" ref="X260:X272" si="116">K260*(V260-U260)</f>
        <v>-930.00000000000682</v>
      </c>
      <c r="Y260" s="43">
        <f t="shared" si="85"/>
        <v>0.70584784793419175</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12.86</v>
      </c>
      <c r="V261" s="13">
        <f>IF(ISNA(VLOOKUP(LOWER(F261)&amp;H261,Prices!A:C,2,0)),0,VLOOKUP(LOWER(F261)&amp;H261,Prices!A:C,2,0))</f>
        <v>12.74</v>
      </c>
      <c r="W261" s="19">
        <f>IF(I261="B",(V261+T261)*K261,(V261+T261)*K261)</f>
        <v>-16168.328</v>
      </c>
      <c r="X261" s="13">
        <f t="shared" si="116"/>
        <v>-239.99999999999844</v>
      </c>
      <c r="Y261" s="43">
        <f t="shared" ref="Y261:Y324" si="120">W261/O261</f>
        <v>-0.38828837656099902</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9.0299999999999994</v>
      </c>
      <c r="V262" s="13">
        <f>IF(ISNA(VLOOKUP(LOWER(F262)&amp;H262,Prices!A:C,2,0)),0,VLOOKUP(LOWER(F262)&amp;H262,Prices!A:C,2,0))</f>
        <v>9.0299999999999994</v>
      </c>
      <c r="W262" s="19">
        <f>IF(I262="B",(V262+T262)*K262,(V262+T262)*K262)</f>
        <v>8892.024999999996</v>
      </c>
      <c r="X262" s="13">
        <f t="shared" si="116"/>
        <v>0</v>
      </c>
      <c r="Y262" s="43">
        <f t="shared" si="120"/>
        <v>0.24529724137931022</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12.86</v>
      </c>
      <c r="V263" s="13">
        <f>IF(ISNA(VLOOKUP(LOWER(F263)&amp;H263,Prices!A:C,2,0)),0,VLOOKUP(LOWER(F263)&amp;H263,Prices!A:C,2,0))</f>
        <v>12.74</v>
      </c>
      <c r="W263" s="19">
        <f t="shared" si="115"/>
        <v>-24612.564000000002</v>
      </c>
      <c r="X263" s="13">
        <f t="shared" si="116"/>
        <v>-359.99999999999767</v>
      </c>
      <c r="Y263" s="43">
        <f t="shared" si="120"/>
        <v>-0.39179503342884431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31.51</v>
      </c>
      <c r="V264" s="13">
        <f>IF(ISNA(VLOOKUP(LOWER(F264)&amp;H264,Prices!A:C,2,0)),0,VLOOKUP(LOWER(F264)&amp;H264,Prices!A:C,2,0))</f>
        <v>31.2</v>
      </c>
      <c r="W264" s="19">
        <f t="shared" si="115"/>
        <v>38657.915400000013</v>
      </c>
      <c r="X264" s="13">
        <f t="shared" si="116"/>
        <v>-930.00000000000682</v>
      </c>
      <c r="Y264" s="43">
        <f t="shared" si="120"/>
        <v>0.70376689240852031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6.27</v>
      </c>
      <c r="V265" s="13">
        <f>IF(ISNA(VLOOKUP(LOWER(F265)&amp;H265,Prices!A:C,2,0)),0,VLOOKUP(LOWER(F265)&amp;H265,Prices!A:C,2,0))</f>
        <v>6.21</v>
      </c>
      <c r="W265" s="19">
        <f t="shared" si="115"/>
        <v>-13416.407999999999</v>
      </c>
      <c r="X265" s="13">
        <f t="shared" si="116"/>
        <v>-179.99999999999883</v>
      </c>
      <c r="Y265" s="43">
        <f t="shared" si="120"/>
        <v>-0.41873932584269663</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12.5</v>
      </c>
      <c r="V266" s="13">
        <f>IF(ISNA(VLOOKUP(LOWER(F266)&amp;H266,Prices!A:C,2,0)),0,VLOOKUP(LOWER(F266)&amp;H266,Prices!A:C,2,0))</f>
        <v>12.78</v>
      </c>
      <c r="W266" s="19">
        <f t="shared" si="115"/>
        <v>-3305.7720000000008</v>
      </c>
      <c r="X266" s="13">
        <f t="shared" si="116"/>
        <v>559.99999999999875</v>
      </c>
      <c r="Y266" s="43">
        <f t="shared" si="120"/>
        <v>-0.11454511434511437</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17.760000000000002</v>
      </c>
      <c r="V267" s="13">
        <f>IF(ISNA(VLOOKUP(LOWER(F267)&amp;H267,Prices!A:C,2,0)),0,VLOOKUP(LOWER(F267)&amp;H267,Prices!A:C,2,0))</f>
        <v>17.53</v>
      </c>
      <c r="W267" s="19">
        <f t="shared" si="115"/>
        <v>-2027.4159999999952</v>
      </c>
      <c r="X267" s="13">
        <f t="shared" si="116"/>
        <v>-460.00000000000085</v>
      </c>
      <c r="Y267" s="43">
        <f t="shared" si="120"/>
        <v>-5.4676806903991237E-2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53.65</v>
      </c>
      <c r="V268" s="13">
        <f>IF(ISNA(VLOOKUP(LOWER(F268)&amp;H268,Prices!A:C,2,0)),0,VLOOKUP(LOWER(F268)&amp;H268,Prices!A:C,2,0))</f>
        <v>54.62</v>
      </c>
      <c r="W268" s="19">
        <f t="shared" si="115"/>
        <v>52408.635999999991</v>
      </c>
      <c r="X268" s="13">
        <f t="shared" si="116"/>
        <v>1939.9999999999977</v>
      </c>
      <c r="Y268" s="43">
        <f t="shared" si="120"/>
        <v>0.92236247800070381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12.86</v>
      </c>
      <c r="V269" s="13">
        <f>IF(ISNA(VLOOKUP(LOWER(F269)&amp;H269,Prices!A:C,2,0)),0,VLOOKUP(LOWER(F269)&amp;H269,Prices!A:C,2,0))</f>
        <v>12.74</v>
      </c>
      <c r="W269" s="19">
        <f t="shared" si="115"/>
        <v>-7935.0000000000009</v>
      </c>
      <c r="X269" s="13">
        <f t="shared" si="116"/>
        <v>-119.99999999999922</v>
      </c>
      <c r="Y269" s="43">
        <f t="shared" si="120"/>
        <v>-0.38388969521044997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53.65</v>
      </c>
      <c r="V270" s="13">
        <f>IF(ISNA(VLOOKUP(LOWER(F270)&amp;H270,Prices!A:C,2,0)),0,VLOOKUP(LOWER(F270)&amp;H270,Prices!A:C,2,0))</f>
        <v>54.62</v>
      </c>
      <c r="W270" s="19">
        <f t="shared" si="115"/>
        <v>52228.599999999991</v>
      </c>
      <c r="X270" s="13">
        <f t="shared" si="116"/>
        <v>1939.9999999999977</v>
      </c>
      <c r="Y270" s="43">
        <f t="shared" si="120"/>
        <v>0.91629122807017527</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12.86</v>
      </c>
      <c r="V271" s="13">
        <f>IF(ISNA(VLOOKUP(LOWER(F271)&amp;H271,Prices!A:C,2,0)),0,VLOOKUP(LOWER(F271)&amp;H271,Prices!A:C,2,0))</f>
        <v>12.74</v>
      </c>
      <c r="W271" s="19">
        <f t="shared" si="115"/>
        <v>-16148.323999999999</v>
      </c>
      <c r="X271" s="13">
        <f t="shared" si="116"/>
        <v>-239.99999999999844</v>
      </c>
      <c r="Y271" s="43">
        <f t="shared" si="120"/>
        <v>-0.3879943296492071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12.39</v>
      </c>
      <c r="V272" s="13">
        <f>IF(ISNA(VLOOKUP(LOWER(F272)&amp;H272,Prices!A:C,2,0)),0,VLOOKUP(LOWER(F272)&amp;H272,Prices!A:C,2,0))</f>
        <v>12.4</v>
      </c>
      <c r="W272" s="19">
        <f>IF(I272="B",(V272+T272)*K272,(V272+T272)*K272)</f>
        <v>4074.9296000000058</v>
      </c>
      <c r="X272" s="13">
        <f t="shared" si="116"/>
        <v>55.999999999998806</v>
      </c>
      <c r="Y272" s="43">
        <f t="shared" si="120"/>
        <v>6.2353556126820996E-2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8.6999999999999993</v>
      </c>
      <c r="V273" s="13">
        <f>IF(ISNA(VLOOKUP(LOWER(F273)&amp;H273,Prices!A:C,2,0)),0,VLOOKUP(LOWER(F273)&amp;H273,Prices!A:C,2,0))</f>
        <v>8.58</v>
      </c>
      <c r="W273" s="19">
        <f>IF(I273="B",(V273+T273)*K273,(V273+T273)*K273)</f>
        <v>-10408.944000000005</v>
      </c>
      <c r="X273" s="13">
        <f>K273*(V273-U273)</f>
        <v>-479.99999999999687</v>
      </c>
      <c r="Y273" s="43">
        <f t="shared" si="120"/>
        <v>-0.23275813953488383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12.39</v>
      </c>
      <c r="V274" s="13">
        <f>IF(ISNA(VLOOKUP(LOWER(F274)&amp;H274,Prices!A:C,2,0)),0,VLOOKUP(LOWER(F274)&amp;H274,Prices!A:C,2,0))</f>
        <v>12.4</v>
      </c>
      <c r="W274" s="19">
        <f>IF(I274="B",(V274+T274)*K274,(V274+T274)*K274)</f>
        <v>-2432.507600000004</v>
      </c>
      <c r="X274" s="13">
        <f>K274*(V274-U274)</f>
        <v>-55.999999999998806</v>
      </c>
      <c r="Y274" s="43">
        <f t="shared" si="120"/>
        <v>-3.6258460529453911E-2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27.06</v>
      </c>
      <c r="V275" s="13">
        <f>IF(ISNA(VLOOKUP(LOWER(F275)&amp;H275,Prices!A:C,2,0)),0,VLOOKUP(LOWER(F275)&amp;H275,Prices!A:C,2,0))</f>
        <v>28.16</v>
      </c>
      <c r="W275" s="19">
        <f t="shared" ref="W275:W289" si="126">IF(I275="B",(V275+T275)*K275,(V275+T275)*K275)</f>
        <v>9114.6191999999992</v>
      </c>
      <c r="X275" s="13">
        <f t="shared" ref="X275:X289" si="127">K275*(V275-U275)</f>
        <v>1100.0000000000014</v>
      </c>
      <c r="Y275" s="43">
        <f t="shared" si="120"/>
        <v>0.4787089915966386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5.15</v>
      </c>
      <c r="V276" s="13">
        <f>IF(ISNA(VLOOKUP(LOWER(F276)&amp;H276,Prices!A:C,2,0)),0,VLOOKUP(LOWER(F276)&amp;H276,Prices!A:C,2,0))</f>
        <v>5.09</v>
      </c>
      <c r="W276" s="19">
        <f t="shared" si="126"/>
        <v>-14345.000000000002</v>
      </c>
      <c r="X276" s="13">
        <f t="shared" si="127"/>
        <v>-90.000000000000739</v>
      </c>
      <c r="Y276" s="43">
        <f t="shared" si="120"/>
        <v>-0.65278725824800921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12.5</v>
      </c>
      <c r="V277" s="13">
        <f>IF(ISNA(VLOOKUP(LOWER(F277)&amp;H277,Prices!A:C,2,0)),0,VLOOKUP(LOWER(F277)&amp;H277,Prices!A:C,2,0))</f>
        <v>12.78</v>
      </c>
      <c r="W277" s="19">
        <f t="shared" si="126"/>
        <v>3724.8160000000007</v>
      </c>
      <c r="X277" s="13">
        <f t="shared" si="127"/>
        <v>-559.99999999999875</v>
      </c>
      <c r="Y277" s="43">
        <f t="shared" si="120"/>
        <v>0.12704010914051844</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31.51</v>
      </c>
      <c r="V278" s="13">
        <f>IF(ISNA(VLOOKUP(LOWER(F278)&amp;H278,Prices!A:C,2,0)),0,VLOOKUP(LOWER(F278)&amp;H278,Prices!A:C,2,0))</f>
        <v>31.2</v>
      </c>
      <c r="W278" s="19">
        <f t="shared" si="126"/>
        <v>-76395.346800000014</v>
      </c>
      <c r="X278" s="13">
        <f t="shared" si="127"/>
        <v>1860.0000000000136</v>
      </c>
      <c r="Y278" s="43">
        <f t="shared" si="120"/>
        <v>-0.6886185938345053</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17.760000000000002</v>
      </c>
      <c r="V279" s="13">
        <f>IF(ISNA(VLOOKUP(LOWER(F279)&amp;H279,Prices!A:C,2,0)),0,VLOOKUP(LOWER(F279)&amp;H279,Prices!A:C,2,0))</f>
        <v>17.53</v>
      </c>
      <c r="W279" s="19">
        <f t="shared" si="126"/>
        <v>1695.839999999997</v>
      </c>
      <c r="X279" s="13">
        <f t="shared" si="127"/>
        <v>460.00000000000085</v>
      </c>
      <c r="Y279" s="43">
        <f t="shared" si="120"/>
        <v>4.6082608695652089E-2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9.0299999999999994</v>
      </c>
      <c r="V280" s="13">
        <f>IF(ISNA(VLOOKUP(LOWER(F280)&amp;H280,Prices!A:C,2,0)),0,VLOOKUP(LOWER(F280)&amp;H280,Prices!A:C,2,0))</f>
        <v>9.0299999999999994</v>
      </c>
      <c r="W280" s="19">
        <f t="shared" si="126"/>
        <v>-27581.760000000006</v>
      </c>
      <c r="X280" s="13">
        <f t="shared" si="127"/>
        <v>0</v>
      </c>
      <c r="Y280" s="43">
        <f t="shared" si="120"/>
        <v>-0.25538666666666671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8.6999999999999993</v>
      </c>
      <c r="V281" s="13">
        <f>IF(ISNA(VLOOKUP(LOWER(F281)&amp;H281,Prices!A:C,2,0)),0,VLOOKUP(LOWER(F281)&amp;H281,Prices!A:C,2,0))</f>
        <v>8.58</v>
      </c>
      <c r="W281" s="19">
        <f t="shared" si="126"/>
        <v>9747.0559999999932</v>
      </c>
      <c r="X281" s="13">
        <f t="shared" si="127"/>
        <v>479.99999999999687</v>
      </c>
      <c r="Y281" s="43">
        <f t="shared" si="120"/>
        <v>0.22092148685403429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61.8</v>
      </c>
      <c r="V282" s="13">
        <f>IF(ISNA(VLOOKUP(LOWER(F282)&amp;H282,Prices!A:C,2,0)),0,VLOOKUP(LOWER(F282)&amp;H282,Prices!A:C,2,0))</f>
        <v>63.55</v>
      </c>
      <c r="W282" s="19">
        <f t="shared" si="126"/>
        <v>-9103.2275999999911</v>
      </c>
      <c r="X282" s="13">
        <f t="shared" si="127"/>
        <v>-2800</v>
      </c>
      <c r="Y282" s="43">
        <f t="shared" si="120"/>
        <v>-9.8213658726048578E-2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61.8</v>
      </c>
      <c r="V283" s="13">
        <f>IF(ISNA(VLOOKUP(LOWER(F283)&amp;H283,Prices!A:C,2,0)),0,VLOOKUP(LOWER(F283)&amp;H283,Prices!A:C,2,0))</f>
        <v>63.55</v>
      </c>
      <c r="W283" s="19">
        <f t="shared" si="126"/>
        <v>-9655.1995999999999</v>
      </c>
      <c r="X283" s="13">
        <f t="shared" si="127"/>
        <v>-2975</v>
      </c>
      <c r="Y283" s="43">
        <f t="shared" si="120"/>
        <v>-9.8024321306016363E-2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12.86</v>
      </c>
      <c r="V284" s="13">
        <f>IF(ISNA(VLOOKUP(LOWER(F284)&amp;H284,Prices!A:C,2,0)),0,VLOOKUP(LOWER(F284)&amp;H284,Prices!A:C,2,0))</f>
        <v>12.74</v>
      </c>
      <c r="W284" s="19">
        <f t="shared" si="126"/>
        <v>18787.63519999999</v>
      </c>
      <c r="X284" s="13">
        <f t="shared" si="127"/>
        <v>311.99999999999795</v>
      </c>
      <c r="Y284" s="43">
        <f t="shared" si="120"/>
        <v>0.36148141763189273</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61.8</v>
      </c>
      <c r="V285" s="13">
        <f>IF(ISNA(VLOOKUP(LOWER(F285)&amp;H285,Prices!A:C,2,0)),0,VLOOKUP(LOWER(F285)&amp;H285,Prices!A:C,2,0))</f>
        <v>63.55</v>
      </c>
      <c r="W285" s="19">
        <f t="shared" si="126"/>
        <v>-9689.1528000000017</v>
      </c>
      <c r="X285" s="13">
        <f t="shared" si="127"/>
        <v>-2975</v>
      </c>
      <c r="Y285" s="43">
        <f t="shared" si="120"/>
        <v>-9.8402998050048762E-2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12.86</v>
      </c>
      <c r="V286" s="13">
        <f>IF(ISNA(VLOOKUP(LOWER(F286)&amp;H286,Prices!A:C,2,0)),0,VLOOKUP(LOWER(F286)&amp;H286,Prices!A:C,2,0))</f>
        <v>12.74</v>
      </c>
      <c r="W286" s="19">
        <f t="shared" si="126"/>
        <v>19510.235399999987</v>
      </c>
      <c r="X286" s="13">
        <f t="shared" si="127"/>
        <v>323.9999999999979</v>
      </c>
      <c r="Y286" s="43">
        <f t="shared" si="120"/>
        <v>0.3614813962536822</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12.86</v>
      </c>
      <c r="V287" s="13">
        <f>IF(ISNA(VLOOKUP(LOWER(F287)&amp;H287,Prices!A:C,2,0)),0,VLOOKUP(LOWER(F287)&amp;H287,Prices!A:C,2,0))</f>
        <v>12.74</v>
      </c>
      <c r="W287" s="19">
        <f t="shared" si="126"/>
        <v>19591.139200000001</v>
      </c>
      <c r="X287" s="13">
        <f t="shared" si="127"/>
        <v>323.9999999999979</v>
      </c>
      <c r="Y287" s="43">
        <f t="shared" si="120"/>
        <v>0.36243643763643768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6.27</v>
      </c>
      <c r="V288" s="13">
        <f>IF(ISNA(VLOOKUP(LOWER(F288)&amp;H288,Prices!A:C,2,0)),0,VLOOKUP(LOWER(F288)&amp;H288,Prices!A:C,2,0))</f>
        <v>6.21</v>
      </c>
      <c r="W288" s="19">
        <f t="shared" si="126"/>
        <v>12292.848000000004</v>
      </c>
      <c r="X288" s="13">
        <f t="shared" si="127"/>
        <v>179.99999999999883</v>
      </c>
      <c r="Y288" s="43">
        <f t="shared" si="120"/>
        <v>0.39705581395348849</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53.65</v>
      </c>
      <c r="V289" s="13">
        <f>IF(ISNA(VLOOKUP(LOWER(F289)&amp;H289,Prices!A:C,2,0)),0,VLOOKUP(LOWER(F289)&amp;H289,Prices!A:C,2,0))</f>
        <v>54.62</v>
      </c>
      <c r="W289" s="19">
        <f t="shared" si="126"/>
        <v>-103498.144</v>
      </c>
      <c r="X289" s="13">
        <f t="shared" si="127"/>
        <v>-3879.9999999999955</v>
      </c>
      <c r="Y289" s="43">
        <f t="shared" si="120"/>
        <v>-0.89904572619874912</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27.06</v>
      </c>
      <c r="V290" s="13">
        <f>IF(ISNA(VLOOKUP(LOWER(F290)&amp;H290,Prices!A:C,2,0)),0,VLOOKUP(LOWER(F290)&amp;H290,Prices!A:C,2,0))</f>
        <v>28.16</v>
      </c>
      <c r="W290" s="19">
        <f>IF(I290="B",(V290+T290)*K290,(V290+T290)*K290)</f>
        <v>-8954.614599999999</v>
      </c>
      <c r="X290" s="13">
        <f>K290*(V290-U290)</f>
        <v>-1100.0000000000014</v>
      </c>
      <c r="Y290" s="43">
        <f t="shared" si="120"/>
        <v>-0.46565858554342171</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5.15</v>
      </c>
      <c r="V291" s="13">
        <f>IF(ISNA(VLOOKUP(LOWER(F291)&amp;H291,Prices!A:C,2,0)),0,VLOOKUP(LOWER(F291)&amp;H291,Prices!A:C,2,0))</f>
        <v>5.09</v>
      </c>
      <c r="W291" s="19">
        <f>IF(I291="B",(V291+T291)*K291,(V291+T291)*K291)</f>
        <v>14822.509999999998</v>
      </c>
      <c r="X291" s="13">
        <f>K291*(V291-U291)</f>
        <v>90.000000000000739</v>
      </c>
      <c r="Y291" s="43">
        <f t="shared" si="120"/>
        <v>0.65921770068934837</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6.2</v>
      </c>
      <c r="V295" s="13">
        <f>IF(ISNA(VLOOKUP(LOWER(F295)&amp;H295,Prices!A:C,2,0)),0,VLOOKUP(LOWER(F295)&amp;H295,Prices!A:C,2,0))</f>
        <v>6.24</v>
      </c>
      <c r="W295" s="13">
        <f t="shared" si="132"/>
        <v>-13759.888999999994</v>
      </c>
      <c r="X295" s="13">
        <f t="shared" si="133"/>
        <v>200.00000000000017</v>
      </c>
      <c r="Y295" s="43">
        <f t="shared" si="120"/>
        <v>-0.30611543937708552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9.48</v>
      </c>
      <c r="V296" s="13">
        <f>IF(ISNA(VLOOKUP(LOWER(F296)&amp;H296,Prices!A:C,2,0)),0,VLOOKUP(LOWER(F296)&amp;H296,Prices!A:C,2,0))</f>
        <v>9.42</v>
      </c>
      <c r="W296" s="13">
        <f t="shared" si="132"/>
        <v>939.84699999999145</v>
      </c>
      <c r="X296" s="13">
        <f t="shared" si="133"/>
        <v>-300.0000000000025</v>
      </c>
      <c r="Y296" s="43">
        <f t="shared" si="120"/>
        <v>2.0365048754062653E-2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9.48</v>
      </c>
      <c r="V299" s="13">
        <f>IF(ISNA(VLOOKUP(LOWER(F299)&amp;H299,Prices!A:C,2,0)),0,VLOOKUP(LOWER(F299)&amp;H299,Prices!A:C,2,0))</f>
        <v>9.42</v>
      </c>
      <c r="W299" s="13">
        <f t="shared" si="132"/>
        <v>751.87760000000026</v>
      </c>
      <c r="X299" s="13">
        <f t="shared" si="133"/>
        <v>-240.00000000000199</v>
      </c>
      <c r="Y299" s="43">
        <f t="shared" si="120"/>
        <v>2.0365048754062847E-2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12.86</v>
      </c>
      <c r="V300" s="13">
        <f>IF(ISNA(VLOOKUP(LOWER(F300)&amp;H300,Prices!A:C,2,0)),0,VLOOKUP(LOWER(F300)&amp;H300,Prices!A:C,2,0))</f>
        <v>12.74</v>
      </c>
      <c r="W300" s="13">
        <f t="shared" si="132"/>
        <v>-10415.903999999999</v>
      </c>
      <c r="X300" s="13">
        <f t="shared" si="133"/>
        <v>-179.99999999999883</v>
      </c>
      <c r="Y300" s="43">
        <f t="shared" si="120"/>
        <v>-0.35284227642276417</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12.86</v>
      </c>
      <c r="V301" s="13">
        <f>IF(ISNA(VLOOKUP(LOWER(F301)&amp;H301,Prices!A:C,2,0)),0,VLOOKUP(LOWER(F301)&amp;H301,Prices!A:C,2,0))</f>
        <v>12.74</v>
      </c>
      <c r="W301" s="13">
        <f t="shared" si="132"/>
        <v>-10325.885999999999</v>
      </c>
      <c r="X301" s="13">
        <f t="shared" si="133"/>
        <v>-179.99999999999883</v>
      </c>
      <c r="Y301" s="43">
        <f t="shared" si="120"/>
        <v>-0.35086258919469926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6.2</v>
      </c>
      <c r="V302" s="13">
        <f>IF(ISNA(VLOOKUP(LOWER(F302)&amp;H302,Prices!A:C,2,0)),0,VLOOKUP(LOWER(F302)&amp;H302,Prices!A:C,2,0))</f>
        <v>6.24</v>
      </c>
      <c r="W302" s="13">
        <f t="shared" si="132"/>
        <v>-5405.3575999999985</v>
      </c>
      <c r="X302" s="13">
        <f t="shared" si="133"/>
        <v>80.000000000000071</v>
      </c>
      <c r="Y302" s="43">
        <f t="shared" si="120"/>
        <v>-0.30231306487695742</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45.95</v>
      </c>
      <c r="V303" s="13">
        <f>IF(ISNA(VLOOKUP(LOWER(F303)&amp;H303,Prices!A:C,2,0)),0,VLOOKUP(LOWER(F303)&amp;H303,Prices!A:C,2,0))</f>
        <v>45.82</v>
      </c>
      <c r="W303" s="13">
        <f t="shared" si="132"/>
        <v>28762.008000000002</v>
      </c>
      <c r="X303" s="13">
        <f t="shared" si="133"/>
        <v>-195.00000000000384</v>
      </c>
      <c r="Y303" s="43">
        <f t="shared" si="120"/>
        <v>0.71976996996997</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6.2</v>
      </c>
      <c r="V304" s="13">
        <f>IF(ISNA(VLOOKUP(LOWER(F304)&amp;H304,Prices!A:C,2,0)),0,VLOOKUP(LOWER(F304)&amp;H304,Prices!A:C,2,0))</f>
        <v>6.24</v>
      </c>
      <c r="W304" s="13">
        <f t="shared" ref="W304:W345" si="138">IF(I304="B",(V304+T304)*K304,(V304+T304)*K304)</f>
        <v>19942.286</v>
      </c>
      <c r="X304" s="13">
        <f t="shared" ref="X304:X345" si="139">K304*(V304-U304)</f>
        <v>-280.00000000000023</v>
      </c>
      <c r="Y304" s="43">
        <f t="shared" si="120"/>
        <v>0.31306571428571428</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9.48</v>
      </c>
      <c r="V305" s="13">
        <f>IF(ISNA(VLOOKUP(LOWER(F305)&amp;H305,Prices!A:C,2,0)),0,VLOOKUP(LOWER(F305)&amp;H305,Prices!A:C,2,0))</f>
        <v>9.42</v>
      </c>
      <c r="W305" s="13">
        <f t="shared" si="138"/>
        <v>1746.088199999991</v>
      </c>
      <c r="X305" s="13">
        <f t="shared" si="139"/>
        <v>270.00000000000222</v>
      </c>
      <c r="Y305" s="43">
        <f t="shared" si="120"/>
        <v>3.9513197556007941E-2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12.86</v>
      </c>
      <c r="V307" s="13">
        <f>IF(ISNA(VLOOKUP(LOWER(F307)&amp;H307,Prices!A:C,2,0)),0,VLOOKUP(LOWER(F307)&amp;H307,Prices!A:C,2,0))</f>
        <v>12.74</v>
      </c>
      <c r="W307" s="13">
        <f t="shared" si="138"/>
        <v>20329.655999999992</v>
      </c>
      <c r="X307" s="13">
        <f t="shared" si="139"/>
        <v>359.99999999999767</v>
      </c>
      <c r="Y307" s="43">
        <f t="shared" si="120"/>
        <v>0.34680409416581359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45.95</v>
      </c>
      <c r="V308" s="13">
        <f>IF(ISNA(VLOOKUP(LOWER(F308)&amp;H308,Prices!A:C,2,0)),0,VLOOKUP(LOWER(F308)&amp;H308,Prices!A:C,2,0))</f>
        <v>45.82</v>
      </c>
      <c r="W308" s="13">
        <f t="shared" si="138"/>
        <v>-29821.750999999997</v>
      </c>
      <c r="X308" s="13">
        <f t="shared" si="139"/>
        <v>195.00000000000384</v>
      </c>
      <c r="Y308" s="43">
        <f t="shared" si="120"/>
        <v>-0.76554360159157997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9.48</v>
      </c>
      <c r="V309" s="13">
        <f>IF(ISNA(VLOOKUP(LOWER(F309)&amp;H309,Prices!A:C,2,0)),0,VLOOKUP(LOWER(F309)&amp;H309,Prices!A:C,2,0))</f>
        <v>9.42</v>
      </c>
      <c r="W309" s="13">
        <f t="shared" si="138"/>
        <v>1341.5773000000045</v>
      </c>
      <c r="X309" s="13">
        <f t="shared" si="139"/>
        <v>270.00000000000222</v>
      </c>
      <c r="Y309" s="43">
        <f t="shared" si="120"/>
        <v>3.0640111910471723E-2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690.25</v>
      </c>
      <c r="V310" s="13">
        <f>IF(ISNA(VLOOKUP(LOWER(F310)&amp;H310,Prices!A:C,2,0)),0,VLOOKUP(LOWER(F310)&amp;H310,Prices!A:C,2,0))</f>
        <v>679.15</v>
      </c>
      <c r="W310" s="13">
        <f>IF(I310="B",(V310+T310)*K310,(V310+T310)*K310)</f>
        <v>68579.208080000011</v>
      </c>
      <c r="X310" s="13">
        <f t="shared" si="139"/>
        <v>-2220.0000000000045</v>
      </c>
      <c r="Y310" s="43">
        <f t="shared" si="120"/>
        <v>1.0199775132369566</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690.25</v>
      </c>
      <c r="V311" s="13">
        <f>IF(ISNA(VLOOKUP(LOWER(F311)&amp;H311,Prices!A:C,2,0)),0,VLOOKUP(LOWER(F311)&amp;H311,Prices!A:C,2,0))</f>
        <v>679.15</v>
      </c>
      <c r="W311" s="13">
        <f t="shared" si="138"/>
        <v>34385.625159999996</v>
      </c>
      <c r="X311" s="13">
        <f t="shared" si="139"/>
        <v>-1110.0000000000023</v>
      </c>
      <c r="Y311" s="43">
        <f t="shared" si="120"/>
        <v>1.0257629365789629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63.59</v>
      </c>
      <c r="V312" s="13">
        <f>IF(ISNA(VLOOKUP(LOWER(F312)&amp;H312,Prices!A:C,2,0)),0,VLOOKUP(LOWER(F312)&amp;H312,Prices!A:C,2,0))</f>
        <v>69.489999999999995</v>
      </c>
      <c r="W312" s="13">
        <f t="shared" si="138"/>
        <v>11822.637399999996</v>
      </c>
      <c r="X312" s="13">
        <f t="shared" si="139"/>
        <v>4129.9999999999936</v>
      </c>
      <c r="Y312" s="43">
        <f t="shared" si="120"/>
        <v>0.32115386955694986</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690.25</v>
      </c>
      <c r="V313" s="13">
        <f>IF(ISNA(VLOOKUP(LOWER(F313)&amp;H313,Prices!A:C,2,0)),0,VLOOKUP(LOWER(F313)&amp;H313,Prices!A:C,2,0))</f>
        <v>679.15</v>
      </c>
      <c r="W313" s="13">
        <f t="shared" si="138"/>
        <v>34346.616580000002</v>
      </c>
      <c r="X313" s="13">
        <f t="shared" si="139"/>
        <v>-1110.0000000000023</v>
      </c>
      <c r="Y313" s="43">
        <f t="shared" si="120"/>
        <v>1.0234086165489706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690.25</v>
      </c>
      <c r="V314" s="13">
        <f>IF(ISNA(VLOOKUP(LOWER(F314)&amp;H314,Prices!A:C,2,0)),0,VLOOKUP(LOWER(F314)&amp;H314,Prices!A:C,2,0))</f>
        <v>679.15</v>
      </c>
      <c r="W314" s="13">
        <f t="shared" si="138"/>
        <v>34442.637699999992</v>
      </c>
      <c r="X314" s="13">
        <f t="shared" si="139"/>
        <v>-1110.0000000000023</v>
      </c>
      <c r="Y314" s="43">
        <f t="shared" si="120"/>
        <v>1.0292137367398773</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63.59</v>
      </c>
      <c r="V315" s="13">
        <f>IF(ISNA(VLOOKUP(LOWER(F315)&amp;H315,Prices!A:C,2,0)),0,VLOOKUP(LOWER(F315)&amp;H315,Prices!A:C,2,0))</f>
        <v>69.489999999999995</v>
      </c>
      <c r="W315" s="13">
        <f t="shared" si="138"/>
        <v>12375.747999999994</v>
      </c>
      <c r="X315" s="13">
        <f t="shared" si="139"/>
        <v>4129.9999999999936</v>
      </c>
      <c r="Y315" s="43">
        <f t="shared" si="120"/>
        <v>0.34130579150579132</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75.27</v>
      </c>
      <c r="V316" s="13">
        <f>IF(ISNA(VLOOKUP(LOWER(F316)&amp;H316,Prices!A:C,2,0)),0,VLOOKUP(LOWER(F316)&amp;H316,Prices!A:C,2,0))</f>
        <v>75.709999999999994</v>
      </c>
      <c r="W316" s="13">
        <f t="shared" si="138"/>
        <v>38821.886399999996</v>
      </c>
      <c r="X316" s="13">
        <f t="shared" si="139"/>
        <v>439.99999999999773</v>
      </c>
      <c r="Y316" s="43">
        <f t="shared" si="120"/>
        <v>1.052654186550976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75.27</v>
      </c>
      <c r="V317" s="13">
        <f>IF(ISNA(VLOOKUP(LOWER(F317)&amp;H317,Prices!A:C,2,0)),0,VLOOKUP(LOWER(F317)&amp;H317,Prices!A:C,2,0))</f>
        <v>75.709999999999994</v>
      </c>
      <c r="W317" s="13">
        <f t="shared" si="138"/>
        <v>38821.886399999996</v>
      </c>
      <c r="X317" s="13">
        <f t="shared" si="139"/>
        <v>439.99999999999773</v>
      </c>
      <c r="Y317" s="43">
        <f t="shared" si="120"/>
        <v>1.052654186550976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17.36</v>
      </c>
      <c r="V318" s="13">
        <f>IF(ISNA(VLOOKUP(LOWER(F318)&amp;H318,Prices!A:C,2,0)),0,VLOOKUP(LOWER(F318)&amp;H318,Prices!A:C,2,0))</f>
        <v>17.559999999999999</v>
      </c>
      <c r="W318" s="13">
        <f t="shared" si="138"/>
        <v>712.43199999999979</v>
      </c>
      <c r="X318" s="13">
        <f t="shared" si="139"/>
        <v>399.99999999999858</v>
      </c>
      <c r="Y318" s="43">
        <f t="shared" si="120"/>
        <v>2.071023255813953E-2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34.4</v>
      </c>
      <c r="V320" s="13">
        <f>IF(ISNA(VLOOKUP(LOWER(F320)&amp;H320,Prices!A:C,2,0)),0,VLOOKUP(LOWER(F320)&amp;H320,Prices!A:C,2,0))</f>
        <v>35.07</v>
      </c>
      <c r="W320" s="13">
        <f t="shared" si="138"/>
        <v>-10657.844999999998</v>
      </c>
      <c r="X320" s="13">
        <f t="shared" si="139"/>
        <v>737.00000000000182</v>
      </c>
      <c r="Y320" s="43">
        <f t="shared" si="120"/>
        <v>-0.21651284916201113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8.84</v>
      </c>
      <c r="V321" s="13">
        <f>IF(ISNA(VLOOKUP(LOWER(F321)&amp;H321,Prices!A:C,2,0)),0,VLOOKUP(LOWER(F321)&amp;H321,Prices!A:C,2,0))</f>
        <v>8.67</v>
      </c>
      <c r="W321" s="13">
        <f t="shared" si="138"/>
        <v>8273.2383000000027</v>
      </c>
      <c r="X321" s="13">
        <f t="shared" si="139"/>
        <v>-764.99999999999966</v>
      </c>
      <c r="Y321" s="43">
        <f t="shared" si="120"/>
        <v>0.2691797071742314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75.27</v>
      </c>
      <c r="V322" s="13">
        <f>IF(ISNA(VLOOKUP(LOWER(F322)&amp;H322,Prices!A:C,2,0)),0,VLOOKUP(LOWER(F322)&amp;H322,Prices!A:C,2,0))</f>
        <v>75.709999999999994</v>
      </c>
      <c r="W322" s="13">
        <f t="shared" si="138"/>
        <v>31121.523199999996</v>
      </c>
      <c r="X322" s="13">
        <f t="shared" si="139"/>
        <v>351.99999999999818</v>
      </c>
      <c r="Y322" s="43">
        <f t="shared" si="120"/>
        <v>1.0571169565217391</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690.25</v>
      </c>
      <c r="V323" s="13">
        <f>IF(ISNA(VLOOKUP(LOWER(F323)&amp;H323,Prices!A:C,2,0)),0,VLOOKUP(LOWER(F323)&amp;H323,Prices!A:C,2,0))</f>
        <v>679.15</v>
      </c>
      <c r="W323" s="13">
        <f t="shared" si="138"/>
        <v>35223.809519999995</v>
      </c>
      <c r="X323" s="13">
        <f t="shared" si="139"/>
        <v>-1110.0000000000023</v>
      </c>
      <c r="Y323" s="43">
        <f t="shared" si="120"/>
        <v>1.0777080381838209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6.27</v>
      </c>
      <c r="V324" s="13">
        <f>IF(ISNA(VLOOKUP(LOWER(F324)&amp;H324,Prices!A:C,2,0)),0,VLOOKUP(LOWER(F324)&amp;H324,Prices!A:C,2,0))</f>
        <v>6.21</v>
      </c>
      <c r="W324" s="13">
        <f t="shared" si="138"/>
        <v>-15983.783999999996</v>
      </c>
      <c r="X324" s="13">
        <f t="shared" si="139"/>
        <v>-269.99999999999824</v>
      </c>
      <c r="Y324" s="43">
        <f t="shared" si="120"/>
        <v>-0.36392950819672121</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34.4</v>
      </c>
      <c r="V325" s="13">
        <f>IF(ISNA(VLOOKUP(LOWER(F325)&amp;H325,Prices!A:C,2,0)),0,VLOOKUP(LOWER(F325)&amp;H325,Prices!A:C,2,0))</f>
        <v>35.07</v>
      </c>
      <c r="W325" s="13">
        <f t="shared" si="138"/>
        <v>-11097.932999999994</v>
      </c>
      <c r="X325" s="13">
        <f t="shared" si="139"/>
        <v>737.00000000000182</v>
      </c>
      <c r="Y325" s="43">
        <f t="shared" ref="Y325:Y388" si="143">W325/O325</f>
        <v>-0.22345581395348824</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6.27</v>
      </c>
      <c r="V326" s="13">
        <f>IF(ISNA(VLOOKUP(LOWER(F326)&amp;H326,Prices!A:C,2,0)),0,VLOOKUP(LOWER(F326)&amp;H326,Prices!A:C,2,0))</f>
        <v>6.21</v>
      </c>
      <c r="W326" s="13">
        <f t="shared" si="138"/>
        <v>-15983.783999999996</v>
      </c>
      <c r="X326" s="13">
        <f t="shared" si="139"/>
        <v>-269.99999999999824</v>
      </c>
      <c r="Y326" s="43">
        <f t="shared" si="143"/>
        <v>-0.36392950819672121</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6.27</v>
      </c>
      <c r="V327" s="13">
        <f>IF(ISNA(VLOOKUP(LOWER(F327)&amp;H327,Prices!A:C,2,0)),0,VLOOKUP(LOWER(F327)&amp;H327,Prices!A:C,2,0))</f>
        <v>6.21</v>
      </c>
      <c r="W327" s="13">
        <f t="shared" si="138"/>
        <v>-16012.789799999979</v>
      </c>
      <c r="X327" s="13">
        <f t="shared" si="139"/>
        <v>-269.99999999999824</v>
      </c>
      <c r="Y327" s="43">
        <f t="shared" si="143"/>
        <v>-0.3643493549341279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69.010000000000005</v>
      </c>
      <c r="V328" s="13">
        <f>IF(ISNA(VLOOKUP(LOWER(F328)&amp;H328,Prices!A:C,2,0)),0,VLOOKUP(LOWER(F328)&amp;H328,Prices!A:C,2,0))</f>
        <v>68.489999999999995</v>
      </c>
      <c r="W328" s="13">
        <f t="shared" si="138"/>
        <v>53000.054999999993</v>
      </c>
      <c r="X328" s="13">
        <f t="shared" si="139"/>
        <v>-780.00000000001535</v>
      </c>
      <c r="Y328" s="43">
        <f t="shared" si="143"/>
        <v>1.0658633484162894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34.4</v>
      </c>
      <c r="V329" s="13">
        <f>IF(ISNA(VLOOKUP(LOWER(F329)&amp;H329,Prices!A:C,2,0)),0,VLOOKUP(LOWER(F329)&amp;H329,Prices!A:C,2,0))</f>
        <v>35.07</v>
      </c>
      <c r="W329" s="13">
        <f t="shared" si="138"/>
        <v>-11483.010000000004</v>
      </c>
      <c r="X329" s="13">
        <f t="shared" si="139"/>
        <v>737.00000000000182</v>
      </c>
      <c r="Y329" s="43">
        <f t="shared" si="143"/>
        <v>-0.2294307692307693</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8.84</v>
      </c>
      <c r="V330" s="13">
        <f>IF(ISNA(VLOOKUP(LOWER(F330)&amp;H330,Prices!A:C,2,0)),0,VLOOKUP(LOWER(F330)&amp;H330,Prices!A:C,2,0))</f>
        <v>8.67</v>
      </c>
      <c r="W330" s="13">
        <f t="shared" si="138"/>
        <v>8453.277900000001</v>
      </c>
      <c r="X330" s="13">
        <f t="shared" si="139"/>
        <v>-764.99999999999966</v>
      </c>
      <c r="Y330" s="43">
        <f t="shared" si="143"/>
        <v>0.27665776141384391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34.4</v>
      </c>
      <c r="V331" s="13">
        <f>IF(ISNA(VLOOKUP(LOWER(F331)&amp;H331,Prices!A:C,2,0)),0,VLOOKUP(LOWER(F331)&amp;H331,Prices!A:C,2,0))</f>
        <v>35.07</v>
      </c>
      <c r="W331" s="13">
        <f t="shared" si="138"/>
        <v>-11494.012199999996</v>
      </c>
      <c r="X331" s="13">
        <f t="shared" si="139"/>
        <v>737.00000000000182</v>
      </c>
      <c r="Y331" s="43">
        <f t="shared" si="143"/>
        <v>-0.22960013183915615</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63.59</v>
      </c>
      <c r="V332" s="13">
        <f>IF(ISNA(VLOOKUP(LOWER(F332)&amp;H332,Prices!A:C,2,0)),0,VLOOKUP(LOWER(F332)&amp;H332,Prices!A:C,2,0))</f>
        <v>69.489999999999995</v>
      </c>
      <c r="W332" s="13">
        <f t="shared" si="138"/>
        <v>19329.969999999998</v>
      </c>
      <c r="X332" s="13">
        <f t="shared" si="139"/>
        <v>5899.9999999999918</v>
      </c>
      <c r="Y332" s="43">
        <f t="shared" si="143"/>
        <v>0.38544307078763707</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69.010000000000005</v>
      </c>
      <c r="V333" s="13">
        <f>IF(ISNA(VLOOKUP(LOWER(F333)&amp;H333,Prices!A:C,2,0)),0,VLOOKUP(LOWER(F333)&amp;H333,Prices!A:C,2,0))</f>
        <v>68.489999999999995</v>
      </c>
      <c r="W333" s="13">
        <f t="shared" si="138"/>
        <v>52955.045999999995</v>
      </c>
      <c r="X333" s="13">
        <f t="shared" si="139"/>
        <v>-780.00000000001535</v>
      </c>
      <c r="Y333" s="43">
        <f t="shared" si="143"/>
        <v>1.0639952983725134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69.010000000000005</v>
      </c>
      <c r="V334" s="13">
        <f>IF(ISNA(VLOOKUP(LOWER(F334)&amp;H334,Prices!A:C,2,0)),0,VLOOKUP(LOWER(F334)&amp;H334,Prices!A:C,2,0))</f>
        <v>68.489999999999995</v>
      </c>
      <c r="W334" s="13">
        <f t="shared" si="138"/>
        <v>52958.046600000001</v>
      </c>
      <c r="X334" s="13">
        <f t="shared" si="139"/>
        <v>-780.00000000001535</v>
      </c>
      <c r="Y334" s="43">
        <f t="shared" si="143"/>
        <v>1.0641197299415277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8.84</v>
      </c>
      <c r="V335" s="13">
        <f>IF(ISNA(VLOOKUP(LOWER(F335)&amp;H335,Prices!A:C,2,0)),0,VLOOKUP(LOWER(F335)&amp;H335,Prices!A:C,2,0))</f>
        <v>8.67</v>
      </c>
      <c r="W335" s="13">
        <f t="shared" si="138"/>
        <v>8048.1887999999999</v>
      </c>
      <c r="X335" s="13">
        <f t="shared" si="139"/>
        <v>-764.99999999999966</v>
      </c>
      <c r="Y335" s="43">
        <f t="shared" si="143"/>
        <v>0.25995441860465118</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8.84</v>
      </c>
      <c r="V336" s="13">
        <f>IF(ISNA(VLOOKUP(LOWER(F336)&amp;H336,Prices!A:C,2,0)),0,VLOOKUP(LOWER(F336)&amp;H336,Prices!A:C,2,0))</f>
        <v>8.67</v>
      </c>
      <c r="W336" s="13">
        <f t="shared" si="138"/>
        <v>7778.1294000000034</v>
      </c>
      <c r="X336" s="13">
        <f t="shared" si="139"/>
        <v>-764.99999999999966</v>
      </c>
      <c r="Y336" s="43">
        <f t="shared" si="143"/>
        <v>0.24905953890489924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63.59</v>
      </c>
      <c r="V337" s="13">
        <f>IF(ISNA(VLOOKUP(LOWER(F337)&amp;H337,Prices!A:C,2,0)),0,VLOOKUP(LOWER(F337)&amp;H337,Prices!A:C,2,0))</f>
        <v>69.489999999999995</v>
      </c>
      <c r="W337" s="13">
        <f t="shared" si="138"/>
        <v>11591.980800000001</v>
      </c>
      <c r="X337" s="13">
        <f t="shared" si="139"/>
        <v>3539.999999999995</v>
      </c>
      <c r="Y337" s="43">
        <f t="shared" si="143"/>
        <v>0.38516682615629994</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75.27</v>
      </c>
      <c r="V338" s="13">
        <f>IF(ISNA(VLOOKUP(LOWER(F338)&amp;H338,Prices!A:C,2,0)),0,VLOOKUP(LOWER(F338)&amp;H338,Prices!A:C,2,0))</f>
        <v>75.709999999999994</v>
      </c>
      <c r="W338" s="13">
        <f t="shared" si="138"/>
        <v>77703.785999999978</v>
      </c>
      <c r="X338" s="13">
        <f t="shared" si="139"/>
        <v>879.99999999999545</v>
      </c>
      <c r="Y338" s="43">
        <f t="shared" si="143"/>
        <v>1.0543254545454543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690.25</v>
      </c>
      <c r="V339" s="13">
        <f>IF(ISNA(VLOOKUP(LOWER(F339)&amp;H339,Prices!A:C,2,0)),0,VLOOKUP(LOWER(F339)&amp;H339,Prices!A:C,2,0))</f>
        <v>679.15</v>
      </c>
      <c r="W339" s="13">
        <f t="shared" si="138"/>
        <v>70035.528399999981</v>
      </c>
      <c r="X339" s="13">
        <f t="shared" si="139"/>
        <v>-2220.0000000000045</v>
      </c>
      <c r="Y339" s="43">
        <f t="shared" si="143"/>
        <v>1.0646933475220428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75.27</v>
      </c>
      <c r="V340" s="13">
        <f>IF(ISNA(VLOOKUP(LOWER(F340)&amp;H340,Prices!A:C,2,0)),0,VLOOKUP(LOWER(F340)&amp;H340,Prices!A:C,2,0))</f>
        <v>75.709999999999994</v>
      </c>
      <c r="W340" s="13">
        <f t="shared" si="138"/>
        <v>77783.803599999985</v>
      </c>
      <c r="X340" s="13">
        <f t="shared" si="139"/>
        <v>879.99999999999545</v>
      </c>
      <c r="Y340" s="43">
        <f t="shared" si="143"/>
        <v>1.056558049443086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6.27</v>
      </c>
      <c r="V341" s="13">
        <f>IF(ISNA(VLOOKUP(LOWER(F341)&amp;H341,Prices!A:C,2,0)),0,VLOOKUP(LOWER(F341)&amp;H341,Prices!A:C,2,0))</f>
        <v>6.21</v>
      </c>
      <c r="W341" s="13">
        <f t="shared" si="138"/>
        <v>-18209.849999999999</v>
      </c>
      <c r="X341" s="13">
        <f t="shared" si="139"/>
        <v>-299.99999999999807</v>
      </c>
      <c r="Y341" s="43">
        <f t="shared" si="143"/>
        <v>-0.36974314720812179</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63.59</v>
      </c>
      <c r="V342" s="13">
        <f>IF(ISNA(VLOOKUP(LOWER(F342)&amp;H342,Prices!A:C,2,0)),0,VLOOKUP(LOWER(F342)&amp;H342,Prices!A:C,2,0))</f>
        <v>69.489999999999995</v>
      </c>
      <c r="W342" s="13">
        <f t="shared" si="138"/>
        <v>19289.961999999996</v>
      </c>
      <c r="X342" s="13">
        <f t="shared" si="139"/>
        <v>5899.9999999999918</v>
      </c>
      <c r="Y342" s="43">
        <f t="shared" si="143"/>
        <v>0.38433875273958945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17.36</v>
      </c>
      <c r="V343" s="13">
        <f>IF(ISNA(VLOOKUP(LOWER(F343)&amp;H343,Prices!A:C,2,0)),0,VLOOKUP(LOWER(F343)&amp;H343,Prices!A:C,2,0))</f>
        <v>17.559999999999999</v>
      </c>
      <c r="W343" s="13">
        <f t="shared" si="138"/>
        <v>-1021.6508000000033</v>
      </c>
      <c r="X343" s="13">
        <f t="shared" si="139"/>
        <v>-399.99999999999858</v>
      </c>
      <c r="Y343" s="43">
        <f t="shared" si="143"/>
        <v>-2.9925330990041105E-2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63.59</v>
      </c>
      <c r="V344" s="13">
        <f>IF(ISNA(VLOOKUP(LOWER(F344)&amp;H344,Prices!A:C,2,0)),0,VLOOKUP(LOWER(F344)&amp;H344,Prices!A:C,2,0))</f>
        <v>69.489999999999995</v>
      </c>
      <c r="W344" s="13">
        <f t="shared" si="138"/>
        <v>-26992.455599999994</v>
      </c>
      <c r="X344" s="13">
        <f t="shared" si="139"/>
        <v>-8259.9999999999873</v>
      </c>
      <c r="Y344" s="43">
        <f t="shared" si="143"/>
        <v>-0.38353541731791174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690.25</v>
      </c>
      <c r="V345" s="13">
        <f>IF(ISNA(VLOOKUP(LOWER(F345)&amp;H345,Prices!A:C,2,0)),0,VLOOKUP(LOWER(F345)&amp;H345,Prices!A:C,2,0))</f>
        <v>679.15</v>
      </c>
      <c r="W345" s="13">
        <f t="shared" si="138"/>
        <v>-173238.17879999999</v>
      </c>
      <c r="X345" s="13">
        <f t="shared" si="139"/>
        <v>5550.0000000000109</v>
      </c>
      <c r="Y345" s="43">
        <f t="shared" si="143"/>
        <v>-1.0402196397261918</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75.27</v>
      </c>
      <c r="V346" s="13">
        <f>IF(ISNA(VLOOKUP(LOWER(F346)&amp;H346,Prices!A:C,2,0)),0,VLOOKUP(LOWER(F346)&amp;H346,Prices!A:C,2,0))</f>
        <v>75.709999999999994</v>
      </c>
      <c r="W346" s="13">
        <f>IF(I346="B",(V346+T346)*K346,(V346+T346)*K346)</f>
        <v>-78109.547999999966</v>
      </c>
      <c r="X346" s="13">
        <f>K346*(V346-U346)</f>
        <v>-879.99999999999545</v>
      </c>
      <c r="Y346" s="43">
        <f t="shared" si="143"/>
        <v>-1.0641627792915527</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75.27</v>
      </c>
      <c r="V347" s="13">
        <f>IF(ISNA(VLOOKUP(LOWER(F347)&amp;H347,Prices!A:C,2,0)),0,VLOOKUP(LOWER(F347)&amp;H347,Prices!A:C,2,0))</f>
        <v>75.709999999999994</v>
      </c>
      <c r="W347" s="13">
        <f t="shared" ref="W347:W360" si="149">IF(I347="B",(V347+T347)*K347,(V347+T347)*K347)</f>
        <v>-187798.50127999997</v>
      </c>
      <c r="X347" s="13">
        <f t="shared" ref="X347:X360" si="150">K347*(V347-U347)</f>
        <v>-2111.9999999999891</v>
      </c>
      <c r="Y347" s="43">
        <f t="shared" si="143"/>
        <v>-1.0681050441350439</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63.59</v>
      </c>
      <c r="V348" s="13">
        <f>IF(ISNA(VLOOKUP(LOWER(F348)&amp;H348,Prices!A:C,2,0)),0,VLOOKUP(LOWER(F348)&amp;H348,Prices!A:C,2,0))</f>
        <v>69.489999999999995</v>
      </c>
      <c r="W348" s="13">
        <f t="shared" si="149"/>
        <v>-49557.52479999997</v>
      </c>
      <c r="X348" s="13">
        <f t="shared" si="150"/>
        <v>-15339.999999999978</v>
      </c>
      <c r="Y348" s="43">
        <f t="shared" si="143"/>
        <v>-0.37751211054740441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34.4</v>
      </c>
      <c r="V349" s="13">
        <f>IF(ISNA(VLOOKUP(LOWER(F349)&amp;H349,Prices!A:C,2,0)),0,VLOOKUP(LOWER(F349)&amp;H349,Prices!A:C,2,0))</f>
        <v>35.07</v>
      </c>
      <c r="W349" s="13">
        <f t="shared" si="149"/>
        <v>27638.096399999995</v>
      </c>
      <c r="X349" s="13">
        <f t="shared" si="150"/>
        <v>-1474.0000000000036</v>
      </c>
      <c r="Y349" s="43">
        <f t="shared" si="143"/>
        <v>0.26342568863302762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34.4</v>
      </c>
      <c r="V350" s="13">
        <f>IF(ISNA(VLOOKUP(LOWER(F350)&amp;H350,Prices!A:C,2,0)),0,VLOOKUP(LOWER(F350)&amp;H350,Prices!A:C,2,0))</f>
        <v>35.07</v>
      </c>
      <c r="W350" s="13">
        <f t="shared" si="149"/>
        <v>14049.772000000001</v>
      </c>
      <c r="X350" s="13">
        <f t="shared" si="150"/>
        <v>-737.00000000000182</v>
      </c>
      <c r="Y350" s="43">
        <f t="shared" si="143"/>
        <v>0.26664968684759915</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8.84</v>
      </c>
      <c r="V351" s="13">
        <f>IF(ISNA(VLOOKUP(LOWER(F351)&amp;H351,Prices!A:C,2,0)),0,VLOOKUP(LOWER(F351)&amp;H351,Prices!A:C,2,0))</f>
        <v>8.67</v>
      </c>
      <c r="W351" s="13">
        <f t="shared" si="149"/>
        <v>-14118.067799999993</v>
      </c>
      <c r="X351" s="13">
        <f t="shared" si="150"/>
        <v>1529.9999999999993</v>
      </c>
      <c r="Y351" s="43">
        <f t="shared" si="143"/>
        <v>-0.22062928270042184</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69.010000000000005</v>
      </c>
      <c r="V352" s="13">
        <f>IF(ISNA(VLOOKUP(LOWER(F352)&amp;H352,Prices!A:C,2,0)),0,VLOOKUP(LOWER(F352)&amp;H352,Prices!A:C,2,0))</f>
        <v>68.489999999999995</v>
      </c>
      <c r="W352" s="13">
        <f t="shared" si="149"/>
        <v>-76471.159200000198</v>
      </c>
      <c r="X352" s="13">
        <f t="shared" si="150"/>
        <v>1144.0000000000225</v>
      </c>
      <c r="Y352" s="43">
        <f t="shared" si="143"/>
        <v>-1.0292769355012439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6.27</v>
      </c>
      <c r="V353" s="13">
        <f>IF(ISNA(VLOOKUP(LOWER(F353)&amp;H353,Prices!A:C,2,0)),0,VLOOKUP(LOWER(F353)&amp;H353,Prices!A:C,2,0))</f>
        <v>6.21</v>
      </c>
      <c r="W353" s="13">
        <f t="shared" si="149"/>
        <v>32276.576799999995</v>
      </c>
      <c r="X353" s="13">
        <f t="shared" si="150"/>
        <v>551.99999999999636</v>
      </c>
      <c r="Y353" s="43">
        <f t="shared" si="143"/>
        <v>0.36056768398945432</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8.84</v>
      </c>
      <c r="V354" s="13">
        <f>IF(ISNA(VLOOKUP(LOWER(F354)&amp;H354,Prices!A:C,2,0)),0,VLOOKUP(LOWER(F354)&amp;H354,Prices!A:C,2,0))</f>
        <v>8.67</v>
      </c>
      <c r="W354" s="13">
        <f t="shared" si="149"/>
        <v>-7103.9789999999985</v>
      </c>
      <c r="X354" s="13">
        <f t="shared" si="150"/>
        <v>764.99999999999966</v>
      </c>
      <c r="Y354" s="43">
        <f t="shared" si="143"/>
        <v>-0.22234676056338024</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6.27</v>
      </c>
      <c r="V355" s="13">
        <f>IF(ISNA(VLOOKUP(LOWER(F355)&amp;H355,Prices!A:C,2,0)),0,VLOOKUP(LOWER(F355)&amp;H355,Prices!A:C,2,0))</f>
        <v>6.21</v>
      </c>
      <c r="W355" s="13">
        <f t="shared" si="149"/>
        <v>16184.239199999998</v>
      </c>
      <c r="X355" s="13">
        <f t="shared" si="150"/>
        <v>275.99999999999818</v>
      </c>
      <c r="Y355" s="43">
        <f t="shared" si="143"/>
        <v>0.36122308722435492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34.4</v>
      </c>
      <c r="V356" s="13">
        <f>IF(ISNA(VLOOKUP(LOWER(F356)&amp;H356,Prices!A:C,2,0)),0,VLOOKUP(LOWER(F356)&amp;H356,Prices!A:C,2,0))</f>
        <v>35.07</v>
      </c>
      <c r="W356" s="13">
        <f t="shared" si="149"/>
        <v>7585.6076000000048</v>
      </c>
      <c r="X356" s="13">
        <f t="shared" si="150"/>
        <v>-402.00000000000102</v>
      </c>
      <c r="Y356" s="43">
        <f t="shared" si="143"/>
        <v>0.26465730235154572</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69.010000000000005</v>
      </c>
      <c r="V357" s="13">
        <f>IF(ISNA(VLOOKUP(LOWER(F357)&amp;H357,Prices!A:C,2,0)),0,VLOOKUP(LOWER(F357)&amp;H357,Prices!A:C,2,0))</f>
        <v>68.489999999999995</v>
      </c>
      <c r="W357" s="13">
        <f t="shared" si="149"/>
        <v>-79627.588600000017</v>
      </c>
      <c r="X357" s="13">
        <f t="shared" si="150"/>
        <v>1196.0000000000236</v>
      </c>
      <c r="Y357" s="43">
        <f t="shared" si="143"/>
        <v>-1.0209581449617278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8.84</v>
      </c>
      <c r="V358" s="13">
        <f>IF(ISNA(VLOOKUP(LOWER(F358)&amp;H358,Prices!A:C,2,0)),0,VLOOKUP(LOWER(F358)&amp;H358,Prices!A:C,2,0))</f>
        <v>8.67</v>
      </c>
      <c r="W358" s="13">
        <f t="shared" si="149"/>
        <v>-7373.6495999999997</v>
      </c>
      <c r="X358" s="13">
        <f t="shared" si="150"/>
        <v>764.99999999999966</v>
      </c>
      <c r="Y358" s="43">
        <f t="shared" si="143"/>
        <v>-0.23275409090909091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34.4</v>
      </c>
      <c r="V359" s="13">
        <f>IF(ISNA(VLOOKUP(LOWER(F359)&amp;H359,Prices!A:C,2,0)),0,VLOOKUP(LOWER(F359)&amp;H359,Prices!A:C,2,0))</f>
        <v>35.07</v>
      </c>
      <c r="W359" s="13">
        <f t="shared" si="149"/>
        <v>5946.4900000000007</v>
      </c>
      <c r="X359" s="13">
        <f t="shared" si="150"/>
        <v>-335.00000000000085</v>
      </c>
      <c r="Y359" s="43">
        <f t="shared" si="143"/>
        <v>0.25293449595916634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6.27</v>
      </c>
      <c r="V360" s="13">
        <f>IF(ISNA(VLOOKUP(LOWER(F360)&amp;H360,Prices!A:C,2,0)),0,VLOOKUP(LOWER(F360)&amp;H360,Prices!A:C,2,0))</f>
        <v>6.21</v>
      </c>
      <c r="W360" s="13">
        <f t="shared" si="149"/>
        <v>16536.064399999999</v>
      </c>
      <c r="X360" s="13">
        <f t="shared" si="150"/>
        <v>281.99999999999818</v>
      </c>
      <c r="Y360" s="43">
        <f t="shared" si="143"/>
        <v>0.36122295425750361</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6.13</v>
      </c>
      <c r="V361" s="13">
        <f>IF(ISNA(VLOOKUP(LOWER(F361)&amp;H361,Prices!A:C,2,0)),0,VLOOKUP(LOWER(F361)&amp;H361,Prices!A:C,2,0))</f>
        <v>6.27</v>
      </c>
      <c r="W361" s="13">
        <f t="shared" ref="W361:W381" si="155">IF(I361="B",(V361+T361)*K361,(V361+T361)*K361)</f>
        <v>-4490.6414000000032</v>
      </c>
      <c r="X361" s="13">
        <f t="shared" ref="X361:X381" si="156">K361*(V361-U361)</f>
        <v>979.99999999999773</v>
      </c>
      <c r="Y361" s="43">
        <f t="shared" si="143"/>
        <v>-9.2839392185238845E-2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4.09</v>
      </c>
      <c r="V362" s="13">
        <f>IF(ISNA(VLOOKUP(LOWER(F362)&amp;H362,Prices!A:C,2,0)),0,VLOOKUP(LOWER(F362)&amp;H362,Prices!A:C,2,0))</f>
        <v>4.1100000000000003</v>
      </c>
      <c r="W362" s="13">
        <f t="shared" si="155"/>
        <v>-109.0639999999965</v>
      </c>
      <c r="X362" s="13">
        <f t="shared" si="156"/>
        <v>200.0000000000046</v>
      </c>
      <c r="Y362" s="43">
        <f t="shared" si="143"/>
        <v>-2.6471844660193324E-3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8.84</v>
      </c>
      <c r="V363" s="13">
        <f>IF(ISNA(VLOOKUP(LOWER(F363)&amp;H363,Prices!A:C,2,0)),0,VLOOKUP(LOWER(F363)&amp;H363,Prices!A:C,2,0))</f>
        <v>8.67</v>
      </c>
      <c r="W363" s="13">
        <f t="shared" si="155"/>
        <v>11511.090000000002</v>
      </c>
      <c r="X363" s="13">
        <f t="shared" si="156"/>
        <v>-1019.9999999999995</v>
      </c>
      <c r="Y363" s="43">
        <f t="shared" si="143"/>
        <v>0.2842244444444445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690.25</v>
      </c>
      <c r="V364" s="13">
        <f>IF(ISNA(VLOOKUP(LOWER(F364)&amp;H364,Prices!A:C,2,0)),0,VLOOKUP(LOWER(F364)&amp;H364,Prices!A:C,2,0))</f>
        <v>679.15</v>
      </c>
      <c r="W364" s="13">
        <f t="shared" si="155"/>
        <v>69791.474719999998</v>
      </c>
      <c r="X364" s="13">
        <f t="shared" si="156"/>
        <v>-2220.0000000000045</v>
      </c>
      <c r="Y364" s="43">
        <f t="shared" si="143"/>
        <v>1.0570622004119714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8.84</v>
      </c>
      <c r="V365" s="13">
        <f>IF(ISNA(VLOOKUP(LOWER(F365)&amp;H365,Prices!A:C,2,0)),0,VLOOKUP(LOWER(F365)&amp;H365,Prices!A:C,2,0))</f>
        <v>8.67</v>
      </c>
      <c r="W365" s="13">
        <f t="shared" si="155"/>
        <v>11451.076800000003</v>
      </c>
      <c r="X365" s="13">
        <f t="shared" si="156"/>
        <v>-1019.9999999999995</v>
      </c>
      <c r="Y365" s="43">
        <f t="shared" si="143"/>
        <v>0.28232437869822491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4.09</v>
      </c>
      <c r="V366" s="13">
        <f>IF(ISNA(VLOOKUP(LOWER(F366)&amp;H366,Prices!A:C,2,0)),0,VLOOKUP(LOWER(F366)&amp;H366,Prices!A:C,2,0))</f>
        <v>4.1100000000000003</v>
      </c>
      <c r="W366" s="13">
        <f t="shared" si="155"/>
        <v>-109.0639999999965</v>
      </c>
      <c r="X366" s="13">
        <f t="shared" si="156"/>
        <v>200.0000000000046</v>
      </c>
      <c r="Y366" s="43">
        <f t="shared" si="143"/>
        <v>-2.6471844660193324E-3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6.13</v>
      </c>
      <c r="V367" s="13">
        <f>IF(ISNA(VLOOKUP(LOWER(F367)&amp;H367,Prices!A:C,2,0)),0,VLOOKUP(LOWER(F367)&amp;H367,Prices!A:C,2,0))</f>
        <v>6.27</v>
      </c>
      <c r="W367" s="13">
        <f t="shared" si="155"/>
        <v>-4700.6875999999975</v>
      </c>
      <c r="X367" s="13">
        <f t="shared" si="156"/>
        <v>979.99999999999773</v>
      </c>
      <c r="Y367" s="43">
        <f t="shared" si="143"/>
        <v>-9.6761786743515793E-2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8.84</v>
      </c>
      <c r="V368" s="13">
        <f>IF(ISNA(VLOOKUP(LOWER(F368)&amp;H368,Prices!A:C,2,0)),0,VLOOKUP(LOWER(F368)&amp;H368,Prices!A:C,2,0))</f>
        <v>8.67</v>
      </c>
      <c r="W368" s="13">
        <f t="shared" si="155"/>
        <v>11391.063599999994</v>
      </c>
      <c r="X368" s="13">
        <f t="shared" si="156"/>
        <v>-1019.9999999999995</v>
      </c>
      <c r="Y368" s="43">
        <f t="shared" si="143"/>
        <v>0.28042992614475615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6.13</v>
      </c>
      <c r="V369" s="13">
        <f>IF(ISNA(VLOOKUP(LOWER(F369)&amp;H369,Prices!A:C,2,0)),0,VLOOKUP(LOWER(F369)&amp;H369,Prices!A:C,2,0))</f>
        <v>6.27</v>
      </c>
      <c r="W369" s="13">
        <f t="shared" si="155"/>
        <v>-4770.7030000000022</v>
      </c>
      <c r="X369" s="13">
        <f t="shared" si="156"/>
        <v>979.99999999999773</v>
      </c>
      <c r="Y369" s="43">
        <f t="shared" si="143"/>
        <v>-9.8061726618705089E-2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8.84</v>
      </c>
      <c r="V370" s="13">
        <f>IF(ISNA(VLOOKUP(LOWER(F370)&amp;H370,Prices!A:C,2,0)),0,VLOOKUP(LOWER(F370)&amp;H370,Prices!A:C,2,0))</f>
        <v>8.67</v>
      </c>
      <c r="W370" s="13">
        <f t="shared" si="155"/>
        <v>11151.010800000005</v>
      </c>
      <c r="X370" s="13">
        <f t="shared" si="156"/>
        <v>-1019.9999999999995</v>
      </c>
      <c r="Y370" s="43">
        <f t="shared" si="143"/>
        <v>0.27290775330396488</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8.84</v>
      </c>
      <c r="V371" s="13">
        <f>IF(ISNA(VLOOKUP(LOWER(F371)&amp;H371,Prices!A:C,2,0)),0,VLOOKUP(LOWER(F371)&amp;H371,Prices!A:C,2,0))</f>
        <v>8.67</v>
      </c>
      <c r="W371" s="13">
        <f t="shared" si="155"/>
        <v>11090.997600000001</v>
      </c>
      <c r="X371" s="13">
        <f t="shared" si="156"/>
        <v>-1019.9999999999995</v>
      </c>
      <c r="Y371" s="43">
        <f t="shared" si="143"/>
        <v>0.27104099706744872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6.13</v>
      </c>
      <c r="V372" s="13">
        <f>IF(ISNA(VLOOKUP(LOWER(F372)&amp;H372,Prices!A:C,2,0)),0,VLOOKUP(LOWER(F372)&amp;H372,Prices!A:C,2,0))</f>
        <v>6.27</v>
      </c>
      <c r="W372" s="13">
        <f t="shared" si="155"/>
        <v>-4089.1740000000018</v>
      </c>
      <c r="X372" s="13">
        <f t="shared" si="156"/>
        <v>839.99999999999807</v>
      </c>
      <c r="Y372" s="43">
        <f t="shared" si="143"/>
        <v>-9.8061726618705075E-2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4.09</v>
      </c>
      <c r="V373" s="13">
        <f>IF(ISNA(VLOOKUP(LOWER(F373)&amp;H373,Prices!A:C,2,0)),0,VLOOKUP(LOWER(F373)&amp;H373,Prices!A:C,2,0))</f>
        <v>4.1100000000000003</v>
      </c>
      <c r="W373" s="13">
        <f t="shared" si="155"/>
        <v>-627.25799999998162</v>
      </c>
      <c r="X373" s="13">
        <f t="shared" si="156"/>
        <v>600.00000000001387</v>
      </c>
      <c r="Y373" s="43">
        <f t="shared" si="143"/>
        <v>-5.0626150121063892E-3</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8.84</v>
      </c>
      <c r="V374" s="13">
        <f>IF(ISNA(VLOOKUP(LOWER(F374)&amp;H374,Prices!A:C,2,0)),0,VLOOKUP(LOWER(F374)&amp;H374,Prices!A:C,2,0))</f>
        <v>8.67</v>
      </c>
      <c r="W374" s="13">
        <f t="shared" si="155"/>
        <v>11391.063599999994</v>
      </c>
      <c r="X374" s="13">
        <f t="shared" si="156"/>
        <v>-1019.9999999999995</v>
      </c>
      <c r="Y374" s="43">
        <f t="shared" si="143"/>
        <v>0.28042992614475615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16.47</v>
      </c>
      <c r="V375" s="13">
        <f>IF(ISNA(VLOOKUP(LOWER(F375)&amp;H375,Prices!A:C,2,0)),0,VLOOKUP(LOWER(F375)&amp;H375,Prices!A:C,2,0))</f>
        <v>16.62</v>
      </c>
      <c r="W375" s="13">
        <f t="shared" si="155"/>
        <v>-17810.207999999995</v>
      </c>
      <c r="X375" s="13">
        <f t="shared" si="156"/>
        <v>300.00000000000426</v>
      </c>
      <c r="Y375" s="43">
        <f t="shared" si="143"/>
        <v>-0.34894608150470208</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21.31</v>
      </c>
      <c r="V376" s="13">
        <f>IF(ISNA(VLOOKUP(LOWER(F376)&amp;H376,Prices!A:C,2,0)),0,VLOOKUP(LOWER(F376)&amp;H376,Prices!A:C,2,0))</f>
        <v>21.72</v>
      </c>
      <c r="W376" s="13">
        <f t="shared" si="155"/>
        <v>71.328000000001168</v>
      </c>
      <c r="X376" s="13">
        <f t="shared" si="156"/>
        <v>820.00000000000023</v>
      </c>
      <c r="Y376" s="43">
        <f t="shared" si="143"/>
        <v>1.6450184501845288E-3</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10.1</v>
      </c>
      <c r="V377" s="13">
        <f>IF(ISNA(VLOOKUP(LOWER(F377)&amp;H377,Prices!A:C,2,0)),0,VLOOKUP(LOWER(F377)&amp;H377,Prices!A:C,2,0))</f>
        <v>9.9700000000000006</v>
      </c>
      <c r="W377" s="13">
        <f t="shared" si="155"/>
        <v>-7329.4399999999978</v>
      </c>
      <c r="X377" s="13">
        <f t="shared" si="156"/>
        <v>-519.99999999999602</v>
      </c>
      <c r="Y377" s="43">
        <f t="shared" si="143"/>
        <v>-0.15528474576271181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21.31</v>
      </c>
      <c r="V378" s="13">
        <f>IF(ISNA(VLOOKUP(LOWER(F378)&amp;H378,Prices!A:C,2,0)),0,VLOOKUP(LOWER(F378)&amp;H378,Prices!A:C,2,0))</f>
        <v>21.72</v>
      </c>
      <c r="W378" s="13">
        <f t="shared" si="155"/>
        <v>-88.703999999999894</v>
      </c>
      <c r="X378" s="13">
        <f t="shared" si="156"/>
        <v>820.00000000000023</v>
      </c>
      <c r="Y378" s="43">
        <f t="shared" si="143"/>
        <v>-2.0382352941176445E-3</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10.1</v>
      </c>
      <c r="V379" s="13">
        <f>IF(ISNA(VLOOKUP(LOWER(F379)&amp;H379,Prices!A:C,2,0)),0,VLOOKUP(LOWER(F379)&amp;H379,Prices!A:C,2,0))</f>
        <v>9.9700000000000006</v>
      </c>
      <c r="W379" s="13">
        <f t="shared" si="155"/>
        <v>-7369.4479999999912</v>
      </c>
      <c r="X379" s="13">
        <f t="shared" si="156"/>
        <v>-519.99999999999602</v>
      </c>
      <c r="Y379" s="43">
        <f t="shared" si="143"/>
        <v>-0.15600016934800998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16.47</v>
      </c>
      <c r="V380" s="13">
        <f>IF(ISNA(VLOOKUP(LOWER(F380)&amp;H380,Prices!A:C,2,0)),0,VLOOKUP(LOWER(F380)&amp;H380,Prices!A:C,2,0))</f>
        <v>16.62</v>
      </c>
      <c r="W380" s="13">
        <f t="shared" si="155"/>
        <v>-18350.315999999999</v>
      </c>
      <c r="X380" s="13">
        <f t="shared" si="156"/>
        <v>300.00000000000426</v>
      </c>
      <c r="Y380" s="43">
        <f t="shared" si="143"/>
        <v>-0.35576417215975181</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690.25</v>
      </c>
      <c r="V381" s="13">
        <f>IF(ISNA(VLOOKUP(LOWER(F381)&amp;H381,Prices!A:C,2,0)),0,VLOOKUP(LOWER(F381)&amp;H381,Prices!A:C,2,0))</f>
        <v>679.15</v>
      </c>
      <c r="W381" s="13">
        <f t="shared" si="155"/>
        <v>70155.554799999998</v>
      </c>
      <c r="X381" s="13">
        <f t="shared" si="156"/>
        <v>-2220.0000000000045</v>
      </c>
      <c r="Y381" s="43">
        <f t="shared" si="143"/>
        <v>1.0684671763630824</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10.1</v>
      </c>
      <c r="V382" s="13">
        <f>IF(ISNA(VLOOKUP(LOWER(F382)&amp;H382,Prices!A:C,2,0)),0,VLOOKUP(LOWER(F382)&amp;H382,Prices!A:C,2,0))</f>
        <v>9.9700000000000006</v>
      </c>
      <c r="W382" s="13">
        <f t="shared" ref="W382:W402" si="161">IF(I382="B",(V382+T382)*K382,(V382+T382)*K382)</f>
        <v>7622.9279999999944</v>
      </c>
      <c r="X382" s="13">
        <f t="shared" ref="X382:X402" si="162">K382*(V382-U382)</f>
        <v>519.99999999999602</v>
      </c>
      <c r="Y382" s="43">
        <f t="shared" si="143"/>
        <v>0.16028023549200998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8.84</v>
      </c>
      <c r="V383" s="13">
        <f>IF(ISNA(VLOOKUP(LOWER(F383)&amp;H383,Prices!A:C,2,0)),0,VLOOKUP(LOWER(F383)&amp;H383,Prices!A:C,2,0))</f>
        <v>8.67</v>
      </c>
      <c r="W383" s="13">
        <f t="shared" si="161"/>
        <v>-36685.81440000001</v>
      </c>
      <c r="X383" s="13">
        <f t="shared" si="162"/>
        <v>3059.9999999999986</v>
      </c>
      <c r="Y383" s="43">
        <f t="shared" si="143"/>
        <v>-0.30694289156626514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4.09</v>
      </c>
      <c r="V384" s="13">
        <f>IF(ISNA(VLOOKUP(LOWER(F384)&amp;H384,Prices!A:C,2,0)),0,VLOOKUP(LOWER(F384)&amp;H384,Prices!A:C,2,0))</f>
        <v>4.1100000000000003</v>
      </c>
      <c r="W384" s="13">
        <f t="shared" si="161"/>
        <v>-3121.695000000002</v>
      </c>
      <c r="X384" s="13">
        <f t="shared" si="162"/>
        <v>-500.00000000001154</v>
      </c>
      <c r="Y384" s="43">
        <f t="shared" si="143"/>
        <v>-3.129518796992483E-2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6.13</v>
      </c>
      <c r="V385" s="13">
        <f>IF(ISNA(VLOOKUP(LOWER(F385)&amp;H385,Prices!A:C,2,0)),0,VLOOKUP(LOWER(F385)&amp;H385,Prices!A:C,2,0))</f>
        <v>6.27</v>
      </c>
      <c r="W385" s="13">
        <f t="shared" si="161"/>
        <v>4750.7989000000134</v>
      </c>
      <c r="X385" s="13">
        <f t="shared" si="162"/>
        <v>-1889.9999999999957</v>
      </c>
      <c r="Y385" s="43">
        <f t="shared" si="143"/>
        <v>5.3078586671135838E-2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7.75</v>
      </c>
      <c r="V386" s="13">
        <f>IF(ISNA(VLOOKUP(LOWER(F386)&amp;H386,Prices!A:C,2,0)),0,VLOOKUP(LOWER(F386)&amp;H386,Prices!A:C,2,0))</f>
        <v>7.69</v>
      </c>
      <c r="W386" s="13">
        <f t="shared" si="161"/>
        <v>-11060.889999999994</v>
      </c>
      <c r="X386" s="13">
        <f t="shared" si="162"/>
        <v>-299.99999999999807</v>
      </c>
      <c r="Y386" s="43">
        <f t="shared" si="143"/>
        <v>-0.22345232323232311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7.75</v>
      </c>
      <c r="V387" s="13">
        <f>IF(ISNA(VLOOKUP(LOWER(F387)&amp;H387,Prices!A:C,2,0)),0,VLOOKUP(LOWER(F387)&amp;H387,Prices!A:C,2,0))</f>
        <v>7.69</v>
      </c>
      <c r="W387" s="13">
        <f t="shared" si="161"/>
        <v>-11260.933999999997</v>
      </c>
      <c r="X387" s="13">
        <f t="shared" si="162"/>
        <v>-299.99999999999807</v>
      </c>
      <c r="Y387" s="43">
        <f t="shared" si="143"/>
        <v>-0.22657814889336012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16.47</v>
      </c>
      <c r="V388" s="13">
        <f>IF(ISNA(VLOOKUP(LOWER(F388)&amp;H388,Prices!A:C,2,0)),0,VLOOKUP(LOWER(F388)&amp;H388,Prices!A:C,2,0))</f>
        <v>16.62</v>
      </c>
      <c r="W388" s="13">
        <f t="shared" si="161"/>
        <v>38873.423999999999</v>
      </c>
      <c r="X388" s="13">
        <f t="shared" si="162"/>
        <v>-600.00000000000853</v>
      </c>
      <c r="Y388" s="43">
        <f t="shared" si="143"/>
        <v>0.36853833902161548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10.1</v>
      </c>
      <c r="V389" s="13">
        <f>IF(ISNA(VLOOKUP(LOWER(F389)&amp;H389,Prices!A:C,2,0)),0,VLOOKUP(LOWER(F389)&amp;H389,Prices!A:C,2,0))</f>
        <v>9.9700000000000006</v>
      </c>
      <c r="W389" s="13">
        <f t="shared" si="161"/>
        <v>7782.7359999999926</v>
      </c>
      <c r="X389" s="13">
        <f t="shared" si="162"/>
        <v>519.99999999999602</v>
      </c>
      <c r="Y389" s="43">
        <f t="shared" ref="Y389:Y452" si="166">W389/O389</f>
        <v>0.16309170159262348</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21.31</v>
      </c>
      <c r="V390" s="13">
        <f>IF(ISNA(VLOOKUP(LOWER(F390)&amp;H390,Prices!A:C,2,0)),0,VLOOKUP(LOWER(F390)&amp;H390,Prices!A:C,2,0))</f>
        <v>21.72</v>
      </c>
      <c r="W390" s="13">
        <f t="shared" si="161"/>
        <v>2772.2880000000032</v>
      </c>
      <c r="X390" s="13">
        <f t="shared" si="162"/>
        <v>-1640.0000000000005</v>
      </c>
      <c r="Y390" s="43">
        <f t="shared" si="166"/>
        <v>3.0885561497326238E-2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6.7</v>
      </c>
      <c r="V391" s="13">
        <f>IF(ISNA(VLOOKUP(LOWER(F391)&amp;H391,Prices!A:C,2,0)),0,VLOOKUP(LOWER(F391)&amp;H391,Prices!A:C,2,0))</f>
        <v>6.68</v>
      </c>
      <c r="W391" s="13">
        <f t="shared" si="161"/>
        <v>-8959.3170000000027</v>
      </c>
      <c r="X391" s="13">
        <f t="shared" si="162"/>
        <v>-100.0000000000023</v>
      </c>
      <c r="Y391" s="43">
        <f t="shared" si="166"/>
        <v>-0.21155412042502958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6.7</v>
      </c>
      <c r="V392" s="13">
        <f>IF(ISNA(VLOOKUP(LOWER(F392)&amp;H392,Prices!A:C,2,0)),0,VLOOKUP(LOWER(F392)&amp;H392,Prices!A:C,2,0))</f>
        <v>6.68</v>
      </c>
      <c r="W392" s="13">
        <f t="shared" si="161"/>
        <v>-9109.3500000000022</v>
      </c>
      <c r="X392" s="13">
        <f t="shared" si="162"/>
        <v>-100.0000000000023</v>
      </c>
      <c r="Y392" s="43">
        <f t="shared" si="166"/>
        <v>-0.21433764705882358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19.68</v>
      </c>
      <c r="V393" s="13">
        <f>IF(ISNA(VLOOKUP(LOWER(F393)&amp;H393,Prices!A:C,2,0)),0,VLOOKUP(LOWER(F393)&amp;H393,Prices!A:C,2,0))</f>
        <v>20.079999999999998</v>
      </c>
      <c r="W393" s="13">
        <f t="shared" si="161"/>
        <v>20668.071999999996</v>
      </c>
      <c r="X393" s="13">
        <f t="shared" si="162"/>
        <v>1599.9999999999943</v>
      </c>
      <c r="Y393" s="43">
        <f t="shared" si="166"/>
        <v>0.34654714956405092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19.68</v>
      </c>
      <c r="V394" s="13">
        <f>IF(ISNA(VLOOKUP(LOWER(F394)&amp;H394,Prices!A:C,2,0)),0,VLOOKUP(LOWER(F394)&amp;H394,Prices!A:C,2,0))</f>
        <v>20.079999999999998</v>
      </c>
      <c r="W394" s="13">
        <f t="shared" si="161"/>
        <v>20588.055999999986</v>
      </c>
      <c r="X394" s="13">
        <f t="shared" si="162"/>
        <v>1599.9999999999943</v>
      </c>
      <c r="Y394" s="43">
        <f t="shared" si="166"/>
        <v>0.34474306764902857</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6.89</v>
      </c>
      <c r="V395" s="13">
        <f>IF(ISNA(VLOOKUP(LOWER(F395)&amp;H395,Prices!A:C,2,0)),0,VLOOKUP(LOWER(F395)&amp;H395,Prices!A:C,2,0))</f>
        <v>6.9</v>
      </c>
      <c r="W395" s="13">
        <f t="shared" si="161"/>
        <v>-18861.736999999997</v>
      </c>
      <c r="X395" s="13">
        <f t="shared" si="162"/>
        <v>50.000000000003375</v>
      </c>
      <c r="Y395" s="43">
        <f t="shared" si="166"/>
        <v>-0.35354708528584811</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12.84</v>
      </c>
      <c r="V396" s="13">
        <f>IF(ISNA(VLOOKUP(LOWER(F396)&amp;H396,Prices!A:C,2,0)),0,VLOOKUP(LOWER(F396)&amp;H396,Prices!A:C,2,0))</f>
        <v>12.89</v>
      </c>
      <c r="W396" s="13">
        <f t="shared" si="161"/>
        <v>-12550.241999999997</v>
      </c>
      <c r="X396" s="13">
        <f t="shared" si="162"/>
        <v>150.00000000000213</v>
      </c>
      <c r="Y396" s="43">
        <f t="shared" si="166"/>
        <v>-0.24507404803749261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21.17</v>
      </c>
      <c r="V397" s="13">
        <f>IF(ISNA(VLOOKUP(LOWER(F397)&amp;H397,Prices!A:C,2,0)),0,VLOOKUP(LOWER(F397)&amp;H397,Prices!A:C,2,0))</f>
        <v>22.22</v>
      </c>
      <c r="W397" s="13">
        <f t="shared" si="161"/>
        <v>28747.976000000002</v>
      </c>
      <c r="X397" s="13">
        <f t="shared" si="162"/>
        <v>4199.9999999999891</v>
      </c>
      <c r="Y397" s="43">
        <f t="shared" si="166"/>
        <v>0.47817658017298742</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8.84</v>
      </c>
      <c r="V398" s="13">
        <f>IF(ISNA(VLOOKUP(LOWER(F398)&amp;H398,Prices!A:C,2,0)),0,VLOOKUP(LOWER(F398)&amp;H398,Prices!A:C,2,0))</f>
        <v>8.67</v>
      </c>
      <c r="W398" s="13">
        <f t="shared" si="161"/>
        <v>-18432.797399999999</v>
      </c>
      <c r="X398" s="13">
        <f t="shared" si="162"/>
        <v>1529.9999999999993</v>
      </c>
      <c r="Y398" s="43">
        <f t="shared" si="166"/>
        <v>-0.30891230769230771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10.14</v>
      </c>
      <c r="V399" s="13">
        <f>IF(ISNA(VLOOKUP(LOWER(F399)&amp;H399,Prices!A:C,2,0)),0,VLOOKUP(LOWER(F399)&amp;H399,Prices!A:C,2,0))</f>
        <v>10.02</v>
      </c>
      <c r="W399" s="13">
        <f t="shared" si="161"/>
        <v>-18371.688000000006</v>
      </c>
      <c r="X399" s="13">
        <f t="shared" si="162"/>
        <v>-480.00000000000398</v>
      </c>
      <c r="Y399" s="43">
        <f t="shared" si="166"/>
        <v>-0.31436837782340871</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6.13</v>
      </c>
      <c r="V400" s="13">
        <f>IF(ISNA(VLOOKUP(LOWER(F400)&amp;H400,Prices!A:C,2,0)),0,VLOOKUP(LOWER(F400)&amp;H400,Prices!A:C,2,0))</f>
        <v>6.27</v>
      </c>
      <c r="W400" s="13">
        <f t="shared" si="161"/>
        <v>5155.3097999999918</v>
      </c>
      <c r="X400" s="13">
        <f t="shared" si="162"/>
        <v>-1889.9999999999957</v>
      </c>
      <c r="Y400" s="43">
        <f t="shared" si="166"/>
        <v>5.7338558558558468E-2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4.09</v>
      </c>
      <c r="V401" s="13">
        <f>IF(ISNA(VLOOKUP(LOWER(F401)&amp;H401,Prices!A:C,2,0)),0,VLOOKUP(LOWER(F401)&amp;H401,Prices!A:C,2,0))</f>
        <v>4.1100000000000003</v>
      </c>
      <c r="W401" s="13">
        <f t="shared" si="161"/>
        <v>-3621.0850000000128</v>
      </c>
      <c r="X401" s="13">
        <f t="shared" si="162"/>
        <v>-500.00000000001154</v>
      </c>
      <c r="Y401" s="43">
        <f t="shared" si="166"/>
        <v>-3.6484483627204162E-2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8.84</v>
      </c>
      <c r="V402" s="13">
        <f>IF(ISNA(VLOOKUP(LOWER(F402)&amp;H402,Prices!A:C,2,0)),0,VLOOKUP(LOWER(F402)&amp;H402,Prices!A:C,2,0))</f>
        <v>8.67</v>
      </c>
      <c r="W402" s="13">
        <f t="shared" si="161"/>
        <v>-18522.687600000001</v>
      </c>
      <c r="X402" s="13">
        <f t="shared" si="162"/>
        <v>1529.9999999999993</v>
      </c>
      <c r="Y402" s="43">
        <f t="shared" si="166"/>
        <v>-0.31088767371601211</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17.149999999999999</v>
      </c>
      <c r="V406" s="13">
        <f>IF(ISNA(VLOOKUP(LOWER(F406)&amp;H406,Prices!A:C,2,0)),0,VLOOKUP(LOWER(F406)&amp;H406,Prices!A:C,2,0))</f>
        <v>17.05</v>
      </c>
      <c r="W406" s="13">
        <f t="shared" si="172"/>
        <v>-9928.8039999999928</v>
      </c>
      <c r="X406" s="13">
        <f t="shared" si="173"/>
        <v>-199.99999999999574</v>
      </c>
      <c r="Y406" s="43">
        <f t="shared" si="166"/>
        <v>-0.22555211267605618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11.6</v>
      </c>
      <c r="V407" s="13">
        <f>IF(ISNA(VLOOKUP(LOWER(F407)&amp;H407,Prices!A:C,2,0)),0,VLOOKUP(LOWER(F407)&amp;H407,Prices!A:C,2,0))</f>
        <v>11.41</v>
      </c>
      <c r="W407" s="13">
        <f t="shared" si="172"/>
        <v>-9707.1543999999994</v>
      </c>
      <c r="X407" s="13">
        <f t="shared" si="173"/>
        <v>-379.99999999999898</v>
      </c>
      <c r="Y407" s="43">
        <f t="shared" si="166"/>
        <v>-0.29849798277982775</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17.149999999999999</v>
      </c>
      <c r="V408" s="13">
        <f>IF(ISNA(VLOOKUP(LOWER(F408)&amp;H408,Prices!A:C,2,0)),0,VLOOKUP(LOWER(F408)&amp;H408,Prices!A:C,2,0))</f>
        <v>17.05</v>
      </c>
      <c r="W408" s="13">
        <f t="shared" si="172"/>
        <v>-9968.8119999999999</v>
      </c>
      <c r="X408" s="13">
        <f t="shared" si="173"/>
        <v>-199.99999999999574</v>
      </c>
      <c r="Y408" s="43">
        <f t="shared" si="166"/>
        <v>-0.22625537902859735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17.149999999999999</v>
      </c>
      <c r="V409" s="13">
        <f>IF(ISNA(VLOOKUP(LOWER(F409)&amp;H409,Prices!A:C,2,0)),0,VLOOKUP(LOWER(F409)&amp;H409,Prices!A:C,2,0))</f>
        <v>17.05</v>
      </c>
      <c r="W409" s="13">
        <f t="shared" si="172"/>
        <v>-10008.82</v>
      </c>
      <c r="X409" s="13">
        <f t="shared" si="173"/>
        <v>-199.99999999999574</v>
      </c>
      <c r="Y409" s="43">
        <f t="shared" si="166"/>
        <v>-0.22695736961451246</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10.14</v>
      </c>
      <c r="V410" s="13">
        <f>IF(ISNA(VLOOKUP(LOWER(F410)&amp;H410,Prices!A:C,2,0)),0,VLOOKUP(LOWER(F410)&amp;H410,Prices!A:C,2,0))</f>
        <v>10.02</v>
      </c>
      <c r="W410" s="13">
        <f t="shared" si="172"/>
        <v>17610.687999999995</v>
      </c>
      <c r="X410" s="13">
        <f t="shared" si="173"/>
        <v>480.00000000000398</v>
      </c>
      <c r="Y410" s="43">
        <f t="shared" si="166"/>
        <v>0.30489418282548469</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19.68</v>
      </c>
      <c r="V411" s="13">
        <f>IF(ISNA(VLOOKUP(LOWER(F411)&amp;H411,Prices!A:C,2,0)),0,VLOOKUP(LOWER(F411)&amp;H411,Prices!A:C,2,0))</f>
        <v>20.079999999999998</v>
      </c>
      <c r="W411" s="13">
        <f t="shared" si="172"/>
        <v>-42190.30839999998</v>
      </c>
      <c r="X411" s="13">
        <f t="shared" si="173"/>
        <v>-3199.9999999999886</v>
      </c>
      <c r="Y411" s="43">
        <f t="shared" si="166"/>
        <v>-0.35576015582838622</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6.7</v>
      </c>
      <c r="V412" s="13">
        <f>IF(ISNA(VLOOKUP(LOWER(F412)&amp;H412,Prices!A:C,2,0)),0,VLOOKUP(LOWER(F412)&amp;H412,Prices!A:C,2,0))</f>
        <v>6.68</v>
      </c>
      <c r="W412" s="13">
        <f t="shared" si="172"/>
        <v>18096.300000000003</v>
      </c>
      <c r="X412" s="13">
        <f t="shared" si="173"/>
        <v>200.0000000000046</v>
      </c>
      <c r="Y412" s="43">
        <f t="shared" si="166"/>
        <v>0.21289764705882355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7.75</v>
      </c>
      <c r="V413" s="13">
        <f>IF(ISNA(VLOOKUP(LOWER(F413)&amp;H413,Prices!A:C,2,0)),0,VLOOKUP(LOWER(F413)&amp;H413,Prices!A:C,2,0))</f>
        <v>7.69</v>
      </c>
      <c r="W413" s="13">
        <f t="shared" si="172"/>
        <v>24476.170000000002</v>
      </c>
      <c r="X413" s="13">
        <f t="shared" si="173"/>
        <v>599.99999999999613</v>
      </c>
      <c r="Y413" s="43">
        <f t="shared" si="166"/>
        <v>0.24114453201970446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21.17</v>
      </c>
      <c r="V414" s="13">
        <f>IF(ISNA(VLOOKUP(LOWER(F414)&amp;H414,Prices!A:C,2,0)),0,VLOOKUP(LOWER(F414)&amp;H414,Prices!A:C,2,0))</f>
        <v>22.22</v>
      </c>
      <c r="W414" s="13">
        <f t="shared" si="172"/>
        <v>-28552.479999999996</v>
      </c>
      <c r="X414" s="13">
        <f t="shared" si="173"/>
        <v>-4199.9999999999891</v>
      </c>
      <c r="Y414" s="43">
        <f t="shared" si="166"/>
        <v>-0.47272317880794695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6.89</v>
      </c>
      <c r="V415" s="13">
        <f>IF(ISNA(VLOOKUP(LOWER(F415)&amp;H415,Prices!A:C,2,0)),0,VLOOKUP(LOWER(F415)&amp;H415,Prices!A:C,2,0))</f>
        <v>6.9</v>
      </c>
      <c r="W415" s="13">
        <f t="shared" si="172"/>
        <v>18585.157000000007</v>
      </c>
      <c r="X415" s="13">
        <f t="shared" si="173"/>
        <v>-50.000000000003375</v>
      </c>
      <c r="Y415" s="43">
        <f t="shared" si="166"/>
        <v>0.34967369708372537</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12.7</v>
      </c>
      <c r="V416" s="13">
        <f>IF(ISNA(VLOOKUP(LOWER(F416)&amp;H416,Prices!A:C,2,0)),0,VLOOKUP(LOWER(F416)&amp;H416,Prices!A:C,2,0))</f>
        <v>13.09</v>
      </c>
      <c r="W416" s="13">
        <f t="shared" si="172"/>
        <v>-6754.9999999999991</v>
      </c>
      <c r="X416" s="13">
        <f t="shared" si="173"/>
        <v>390.00000000000057</v>
      </c>
      <c r="Y416" s="43">
        <f t="shared" si="166"/>
        <v>-0.34047379032258057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16.47</v>
      </c>
      <c r="V417" s="13">
        <f>IF(ISNA(VLOOKUP(LOWER(F417)&amp;H417,Prices!A:C,2,0)),0,VLOOKUP(LOWER(F417)&amp;H417,Prices!A:C,2,0))</f>
        <v>16.62</v>
      </c>
      <c r="W417" s="13">
        <f t="shared" si="172"/>
        <v>-9915.3060000000005</v>
      </c>
      <c r="X417" s="13">
        <f t="shared" si="173"/>
        <v>150.00000000000213</v>
      </c>
      <c r="Y417" s="43">
        <f t="shared" si="166"/>
        <v>-0.37373938937052398</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12.84</v>
      </c>
      <c r="V418" s="13">
        <f>IF(ISNA(VLOOKUP(LOWER(F418)&amp;H418,Prices!A:C,2,0)),0,VLOOKUP(LOWER(F418)&amp;H418,Prices!A:C,2,0))</f>
        <v>12.89</v>
      </c>
      <c r="W418" s="13">
        <f t="shared" si="172"/>
        <v>12298.764000000012</v>
      </c>
      <c r="X418" s="13">
        <f t="shared" si="173"/>
        <v>-150.00000000000213</v>
      </c>
      <c r="Y418" s="43">
        <f t="shared" si="166"/>
        <v>0.24101046443268687</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690.25</v>
      </c>
      <c r="V419" s="13">
        <f>IF(ISNA(VLOOKUP(LOWER(F419)&amp;H419,Prices!A:C,2,0)),0,VLOOKUP(LOWER(F419)&amp;H419,Prices!A:C,2,0))</f>
        <v>679.15</v>
      </c>
      <c r="W419" s="13">
        <f t="shared" ref="W419:W437" si="178">IF(I419="B",(V419+T419)*K419,(V419+T419)*K419)</f>
        <v>35299.826240000002</v>
      </c>
      <c r="X419" s="13">
        <f t="shared" ref="X419:X437" si="179">K419*(V419-U419)</f>
        <v>-1110.0000000000023</v>
      </c>
      <c r="Y419" s="43">
        <f t="shared" si="166"/>
        <v>1.0825510991167813</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690.25</v>
      </c>
      <c r="V420" s="13">
        <f>IF(ISNA(VLOOKUP(LOWER(F420)&amp;H420,Prices!A:C,2,0)),0,VLOOKUP(LOWER(F420)&amp;H420,Prices!A:C,2,0))</f>
        <v>679.15</v>
      </c>
      <c r="W420" s="13">
        <f t="shared" si="178"/>
        <v>35299.826240000002</v>
      </c>
      <c r="X420" s="13">
        <f t="shared" si="179"/>
        <v>-1110.0000000000023</v>
      </c>
      <c r="Y420" s="43">
        <f t="shared" si="166"/>
        <v>1.0825510991167813</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9.08</v>
      </c>
      <c r="V421" s="13">
        <f>IF(ISNA(VLOOKUP(LOWER(F421)&amp;H421,Prices!A:C,2,0)),0,VLOOKUP(LOWER(F421)&amp;H421,Prices!A:C,2,0))</f>
        <v>9.06</v>
      </c>
      <c r="W421" s="13">
        <f t="shared" si="178"/>
        <v>-9490.0584000000017</v>
      </c>
      <c r="X421" s="13">
        <f t="shared" si="179"/>
        <v>-79.999999999998295</v>
      </c>
      <c r="Y421" s="43">
        <f t="shared" si="166"/>
        <v>-0.20756908136482943</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10.64</v>
      </c>
      <c r="W422" s="13">
        <f t="shared" si="178"/>
        <v>-4569.4239999999982</v>
      </c>
      <c r="X422" s="13">
        <f t="shared" si="179"/>
        <v>1560.0000000000023</v>
      </c>
      <c r="Y422" s="43">
        <f t="shared" si="166"/>
        <v>-9.6974193548387058E-2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10.64</v>
      </c>
      <c r="W423" s="13">
        <f t="shared" si="178"/>
        <v>-4609.431999999998</v>
      </c>
      <c r="X423" s="13">
        <f t="shared" si="179"/>
        <v>1560.0000000000023</v>
      </c>
      <c r="Y423" s="43">
        <f t="shared" si="166"/>
        <v>-9.7740288379982998E-2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11.43</v>
      </c>
      <c r="V424" s="13">
        <f>IF(ISNA(VLOOKUP(LOWER(F424)&amp;H424,Prices!A:C,2,0)),0,VLOOKUP(LOWER(F424)&amp;H424,Prices!A:C,2,0))</f>
        <v>11.19</v>
      </c>
      <c r="W424" s="13">
        <f t="shared" si="178"/>
        <v>-15129.737999999994</v>
      </c>
      <c r="X424" s="13">
        <f t="shared" si="179"/>
        <v>-720.00000000000068</v>
      </c>
      <c r="Y424" s="43">
        <f t="shared" si="166"/>
        <v>-0.31073604436229191</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11.43</v>
      </c>
      <c r="V425" s="13">
        <f>IF(ISNA(VLOOKUP(LOWER(F425)&amp;H425,Prices!A:C,2,0)),0,VLOOKUP(LOWER(F425)&amp;H425,Prices!A:C,2,0))</f>
        <v>11.19</v>
      </c>
      <c r="W425" s="13">
        <f t="shared" si="178"/>
        <v>-10086.491999999997</v>
      </c>
      <c r="X425" s="13">
        <f t="shared" si="179"/>
        <v>-480.00000000000045</v>
      </c>
      <c r="Y425" s="43">
        <f t="shared" si="166"/>
        <v>-0.31073604436229196</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11.43</v>
      </c>
      <c r="V426" s="13">
        <f>IF(ISNA(VLOOKUP(LOWER(F426)&amp;H426,Prices!A:C,2,0)),0,VLOOKUP(LOWER(F426)&amp;H426,Prices!A:C,2,0))</f>
        <v>11.19</v>
      </c>
      <c r="W426" s="13">
        <f t="shared" si="178"/>
        <v>-10086.491999999997</v>
      </c>
      <c r="X426" s="13">
        <f t="shared" si="179"/>
        <v>-480.00000000000045</v>
      </c>
      <c r="Y426" s="43">
        <f t="shared" si="166"/>
        <v>-0.31073604436229196</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7.83</v>
      </c>
      <c r="V427" s="13">
        <f>IF(ISNA(VLOOKUP(LOWER(F427)&amp;H427,Prices!A:C,2,0)),0,VLOOKUP(LOWER(F427)&amp;H427,Prices!A:C,2,0))</f>
        <v>7.83</v>
      </c>
      <c r="W427" s="13">
        <f t="shared" si="178"/>
        <v>-10888.440000000002</v>
      </c>
      <c r="X427" s="13">
        <f t="shared" si="179"/>
        <v>0</v>
      </c>
      <c r="Y427" s="43">
        <f t="shared" si="166"/>
        <v>-0.25801990521327017</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11.43</v>
      </c>
      <c r="V428" s="13">
        <f>IF(ISNA(VLOOKUP(LOWER(F428)&amp;H428,Prices!A:C,2,0)),0,VLOOKUP(LOWER(F428)&amp;H428,Prices!A:C,2,0))</f>
        <v>11.19</v>
      </c>
      <c r="W428" s="13">
        <f t="shared" si="178"/>
        <v>-15129.737999999994</v>
      </c>
      <c r="X428" s="13">
        <f t="shared" si="179"/>
        <v>-720.00000000000068</v>
      </c>
      <c r="Y428" s="43">
        <f t="shared" si="166"/>
        <v>-0.31073604436229191</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10.64</v>
      </c>
      <c r="W431" s="13">
        <f t="shared" si="178"/>
        <v>-3247.0319999999974</v>
      </c>
      <c r="X431" s="13">
        <f t="shared" si="179"/>
        <v>1170.0000000000018</v>
      </c>
      <c r="Y431" s="43">
        <f t="shared" si="166"/>
        <v>-9.2350170648464097E-2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11.43</v>
      </c>
      <c r="V432" s="13">
        <f>IF(ISNA(VLOOKUP(LOWER(F432)&amp;H432,Prices!A:C,2,0)),0,VLOOKUP(LOWER(F432)&amp;H432,Prices!A:C,2,0))</f>
        <v>11.19</v>
      </c>
      <c r="W432" s="13">
        <f t="shared" si="178"/>
        <v>-20773.103999999996</v>
      </c>
      <c r="X432" s="13">
        <f t="shared" si="179"/>
        <v>-960.00000000000091</v>
      </c>
      <c r="Y432" s="43">
        <f t="shared" si="166"/>
        <v>-0.31704981684981681</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12.58</v>
      </c>
      <c r="V433" s="13">
        <f>IF(ISNA(VLOOKUP(LOWER(F433)&amp;H433,Prices!A:C,2,0)),0,VLOOKUP(LOWER(F433)&amp;H433,Prices!A:C,2,0))</f>
        <v>13.36</v>
      </c>
      <c r="W433" s="13">
        <f t="shared" si="178"/>
        <v>-19236.518000000004</v>
      </c>
      <c r="X433" s="13">
        <f t="shared" si="179"/>
        <v>779.99999999999932</v>
      </c>
      <c r="Y433" s="43">
        <f t="shared" si="166"/>
        <v>-0.59025830009205282</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690.25</v>
      </c>
      <c r="V434" s="13">
        <f>IF(ISNA(VLOOKUP(LOWER(F434)&amp;H434,Prices!A:C,2,0)),0,VLOOKUP(LOWER(F434)&amp;H434,Prices!A:C,2,0))</f>
        <v>679.15</v>
      </c>
      <c r="W434" s="13">
        <f t="shared" si="178"/>
        <v>35607.894</v>
      </c>
      <c r="X434" s="13">
        <f t="shared" si="179"/>
        <v>-1110.0000000000023</v>
      </c>
      <c r="Y434" s="43">
        <f t="shared" si="166"/>
        <v>1.1024115789473685</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690.25</v>
      </c>
      <c r="V435" s="13">
        <f>IF(ISNA(VLOOKUP(LOWER(F435)&amp;H435,Prices!A:C,2,0)),0,VLOOKUP(LOWER(F435)&amp;H435,Prices!A:C,2,0))</f>
        <v>679.15</v>
      </c>
      <c r="W435" s="13">
        <f t="shared" si="178"/>
        <v>35606.893779999999</v>
      </c>
      <c r="X435" s="13">
        <f t="shared" si="179"/>
        <v>-1110.0000000000023</v>
      </c>
      <c r="Y435" s="43">
        <f t="shared" si="166"/>
        <v>1.102346484009783</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7.83</v>
      </c>
      <c r="V436" s="13">
        <f>IF(ISNA(VLOOKUP(LOWER(F436)&amp;H436,Prices!A:C,2,0)),0,VLOOKUP(LOWER(F436)&amp;H436,Prices!A:C,2,0))</f>
        <v>7.83</v>
      </c>
      <c r="W436" s="13">
        <f t="shared" si="178"/>
        <v>-7506.1979999999976</v>
      </c>
      <c r="X436" s="13">
        <f t="shared" si="179"/>
        <v>0</v>
      </c>
      <c r="Y436" s="43">
        <f t="shared" si="166"/>
        <v>-0.24221355275895443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11.6</v>
      </c>
      <c r="V437" s="13">
        <f>IF(ISNA(VLOOKUP(LOWER(F437)&amp;H437,Prices!A:C,2,0)),0,VLOOKUP(LOWER(F437)&amp;H437,Prices!A:C,2,0))</f>
        <v>11.41</v>
      </c>
      <c r="W437" s="13">
        <f t="shared" si="178"/>
        <v>10499.300800000001</v>
      </c>
      <c r="X437" s="13">
        <f t="shared" si="179"/>
        <v>379.99999999999898</v>
      </c>
      <c r="Y437" s="43">
        <f t="shared" si="166"/>
        <v>0.31472724220623505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12.58</v>
      </c>
      <c r="V439" s="13">
        <f>IF(ISNA(VLOOKUP(LOWER(F439)&amp;H439,Prices!A:C,2,0)),0,VLOOKUP(LOWER(F439)&amp;H439,Prices!A:C,2,0))</f>
        <v>13.36</v>
      </c>
      <c r="W439" s="13">
        <f t="shared" ref="W439:W457" si="184">IF(I439="B",(V439+T439)*K439,(V439+T439)*K439)</f>
        <v>20848.900000000001</v>
      </c>
      <c r="X439" s="13">
        <f t="shared" ref="X439:X457" si="185">K439*(V439-U439)</f>
        <v>-779.99999999999932</v>
      </c>
      <c r="Y439" s="43">
        <f t="shared" si="166"/>
        <v>0.6087270072992701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690.25</v>
      </c>
      <c r="V440" s="13">
        <f>IF(ISNA(VLOOKUP(LOWER(F440)&amp;H440,Prices!A:C,2,0)),0,VLOOKUP(LOWER(F440)&amp;H440,Prices!A:C,2,0))</f>
        <v>679.15</v>
      </c>
      <c r="W440" s="13">
        <f t="shared" si="184"/>
        <v>-177278.24890000001</v>
      </c>
      <c r="X440" s="13">
        <f t="shared" si="185"/>
        <v>5550.0000000000109</v>
      </c>
      <c r="Y440" s="43">
        <f t="shared" si="166"/>
        <v>-1.0909766386658051</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9.08</v>
      </c>
      <c r="V441" s="13">
        <f>IF(ISNA(VLOOKUP(LOWER(F441)&amp;H441,Prices!A:C,2,0)),0,VLOOKUP(LOWER(F441)&amp;H441,Prices!A:C,2,0))</f>
        <v>9.06</v>
      </c>
      <c r="W441" s="13">
        <f t="shared" si="184"/>
        <v>8625.1976000000068</v>
      </c>
      <c r="X441" s="13">
        <f t="shared" si="185"/>
        <v>79.999999999998295</v>
      </c>
      <c r="Y441" s="43">
        <f t="shared" si="166"/>
        <v>0.19201241317898501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11.43</v>
      </c>
      <c r="V442" s="13">
        <f>IF(ISNA(VLOOKUP(LOWER(F442)&amp;H442,Prices!A:C,2,0)),0,VLOOKUP(LOWER(F442)&amp;H442,Prices!A:C,2,0))</f>
        <v>11.19</v>
      </c>
      <c r="W442" s="13">
        <f t="shared" si="184"/>
        <v>35772.911999999989</v>
      </c>
      <c r="X442" s="13">
        <f t="shared" si="185"/>
        <v>1680.0000000000016</v>
      </c>
      <c r="Y442" s="43">
        <f t="shared" si="166"/>
        <v>0.31313823529411755</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17.149999999999999</v>
      </c>
      <c r="V443" s="13">
        <f>IF(ISNA(VLOOKUP(LOWER(F443)&amp;H443,Prices!A:C,2,0)),0,VLOOKUP(LOWER(F443)&amp;H443,Prices!A:C,2,0))</f>
        <v>17.05</v>
      </c>
      <c r="W443" s="13">
        <f t="shared" si="184"/>
        <v>13692.096000000003</v>
      </c>
      <c r="X443" s="13">
        <f t="shared" si="185"/>
        <v>299.99999999999363</v>
      </c>
      <c r="Y443" s="43">
        <f t="shared" si="166"/>
        <v>0.21090720887245845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10.64</v>
      </c>
      <c r="W444" s="13">
        <f t="shared" si="184"/>
        <v>5148.5009999999911</v>
      </c>
      <c r="X444" s="13">
        <f t="shared" si="185"/>
        <v>-2145.0000000000032</v>
      </c>
      <c r="Y444" s="43">
        <f t="shared" si="166"/>
        <v>8.0767134677229444E-2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690.25</v>
      </c>
      <c r="V445" s="13">
        <f>IF(ISNA(VLOOKUP(LOWER(F445)&amp;H445,Prices!A:C,2,0)),0,VLOOKUP(LOWER(F445)&amp;H445,Prices!A:C,2,0))</f>
        <v>679.15</v>
      </c>
      <c r="W445" s="13">
        <f t="shared" si="184"/>
        <v>-106354.96197999999</v>
      </c>
      <c r="X445" s="13">
        <f t="shared" si="185"/>
        <v>3330.0000000000068</v>
      </c>
      <c r="Y445" s="43">
        <f t="shared" si="166"/>
        <v>-1.0907194410772341</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690.25</v>
      </c>
      <c r="V446" s="13">
        <f>IF(ISNA(VLOOKUP(LOWER(F446)&amp;H446,Prices!A:C,2,0)),0,VLOOKUP(LOWER(F446)&amp;H446,Prices!A:C,2,0))</f>
        <v>679.15</v>
      </c>
      <c r="W446" s="13">
        <f t="shared" si="184"/>
        <v>-105987.013028</v>
      </c>
      <c r="X446" s="13">
        <f t="shared" si="185"/>
        <v>3330.0000000000068</v>
      </c>
      <c r="Y446" s="43">
        <f t="shared" si="166"/>
        <v>-1.0828548064006605</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17.149999999999999</v>
      </c>
      <c r="V447" s="13">
        <f>IF(ISNA(VLOOKUP(LOWER(F447)&amp;H447,Prices!A:C,2,0)),0,VLOOKUP(LOWER(F447)&amp;H447,Prices!A:C,2,0))</f>
        <v>17.05</v>
      </c>
      <c r="W447" s="13">
        <f t="shared" si="184"/>
        <v>14381.267999999995</v>
      </c>
      <c r="X447" s="13">
        <f t="shared" si="185"/>
        <v>299.99999999999363</v>
      </c>
      <c r="Y447" s="43">
        <f t="shared" si="166"/>
        <v>0.21919323273891167</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11.43</v>
      </c>
      <c r="V448" s="13">
        <f>IF(ISNA(VLOOKUP(LOWER(F448)&amp;H448,Prices!A:C,2,0)),0,VLOOKUP(LOWER(F448)&amp;H448,Prices!A:C,2,0))</f>
        <v>11.19</v>
      </c>
      <c r="W448" s="13">
        <f t="shared" si="184"/>
        <v>35772.911999999989</v>
      </c>
      <c r="X448" s="13">
        <f t="shared" si="185"/>
        <v>1680.0000000000016</v>
      </c>
      <c r="Y448" s="43">
        <f t="shared" si="166"/>
        <v>0.31313823529411755</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16.47</v>
      </c>
      <c r="V449" s="13">
        <f>IF(ISNA(VLOOKUP(LOWER(F449)&amp;H449,Prices!A:C,2,0)),0,VLOOKUP(LOWER(F449)&amp;H449,Prices!A:C,2,0))</f>
        <v>16.62</v>
      </c>
      <c r="W449" s="13">
        <f t="shared" si="184"/>
        <v>9988.0319999999974</v>
      </c>
      <c r="X449" s="13">
        <f t="shared" si="185"/>
        <v>-150.00000000000213</v>
      </c>
      <c r="Y449" s="43">
        <f t="shared" si="166"/>
        <v>0.37492612612612602</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7.83</v>
      </c>
      <c r="V451" s="13">
        <f>IF(ISNA(VLOOKUP(LOWER(F451)&amp;H451,Prices!A:C,2,0)),0,VLOOKUP(LOWER(F451)&amp;H451,Prices!A:C,2,0))</f>
        <v>7.83</v>
      </c>
      <c r="W451" s="13">
        <f t="shared" si="184"/>
        <v>8846.4409999999971</v>
      </c>
      <c r="X451" s="13">
        <f t="shared" si="185"/>
        <v>0</v>
      </c>
      <c r="Y451" s="43">
        <f t="shared" si="166"/>
        <v>0.24373718142994893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10.64</v>
      </c>
      <c r="W452" s="13">
        <f t="shared" si="184"/>
        <v>2608.3551999999954</v>
      </c>
      <c r="X452" s="13">
        <f t="shared" si="185"/>
        <v>-1053.0000000000016</v>
      </c>
      <c r="Y452" s="43">
        <f t="shared" si="166"/>
        <v>8.3137476891693624E-2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12.7</v>
      </c>
      <c r="V453" s="13">
        <f>IF(ISNA(VLOOKUP(LOWER(F453)&amp;H453,Prices!A:C,2,0)),0,VLOOKUP(LOWER(F453)&amp;H453,Prices!A:C,2,0))</f>
        <v>13.09</v>
      </c>
      <c r="W453" s="13">
        <f t="shared" si="184"/>
        <v>6655.23</v>
      </c>
      <c r="X453" s="13">
        <f t="shared" si="185"/>
        <v>-390.00000000000057</v>
      </c>
      <c r="Y453" s="43">
        <f t="shared" ref="Y453:Y488" si="189">W453/O453</f>
        <v>0.33663277693474958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7.83</v>
      </c>
      <c r="V455" s="13">
        <f>IF(ISNA(VLOOKUP(LOWER(F455)&amp;H455,Prices!A:C,2,0)),0,VLOOKUP(LOWER(F455)&amp;H455,Prices!A:C,2,0))</f>
        <v>7.83</v>
      </c>
      <c r="W455" s="13">
        <f t="shared" si="184"/>
        <v>4329.34</v>
      </c>
      <c r="X455" s="13">
        <f t="shared" si="185"/>
        <v>0</v>
      </c>
      <c r="Y455" s="43">
        <f t="shared" si="189"/>
        <v>0.24510785257317558</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7.83</v>
      </c>
      <c r="V456" s="13">
        <f>IF(ISNA(VLOOKUP(LOWER(F456)&amp;H456,Prices!A:C,2,0)),0,VLOOKUP(LOWER(F456)&amp;H456,Prices!A:C,2,0))</f>
        <v>7.83</v>
      </c>
      <c r="W456" s="13">
        <f t="shared" si="184"/>
        <v>4746.1399999999994</v>
      </c>
      <c r="X456" s="13">
        <f t="shared" si="185"/>
        <v>0</v>
      </c>
      <c r="Y456" s="43">
        <f t="shared" si="189"/>
        <v>0.2515977523324851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10.64</v>
      </c>
      <c r="W457" s="13">
        <f t="shared" si="184"/>
        <v>2621.0595999999982</v>
      </c>
      <c r="X457" s="13">
        <f t="shared" si="185"/>
        <v>-1092.0000000000016</v>
      </c>
      <c r="Y457" s="43">
        <f t="shared" si="189"/>
        <v>8.0767274744237588E-2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66.38</v>
      </c>
      <c r="V458" s="13">
        <f>IF(ISNA(VLOOKUP(LOWER(F458)&amp;H458,Prices!A:C,2,0)),0,VLOOKUP(LOWER(F458)&amp;H458,Prices!A:C,2,0))</f>
        <v>65.8</v>
      </c>
      <c r="W458" s="13">
        <f t="shared" ref="W458:W473" si="194">IF(I458="B",(V458+T458)*K458,(V458+T458)*K458)</f>
        <v>21391.120000000003</v>
      </c>
      <c r="X458" s="13">
        <f t="shared" ref="X458:X473" si="195">K458*(V458-U458)</f>
        <v>-579.99999999999829</v>
      </c>
      <c r="Y458" s="43">
        <f t="shared" si="189"/>
        <v>0.48178198198198202</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17.399999999999999</v>
      </c>
      <c r="V459" s="13">
        <f>IF(ISNA(VLOOKUP(LOWER(F459)&amp;H459,Prices!A:C,2,0)),0,VLOOKUP(LOWER(F459)&amp;H459,Prices!A:C,2,0))</f>
        <v>17.059999999999999</v>
      </c>
      <c r="W459" s="13">
        <f t="shared" si="194"/>
        <v>-15156.442000000003</v>
      </c>
      <c r="X459" s="13">
        <f t="shared" si="195"/>
        <v>-339.99999999999989</v>
      </c>
      <c r="Y459" s="43">
        <f t="shared" si="189"/>
        <v>-0.47055082272586163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8.75</v>
      </c>
      <c r="V461" s="13">
        <f>IF(ISNA(VLOOKUP(LOWER(F461)&amp;H461,Prices!A:C,2,0)),0,VLOOKUP(LOWER(F461)&amp;H461,Prices!A:C,2,0))</f>
        <v>9.02</v>
      </c>
      <c r="W461" s="13">
        <f t="shared" si="194"/>
        <v>-11285.864000000003</v>
      </c>
      <c r="X461" s="13">
        <f t="shared" si="195"/>
        <v>539.99999999999909</v>
      </c>
      <c r="Y461" s="43">
        <f t="shared" si="189"/>
        <v>-0.38492032742155535</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104.85</v>
      </c>
      <c r="V462" s="13">
        <f>IF(ISNA(VLOOKUP(LOWER(F462)&amp;H462,Prices!A:C,2,0)),0,VLOOKUP(LOWER(F462)&amp;H462,Prices!A:C,2,0))</f>
        <v>105.99</v>
      </c>
      <c r="W462" s="13">
        <f t="shared" si="194"/>
        <v>-687.43760000000123</v>
      </c>
      <c r="X462" s="13">
        <f t="shared" si="195"/>
        <v>228.00000000000011</v>
      </c>
      <c r="Y462" s="43">
        <f t="shared" si="189"/>
        <v>-3.1418537477148137E-2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10.19</v>
      </c>
      <c r="V463" s="13">
        <f>IF(ISNA(VLOOKUP(LOWER(F463)&amp;H463,Prices!A:C,2,0)),0,VLOOKUP(LOWER(F463)&amp;H463,Prices!A:C,2,0))</f>
        <v>10.029999999999999</v>
      </c>
      <c r="W463" s="13">
        <f t="shared" si="194"/>
        <v>-2925.0000000000009</v>
      </c>
      <c r="X463" s="13">
        <f t="shared" si="195"/>
        <v>-320.00000000000028</v>
      </c>
      <c r="Y463" s="43">
        <f t="shared" si="189"/>
        <v>-0.12728459530026115</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9.59</v>
      </c>
      <c r="V464" s="13">
        <f>IF(ISNA(VLOOKUP(LOWER(F464)&amp;H464,Prices!A:C,2,0)),0,VLOOKUP(LOWER(F464)&amp;H464,Prices!A:C,2,0))</f>
        <v>9.8000000000000007</v>
      </c>
      <c r="W464" s="13">
        <f t="shared" si="194"/>
        <v>14124.694600000003</v>
      </c>
      <c r="X464" s="13">
        <f t="shared" si="195"/>
        <v>630.0000000000025</v>
      </c>
      <c r="Y464" s="43">
        <f t="shared" si="189"/>
        <v>0.92499637197118545</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10.19</v>
      </c>
      <c r="V465" s="13">
        <f>IF(ISNA(VLOOKUP(LOWER(F465)&amp;H465,Prices!A:C,2,0)),0,VLOOKUP(LOWER(F465)&amp;H465,Prices!A:C,2,0))</f>
        <v>10.029999999999999</v>
      </c>
      <c r="W465" s="13">
        <f t="shared" si="194"/>
        <v>-2965</v>
      </c>
      <c r="X465" s="13">
        <f t="shared" si="195"/>
        <v>-320.00000000000028</v>
      </c>
      <c r="Y465" s="43">
        <f t="shared" si="189"/>
        <v>-0.12880104257167679</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24.87</v>
      </c>
      <c r="V466" s="13">
        <f>IF(ISNA(VLOOKUP(LOWER(F466)&amp;H466,Prices!A:C,2,0)),0,VLOOKUP(LOWER(F466)&amp;H466,Prices!A:C,2,0))</f>
        <v>24.84</v>
      </c>
      <c r="W466" s="13">
        <f t="shared" si="194"/>
        <v>-11965.4876</v>
      </c>
      <c r="X466" s="13">
        <f t="shared" si="195"/>
        <v>-15.000000000000568</v>
      </c>
      <c r="Y466" s="43">
        <f t="shared" si="189"/>
        <v>-0.49079112387202628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20.13</v>
      </c>
      <c r="V467" s="13">
        <f>IF(ISNA(VLOOKUP(LOWER(F467)&amp;H467,Prices!A:C,2,0)),0,VLOOKUP(LOWER(F467)&amp;H467,Prices!A:C,2,0))</f>
        <v>20.21</v>
      </c>
      <c r="W467" s="13">
        <f t="shared" si="194"/>
        <v>12674.452000000003</v>
      </c>
      <c r="X467" s="13">
        <f t="shared" si="195"/>
        <v>160.00000000000369</v>
      </c>
      <c r="Y467" s="43">
        <f t="shared" si="189"/>
        <v>0.45690165825522722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7.97</v>
      </c>
      <c r="V468" s="13">
        <f>IF(ISNA(VLOOKUP(LOWER(F468)&amp;H468,Prices!A:C,2,0)),0,VLOOKUP(LOWER(F468)&amp;H468,Prices!A:C,2,0))</f>
        <v>8.11</v>
      </c>
      <c r="W468" s="13">
        <f t="shared" si="194"/>
        <v>234.68039999999846</v>
      </c>
      <c r="X468" s="13">
        <f t="shared" si="195"/>
        <v>279.99999999999937</v>
      </c>
      <c r="Y468" s="43">
        <f t="shared" si="189"/>
        <v>1.468588235294108E-2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7.97</v>
      </c>
      <c r="V469" s="13">
        <f>IF(ISNA(VLOOKUP(LOWER(F469)&amp;H469,Prices!A:C,2,0)),0,VLOOKUP(LOWER(F469)&amp;H469,Prices!A:C,2,0))</f>
        <v>8.11</v>
      </c>
      <c r="W469" s="13">
        <f t="shared" si="194"/>
        <v>214.67999999999776</v>
      </c>
      <c r="X469" s="13">
        <f t="shared" si="195"/>
        <v>279.99999999999937</v>
      </c>
      <c r="Y469" s="43">
        <f t="shared" si="189"/>
        <v>1.341749999999986E-2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13.11</v>
      </c>
      <c r="V470" s="13">
        <f>IF(ISNA(VLOOKUP(LOWER(F470)&amp;H470,Prices!A:C,2,0)),0,VLOOKUP(LOWER(F470)&amp;H470,Prices!A:C,2,0))</f>
        <v>13.31</v>
      </c>
      <c r="W470" s="13">
        <f t="shared" si="194"/>
        <v>-5084.9999999999991</v>
      </c>
      <c r="X470" s="13">
        <f t="shared" si="195"/>
        <v>200.00000000000108</v>
      </c>
      <c r="Y470" s="43">
        <f t="shared" si="189"/>
        <v>-0.27650897226753668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37.520000000000003</v>
      </c>
      <c r="V471" s="13">
        <f>IF(ISNA(VLOOKUP(LOWER(F471)&amp;H471,Prices!A:C,2,0)),0,VLOOKUP(LOWER(F471)&amp;H471,Prices!A:C,2,0))</f>
        <v>40.049999999999997</v>
      </c>
      <c r="W471" s="13">
        <f t="shared" si="194"/>
        <v>1197.9999999999998</v>
      </c>
      <c r="X471" s="13">
        <f t="shared" si="195"/>
        <v>758.99999999999818</v>
      </c>
      <c r="Y471" s="43">
        <f t="shared" si="189"/>
        <v>0.110802811690714</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10.17</v>
      </c>
      <c r="V472" s="13">
        <f>IF(ISNA(VLOOKUP(LOWER(F472)&amp;H472,Prices!A:C,2,0)),0,VLOOKUP(LOWER(F472)&amp;H472,Prices!A:C,2,0))</f>
        <v>10.119999999999999</v>
      </c>
      <c r="W472" s="13">
        <f t="shared" si="194"/>
        <v>-1675.2358000000011</v>
      </c>
      <c r="X472" s="13">
        <f t="shared" si="195"/>
        <v>-50.000000000000711</v>
      </c>
      <c r="Y472" s="43">
        <f t="shared" si="189"/>
        <v>-0.14208955046649713</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65.12</v>
      </c>
      <c r="V473" s="13">
        <f>IF(ISNA(VLOOKUP(LOWER(F473)&amp;H473,Prices!A:C,2,0)),0,VLOOKUP(LOWER(F473)&amp;H473,Prices!A:C,2,0))</f>
        <v>68.150000000000006</v>
      </c>
      <c r="W473" s="13">
        <f t="shared" si="194"/>
        <v>3455.0000000000009</v>
      </c>
      <c r="X473" s="13">
        <f t="shared" si="195"/>
        <v>303.00000000000011</v>
      </c>
      <c r="Y473" s="43">
        <f t="shared" si="189"/>
        <v>1.0298062593144564</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104.85</v>
      </c>
      <c r="V474" s="13">
        <f>IF(ISNA(VLOOKUP(LOWER(F474)&amp;H474,Prices!A:C,2,0)),0,VLOOKUP(LOWER(F474)&amp;H474,Prices!A:C,2,0))</f>
        <v>105.99</v>
      </c>
      <c r="W474" s="13">
        <f t="shared" ref="W474:W488" si="201">IF(I474="B",(V474+T474)*K474,(V474+T474)*K474)</f>
        <v>-520.11407999999903</v>
      </c>
      <c r="X474" s="13">
        <f t="shared" ref="X474:X488" si="202">K474*(V474-U474)</f>
        <v>-228.00000000000011</v>
      </c>
      <c r="Y474" s="43">
        <f t="shared" si="189"/>
        <v>-2.5121429675424991E-2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20.13</v>
      </c>
      <c r="V475" s="13">
        <f>IF(ISNA(VLOOKUP(LOWER(F475)&amp;H475,Prices!A:C,2,0)),0,VLOOKUP(LOWER(F475)&amp;H475,Prices!A:C,2,0))</f>
        <v>20.21</v>
      </c>
      <c r="W475" s="13">
        <f t="shared" si="201"/>
        <v>-13312.568000000003</v>
      </c>
      <c r="X475" s="13">
        <f t="shared" si="202"/>
        <v>-160.00000000000369</v>
      </c>
      <c r="Y475" s="43">
        <f t="shared" si="189"/>
        <v>-0.49051466470154764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9.59</v>
      </c>
      <c r="V476" s="13">
        <f>IF(ISNA(VLOOKUP(LOWER(F476)&amp;H476,Prices!A:C,2,0)),0,VLOOKUP(LOWER(F476)&amp;H476,Prices!A:C,2,0))</f>
        <v>9.8000000000000007</v>
      </c>
      <c r="W476" s="13">
        <f t="shared" si="201"/>
        <v>-14719.994000000001</v>
      </c>
      <c r="X476" s="13">
        <f t="shared" si="202"/>
        <v>-630.0000000000025</v>
      </c>
      <c r="Y476" s="43">
        <f t="shared" si="189"/>
        <v>-1.0013601360544218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10.19</v>
      </c>
      <c r="V477" s="13">
        <f>IF(ISNA(VLOOKUP(LOWER(F477)&amp;H477,Prices!A:C,2,0)),0,VLOOKUP(LOWER(F477)&amp;H477,Prices!A:C,2,0))</f>
        <v>10.029999999999999</v>
      </c>
      <c r="W477" s="13">
        <f t="shared" si="201"/>
        <v>5265.4719999999952</v>
      </c>
      <c r="X477" s="13">
        <f t="shared" si="202"/>
        <v>640.00000000000057</v>
      </c>
      <c r="Y477" s="43">
        <f t="shared" si="189"/>
        <v>0.11587746478873229</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65.12</v>
      </c>
      <c r="V478" s="13">
        <f>IF(ISNA(VLOOKUP(LOWER(F478)&amp;H478,Prices!A:C,2,0)),0,VLOOKUP(LOWER(F478)&amp;H478,Prices!A:C,2,0))</f>
        <v>68.150000000000006</v>
      </c>
      <c r="W478" s="13">
        <f t="shared" si="201"/>
        <v>-3604.2200000000003</v>
      </c>
      <c r="X478" s="13">
        <f t="shared" si="202"/>
        <v>-303.00000000000011</v>
      </c>
      <c r="Y478" s="43">
        <f t="shared" si="189"/>
        <v>-1.1196707051879466</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24.87</v>
      </c>
      <c r="V479" s="13">
        <f>IF(ISNA(VLOOKUP(LOWER(F479)&amp;H479,Prices!A:C,2,0)),0,VLOOKUP(LOWER(F479)&amp;H479,Prices!A:C,2,0))</f>
        <v>24.84</v>
      </c>
      <c r="W479" s="13">
        <f t="shared" si="201"/>
        <v>11190.887200000001</v>
      </c>
      <c r="X479" s="13">
        <f t="shared" si="202"/>
        <v>15.000000000000568</v>
      </c>
      <c r="Y479" s="43">
        <f>W479/O479</f>
        <v>0.47338778341793575</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8.75</v>
      </c>
      <c r="V480" s="13">
        <f>IF(ISNA(VLOOKUP(LOWER(F480)&amp;H480,Prices!A:C,2,0)),0,VLOOKUP(LOWER(F480)&amp;H480,Prices!A:C,2,0))</f>
        <v>9.02</v>
      </c>
      <c r="W480" s="13">
        <f t="shared" si="201"/>
        <v>10702.464600000003</v>
      </c>
      <c r="X480" s="13">
        <f t="shared" si="202"/>
        <v>-539.99999999999909</v>
      </c>
      <c r="Y480" s="43">
        <f>W480/O480</f>
        <v>0.37191036591722565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37.520000000000003</v>
      </c>
      <c r="V481" s="13">
        <f>IF(ISNA(VLOOKUP(LOWER(F481)&amp;H481,Prices!A:C,2,0)),0,VLOOKUP(LOWER(F481)&amp;H481,Prices!A:C,2,0))</f>
        <v>40.049999999999997</v>
      </c>
      <c r="W481" s="13">
        <f t="shared" si="201"/>
        <v>-1448.5800000000986</v>
      </c>
      <c r="X481" s="13">
        <f t="shared" si="202"/>
        <v>-758.99999999999818</v>
      </c>
      <c r="Y481" s="43">
        <f t="shared" si="189"/>
        <v>-0.13689094689095752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10.17</v>
      </c>
      <c r="V483" s="13">
        <f>IF(ISNA(VLOOKUP(LOWER(F483)&amp;H483,Prices!A:C,2,0)),0,VLOOKUP(LOWER(F483)&amp;H483,Prices!A:C,2,0))</f>
        <v>10.119999999999999</v>
      </c>
      <c r="W483" s="13">
        <f t="shared" si="201"/>
        <v>1443.188400000002</v>
      </c>
      <c r="X483" s="13">
        <f t="shared" si="202"/>
        <v>50.000000000000711</v>
      </c>
      <c r="Y483" s="43">
        <f t="shared" si="189"/>
        <v>0.12462766839378256</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7.97</v>
      </c>
      <c r="V484" s="13">
        <f>IF(ISNA(VLOOKUP(LOWER(F484)&amp;H484,Prices!A:C,2,0)),0,VLOOKUP(LOWER(F484)&amp;H484,Prices!A:C,2,0))</f>
        <v>8.11</v>
      </c>
      <c r="W484" s="13">
        <f t="shared" si="201"/>
        <v>-1158.2103999999979</v>
      </c>
      <c r="X484" s="13">
        <f t="shared" si="202"/>
        <v>-559.99999999999875</v>
      </c>
      <c r="Y484" s="43">
        <f t="shared" si="189"/>
        <v>-3.6979897828863281E-2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66.38</v>
      </c>
      <c r="V485" s="13">
        <f>IF(ISNA(VLOOKUP(LOWER(F485)&amp;H485,Prices!A:C,2,0)),0,VLOOKUP(LOWER(F485)&amp;H485,Prices!A:C,2,0))</f>
        <v>65.8</v>
      </c>
      <c r="W485" s="13">
        <f t="shared" si="201"/>
        <v>-21343.412</v>
      </c>
      <c r="X485" s="13">
        <f t="shared" si="202"/>
        <v>579.99999999999829</v>
      </c>
      <c r="Y485" s="43">
        <f t="shared" si="189"/>
        <v>-0.47951947876881601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13.11</v>
      </c>
      <c r="V486" s="13">
        <f>IF(ISNA(VLOOKUP(LOWER(F486)&amp;H486,Prices!A:C,2,0)),0,VLOOKUP(LOWER(F486)&amp;H486,Prices!A:C,2,0))</f>
        <v>13.31</v>
      </c>
      <c r="W486" s="13">
        <f t="shared" si="201"/>
        <v>4826.8399999999992</v>
      </c>
      <c r="X486" s="13">
        <f t="shared" si="202"/>
        <v>-200.00000000000108</v>
      </c>
      <c r="Y486" s="43">
        <f t="shared" si="189"/>
        <v>0.26579515418502198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17.399999999999999</v>
      </c>
      <c r="V487" s="13">
        <f>IF(ISNA(VLOOKUP(LOWER(F487)&amp;H487,Prices!A:C,2,0)),0,VLOOKUP(LOWER(F487)&amp;H487,Prices!A:C,2,0))</f>
        <v>17.059999999999999</v>
      </c>
      <c r="W487" s="13">
        <f t="shared" si="201"/>
        <v>7493.9500000000035</v>
      </c>
      <c r="X487" s="13">
        <f t="shared" si="202"/>
        <v>169.99999999999994</v>
      </c>
      <c r="Y487" s="43">
        <f t="shared" si="189"/>
        <v>0.46705827360548474</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17.399999999999999</v>
      </c>
      <c r="V488" s="13">
        <f>IF(ISNA(VLOOKUP(LOWER(F488)&amp;H488,Prices!A:C,2,0)),0,VLOOKUP(LOWER(F488)&amp;H488,Prices!A:C,2,0))</f>
        <v>17.059999999999999</v>
      </c>
      <c r="W488" s="13">
        <f t="shared" si="201"/>
        <v>7389.06</v>
      </c>
      <c r="X488" s="13">
        <f t="shared" si="202"/>
        <v>169.99999999999994</v>
      </c>
      <c r="Y488" s="43">
        <f t="shared" si="189"/>
        <v>0.46355457967377667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9.6199999999999992</v>
      </c>
      <c r="V489" s="13">
        <f>IF(ISNA(VLOOKUP(LOWER(F489)&amp;H489,Prices!A:C,2,0)),0,VLOOKUP(LOWER(F489)&amp;H489,Prices!A:C,2,0))</f>
        <v>9.3000000000000007</v>
      </c>
      <c r="W489" s="13">
        <f t="shared" ref="W489:W494" si="207">IF(I489="B",(V489+T489)*K489,(V489+T489)*K489)</f>
        <v>-10756.999999999998</v>
      </c>
      <c r="X489" s="13">
        <f t="shared" ref="X489:X494" si="208">K489*(V489-U489)</f>
        <v>-223.99999999999895</v>
      </c>
      <c r="Y489" s="43">
        <f t="shared" ref="Y489:Y494" si="209">W489/O489</f>
        <v>-0.62316069980303546</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21.72</v>
      </c>
      <c r="V490" s="13">
        <f>IF(ISNA(VLOOKUP(LOWER(F490)&amp;H490,Prices!A:C,2,0)),0,VLOOKUP(LOWER(F490)&amp;H490,Prices!A:C,2,0))</f>
        <v>22.39</v>
      </c>
      <c r="W490" s="13">
        <f t="shared" si="207"/>
        <v>-3461.0000000000005</v>
      </c>
      <c r="X490" s="13">
        <f t="shared" si="208"/>
        <v>402.00000000000102</v>
      </c>
      <c r="Y490" s="43">
        <f t="shared" si="209"/>
        <v>-0.20491415038484312</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68.7</v>
      </c>
      <c r="V491" s="13">
        <f>IF(ISNA(VLOOKUP(LOWER(F491)&amp;H491,Prices!A:C,2,0)),0,VLOOKUP(LOWER(F491)&amp;H491,Prices!A:C,2,0))</f>
        <v>69.88</v>
      </c>
      <c r="W491" s="13">
        <f t="shared" si="207"/>
        <v>1000.9999999999998</v>
      </c>
      <c r="X491" s="13">
        <f t="shared" si="208"/>
        <v>117.99999999999926</v>
      </c>
      <c r="Y491" s="43">
        <f t="shared" si="209"/>
        <v>0.16733533935138745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15.69</v>
      </c>
      <c r="V492" s="13">
        <f>IF(ISNA(VLOOKUP(LOWER(F492)&amp;H492,Prices!A:C,2,0)),0,VLOOKUP(LOWER(F492)&amp;H492,Prices!A:C,2,0))</f>
        <v>15.77</v>
      </c>
      <c r="W492" s="13">
        <f t="shared" si="207"/>
        <v>-1677.1596000000002</v>
      </c>
      <c r="X492" s="13">
        <f t="shared" si="208"/>
        <v>32.000000000000028</v>
      </c>
      <c r="Y492" s="43">
        <f t="shared" si="209"/>
        <v>-0.21017037593984964</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9.8800000000000008</v>
      </c>
      <c r="V493" s="13">
        <f>IF(ISNA(VLOOKUP(LOWER(F493)&amp;H493,Prices!A:C,2,0)),0,VLOOKUP(LOWER(F493)&amp;H493,Prices!A:C,2,0))</f>
        <v>9.66</v>
      </c>
      <c r="W493" s="13">
        <f t="shared" si="207"/>
        <v>-833.07452000000023</v>
      </c>
      <c r="X493" s="13">
        <f t="shared" si="208"/>
        <v>-66.000000000000199</v>
      </c>
      <c r="Y493" s="43">
        <f t="shared" si="209"/>
        <v>-0.223584143853999</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9.6199999999999992</v>
      </c>
      <c r="V494" s="13">
        <f>IF(ISNA(VLOOKUP(LOWER(F494)&amp;H494,Prices!A:C,2,0)),0,VLOOKUP(LOWER(F494)&amp;H494,Prices!A:C,2,0))</f>
        <v>9.3000000000000007</v>
      </c>
      <c r="W494" s="13">
        <f t="shared" si="207"/>
        <v>10862.599999999999</v>
      </c>
      <c r="X494" s="13">
        <f t="shared" si="208"/>
        <v>223.99999999999895</v>
      </c>
      <c r="Y494" s="43">
        <f t="shared" si="209"/>
        <v>0.62446680080482886</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21.72</v>
      </c>
      <c r="V495" s="13">
        <f>IF(ISNA(VLOOKUP(LOWER(F495)&amp;H495,Prices!A:C,2,0)),0,VLOOKUP(LOWER(F495)&amp;H495,Prices!A:C,2,0))</f>
        <v>22.39</v>
      </c>
      <c r="W495" s="13">
        <f t="shared" ref="W495:W504" si="214">IF(I495="B",(V495+T495)*K495,(V495+T495)*K495)</f>
        <v>3026.52</v>
      </c>
      <c r="X495" s="13">
        <f t="shared" ref="X495:X504" si="215">K495*(V495-U495)</f>
        <v>-402.00000000000102</v>
      </c>
      <c r="Y495" s="43">
        <f t="shared" ref="Y495:Y504" si="216">W495/O495</f>
        <v>0.18362577357116855</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9.8800000000000008</v>
      </c>
      <c r="V496" s="13">
        <f>IF(ISNA(VLOOKUP(LOWER(F496)&amp;H496,Prices!A:C,2,0)),0,VLOOKUP(LOWER(F496)&amp;H496,Prices!A:C,2,0))</f>
        <v>9.66</v>
      </c>
      <c r="W496" s="13">
        <f t="shared" si="214"/>
        <v>765.25655999999969</v>
      </c>
      <c r="X496" s="13">
        <f t="shared" si="215"/>
        <v>66.000000000000199</v>
      </c>
      <c r="Y496" s="43">
        <f t="shared" si="216"/>
        <v>0.208403202614379</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15.69</v>
      </c>
      <c r="V497" s="13">
        <f>IF(ISNA(VLOOKUP(LOWER(F497)&amp;H497,Prices!A:C,2,0)),0,VLOOKUP(LOWER(F497)&amp;H497,Prices!A:C,2,0))</f>
        <v>15.77</v>
      </c>
      <c r="W497" s="13">
        <f t="shared" si="214"/>
        <v>1566.9522399999992</v>
      </c>
      <c r="X497" s="13">
        <f t="shared" si="215"/>
        <v>-32.000000000000028</v>
      </c>
      <c r="Y497" s="43">
        <f t="shared" si="216"/>
        <v>0.19865013184584168</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68.7</v>
      </c>
      <c r="V498" s="13">
        <f>IF(ISNA(VLOOKUP(LOWER(F498)&amp;H498,Prices!A:C,2,0)),0,VLOOKUP(LOWER(F498)&amp;H498,Prices!A:C,2,0))</f>
        <v>69.88</v>
      </c>
      <c r="W498" s="13">
        <f t="shared" si="214"/>
        <v>-1048.9499999999994</v>
      </c>
      <c r="X498" s="13">
        <f t="shared" si="215"/>
        <v>-117.99999999999926</v>
      </c>
      <c r="Y498" s="43">
        <f t="shared" si="216"/>
        <v>-0.17629411764705871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54.2</v>
      </c>
      <c r="V500" s="13">
        <f>IF(ISNA(VLOOKUP(LOWER(F500)&amp;H500,Prices!A:C,2,0)),0,VLOOKUP(LOWER(F500)&amp;H500,Prices!A:C,2,0))</f>
        <v>58.14</v>
      </c>
      <c r="W500" s="13">
        <f t="shared" si="214"/>
        <v>32134.799999999999</v>
      </c>
      <c r="X500" s="13">
        <f t="shared" si="215"/>
        <v>3939.9999999999977</v>
      </c>
      <c r="Y500" s="43">
        <f t="shared" si="216"/>
        <v>1.2359538461538462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54.2</v>
      </c>
      <c r="V501" s="13">
        <f>IF(ISNA(VLOOKUP(LOWER(F501)&amp;H501,Prices!A:C,2,0)),0,VLOOKUP(LOWER(F501)&amp;H501,Prices!A:C,2,0))</f>
        <v>58.14</v>
      </c>
      <c r="W501" s="13">
        <f t="shared" si="214"/>
        <v>32104.793999999998</v>
      </c>
      <c r="X501" s="13">
        <f t="shared" si="215"/>
        <v>3939.9999999999977</v>
      </c>
      <c r="Y501" s="43">
        <f t="shared" si="216"/>
        <v>1.2333766423357664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27.06</v>
      </c>
      <c r="V503" s="13">
        <f>IF(ISNA(VLOOKUP(LOWER(F503)&amp;H503,Prices!A:C,2,0)),0,VLOOKUP(LOWER(F503)&amp;H503,Prices!A:C,2,0))</f>
        <v>28.16</v>
      </c>
      <c r="W503" s="13">
        <f t="shared" si="214"/>
        <v>16611.265999999992</v>
      </c>
      <c r="X503" s="13">
        <f t="shared" si="215"/>
        <v>2200.0000000000027</v>
      </c>
      <c r="Y503" s="43">
        <f t="shared" si="216"/>
        <v>0.41841979848866478</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38.35</v>
      </c>
      <c r="V504" s="13">
        <f>IF(ISNA(VLOOKUP(LOWER(F504)&amp;H504,Prices!A:C,2,0)),0,VLOOKUP(LOWER(F504)&amp;H504,Prices!A:C,2,0))</f>
        <v>37.85</v>
      </c>
      <c r="W504" s="13">
        <f t="shared" si="214"/>
        <v>15615.000000000002</v>
      </c>
      <c r="X504" s="13">
        <f t="shared" si="215"/>
        <v>-500</v>
      </c>
      <c r="Y504" s="43">
        <f t="shared" si="216"/>
        <v>0.70242914979757098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27.06</v>
      </c>
      <c r="V505" s="13">
        <f>IF(ISNA(VLOOKUP(LOWER(F505)&amp;H505,Prices!A:C,2,0)),0,VLOOKUP(LOWER(F505)&amp;H505,Prices!A:C,2,0))</f>
        <v>28.16</v>
      </c>
      <c r="W505" s="13">
        <f>IF(I505="B",(V505+T505)*K505,(V505+T505)*K505)</f>
        <v>-16668.434000000005</v>
      </c>
      <c r="X505" s="13">
        <f>K505*(V505-U505)</f>
        <v>-2200.0000000000027</v>
      </c>
      <c r="Y505" s="43">
        <f>W505/O505</f>
        <v>-0.41985979848866511</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10.64</v>
      </c>
      <c r="V506" s="13">
        <f>IF(ISNA(VLOOKUP(LOWER(F506)&amp;H506,Prices!A:C,2,0)),0,VLOOKUP(LOWER(F506)&amp;H506,Prices!A:C,2,0))</f>
        <v>10.89</v>
      </c>
      <c r="W506" s="13">
        <f>IF(I506="B",(V506+T506)*K506,(V506+T506)*K506)</f>
        <v>-15927.54</v>
      </c>
      <c r="X506" s="13">
        <f>K506*(V506-U506)</f>
        <v>500</v>
      </c>
      <c r="Y506" s="43">
        <f>W506/O506</f>
        <v>-0.42248116710875333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38.35</v>
      </c>
      <c r="V508" s="13">
        <f>IF(ISNA(VLOOKUP(LOWER(F508)&amp;H508,Prices!A:C,2,0)),0,VLOOKUP(LOWER(F508)&amp;H508,Prices!A:C,2,0))</f>
        <v>37.85</v>
      </c>
      <c r="W508" s="13">
        <f>IF(I508="B",(V508+T508)*K508,(V508+T508)*K508)</f>
        <v>-15797.080000000005</v>
      </c>
      <c r="X508" s="13">
        <f>K508*(V508-U508)</f>
        <v>500</v>
      </c>
      <c r="Y508" s="43">
        <f>W508/O508</f>
        <v>-0.71544746376811619</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54.2</v>
      </c>
      <c r="V509" s="13">
        <f>IF(ISNA(VLOOKUP(LOWER(F509)&amp;H509,Prices!A:C,2,0)),0,VLOOKUP(LOWER(F509)&amp;H509,Prices!A:C,2,0))</f>
        <v>58.14</v>
      </c>
      <c r="W509" s="13">
        <f>IF(I509="B",(V509+T509)*K509,(V509+T509)*K509)</f>
        <v>-64222.544000000002</v>
      </c>
      <c r="X509" s="13">
        <f>K509*(V509-U509)</f>
        <v>-7879.9999999999955</v>
      </c>
      <c r="Y509" s="43">
        <f>W509/O509</f>
        <v>-1.2322053722179587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10.64</v>
      </c>
      <c r="V510" s="13">
        <f>IF(ISNA(VLOOKUP(LOWER(F510)&amp;H510,Prices!A:C,2,0)),0,VLOOKUP(LOWER(F510)&amp;H510,Prices!A:C,2,0))</f>
        <v>10.89</v>
      </c>
      <c r="W510" s="13">
        <f t="shared" ref="W510:W516" si="221">IF(I510="B",(V510+T510)*K510,(V510+T510)*K510)</f>
        <v>16374.160000000003</v>
      </c>
      <c r="X510" s="13">
        <f t="shared" ref="X510:X516" si="222">K510*(V510-U510)</f>
        <v>-500</v>
      </c>
      <c r="Y510" s="43">
        <f t="shared" ref="Y510:Y516" si="223">W510/O510</f>
        <v>0.42864293193717284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27.96</v>
      </c>
      <c r="V511" s="13">
        <f>IF(ISNA(VLOOKUP(LOWER(F511)&amp;H511,Prices!A:C,2,0)),0,VLOOKUP(LOWER(F511)&amp;H511,Prices!A:C,2,0))</f>
        <v>28.55</v>
      </c>
      <c r="W511" s="13">
        <f t="shared" si="221"/>
        <v>42079.869999999995</v>
      </c>
      <c r="X511" s="13">
        <f t="shared" si="222"/>
        <v>2949.9999999999991</v>
      </c>
      <c r="Y511" s="43">
        <f t="shared" si="223"/>
        <v>0.41808117237953296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27.96</v>
      </c>
      <c r="V512" s="13">
        <f>IF(ISNA(VLOOKUP(LOWER(F512)&amp;H512,Prices!A:C,2,0)),0,VLOOKUP(LOWER(F512)&amp;H512,Prices!A:C,2,0))</f>
        <v>28.55</v>
      </c>
      <c r="W512" s="13">
        <f t="shared" si="221"/>
        <v>25097.892000000003</v>
      </c>
      <c r="X512" s="13">
        <f t="shared" si="222"/>
        <v>1769.9999999999995</v>
      </c>
      <c r="Y512" s="43">
        <f t="shared" si="223"/>
        <v>0.41456709613478698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6.13</v>
      </c>
      <c r="V514" s="13">
        <f>IF(ISNA(VLOOKUP(LOWER(F514)&amp;H514,Prices!A:C,2,0)),0,VLOOKUP(LOWER(F514)&amp;H514,Prices!A:C,2,0))</f>
        <v>6.27</v>
      </c>
      <c r="W514" s="13">
        <f t="shared" si="221"/>
        <v>-925.26920000000064</v>
      </c>
      <c r="X514" s="13">
        <f t="shared" si="222"/>
        <v>279.99999999999937</v>
      </c>
      <c r="Y514" s="43">
        <f t="shared" si="223"/>
        <v>-6.8742139673105551E-2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6.13</v>
      </c>
      <c r="V515" s="13">
        <f>IF(ISNA(VLOOKUP(LOWER(F515)&amp;H515,Prices!A:C,2,0)),0,VLOOKUP(LOWER(F515)&amp;H515,Prices!A:C,2,0))</f>
        <v>6.27</v>
      </c>
      <c r="W515" s="13">
        <f t="shared" si="221"/>
        <v>-785.26640000000111</v>
      </c>
      <c r="X515" s="13">
        <f t="shared" si="222"/>
        <v>279.99999999999937</v>
      </c>
      <c r="Y515" s="43">
        <f t="shared" si="223"/>
        <v>-5.895393393393402E-2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6.72</v>
      </c>
      <c r="V516" s="13">
        <f>IF(ISNA(VLOOKUP(LOWER(F516)&amp;H516,Prices!A:C,2,0)),0,VLOOKUP(LOWER(F516)&amp;H516,Prices!A:C,2,0))</f>
        <v>6.64</v>
      </c>
      <c r="W516" s="13">
        <f t="shared" si="221"/>
        <v>-22148.411999999997</v>
      </c>
      <c r="X516" s="13">
        <f t="shared" si="222"/>
        <v>-240.00000000000023</v>
      </c>
      <c r="Y516" s="43">
        <f t="shared" si="223"/>
        <v>-0.52659087018544926</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6.13</v>
      </c>
      <c r="V518" s="13">
        <f>IF(ISNA(VLOOKUP(LOWER(F518)&amp;H518,Prices!A:C,2,0)),0,VLOOKUP(LOWER(F518)&amp;H518,Prices!A:C,2,0))</f>
        <v>6.27</v>
      </c>
      <c r="W518" s="13">
        <f t="shared" si="231"/>
        <v>2046.8648000000017</v>
      </c>
      <c r="X518" s="13">
        <f t="shared" si="232"/>
        <v>-559.99999999999875</v>
      </c>
      <c r="Y518" s="43">
        <f t="shared" si="233"/>
        <v>7.5363210603829223E-2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27.96</v>
      </c>
      <c r="V519" s="13">
        <f>IF(ISNA(VLOOKUP(LOWER(F519)&amp;H519,Prices!A:C,2,0)),0,VLOOKUP(LOWER(F519)&amp;H519,Prices!A:C,2,0))</f>
        <v>28.55</v>
      </c>
      <c r="W519" s="13">
        <f t="shared" si="231"/>
        <v>-33896.479999999996</v>
      </c>
      <c r="X519" s="13">
        <f t="shared" si="232"/>
        <v>-2359.9999999999995</v>
      </c>
      <c r="Y519" s="43">
        <f t="shared" si="233"/>
        <v>-0.42159800995024871</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41.28</v>
      </c>
      <c r="V520" s="13">
        <f>IF(ISNA(VLOOKUP(LOWER(F520)&amp;H520,Prices!A:C,2,0)),0,VLOOKUP(LOWER(F520)&amp;H520,Prices!A:C,2,0))</f>
        <v>43.47</v>
      </c>
      <c r="W520" s="13">
        <f t="shared" si="231"/>
        <v>-1539.0000000000014</v>
      </c>
      <c r="X520" s="13">
        <f t="shared" si="232"/>
        <v>2189.9999999999977</v>
      </c>
      <c r="Y520" s="43">
        <f t="shared" si="233"/>
        <v>-3.4200000000000029E-2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17.399999999999999</v>
      </c>
      <c r="V521" s="13">
        <f>IF(ISNA(VLOOKUP(LOWER(F521)&amp;H521,Prices!A:C,2,0)),0,VLOOKUP(LOWER(F521)&amp;H521,Prices!A:C,2,0))</f>
        <v>17.059999999999999</v>
      </c>
      <c r="W521" s="13">
        <f t="shared" si="231"/>
        <v>-9745.3600000000024</v>
      </c>
      <c r="X521" s="13">
        <f t="shared" si="232"/>
        <v>-339.99999999999989</v>
      </c>
      <c r="Y521" s="43">
        <f t="shared" si="233"/>
        <v>-0.36363283582089562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41.28</v>
      </c>
      <c r="V522" s="13">
        <f>IF(ISNA(VLOOKUP(LOWER(F522)&amp;H522,Prices!A:C,2,0)),0,VLOOKUP(LOWER(F522)&amp;H522,Prices!A:C,2,0))</f>
        <v>43.47</v>
      </c>
      <c r="W522" s="13">
        <f t="shared" si="231"/>
        <v>-1478.9880000000012</v>
      </c>
      <c r="X522" s="13">
        <f t="shared" si="232"/>
        <v>2189.9999999999977</v>
      </c>
      <c r="Y522" s="43">
        <f t="shared" si="233"/>
        <v>-3.2910280373831799E-2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17.399999999999999</v>
      </c>
      <c r="V523" s="13">
        <f>IF(ISNA(VLOOKUP(LOWER(F523)&amp;H523,Prices!A:C,2,0)),0,VLOOKUP(LOWER(F523)&amp;H523,Prices!A:C,2,0))</f>
        <v>17.059999999999999</v>
      </c>
      <c r="W523" s="13">
        <f t="shared" si="231"/>
        <v>-9525.3160000000007</v>
      </c>
      <c r="X523" s="13">
        <f t="shared" si="232"/>
        <v>-339.99999999999989</v>
      </c>
      <c r="Y523" s="43">
        <f t="shared" si="233"/>
        <v>-0.35836403310759973</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41.28</v>
      </c>
      <c r="V524" s="13">
        <f>IF(ISNA(VLOOKUP(LOWER(F524)&amp;H524,Prices!A:C,2,0)),0,VLOOKUP(LOWER(F524)&amp;H524,Prices!A:C,2,0))</f>
        <v>43.47</v>
      </c>
      <c r="W524" s="13">
        <f t="shared" si="231"/>
        <v>-1659.0240000000022</v>
      </c>
      <c r="X524" s="13">
        <f t="shared" si="232"/>
        <v>2189.9999999999977</v>
      </c>
      <c r="Y524" s="43">
        <f t="shared" si="233"/>
        <v>-3.6769148936170261E-2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17.399999999999999</v>
      </c>
      <c r="V525" s="13">
        <f>IF(ISNA(VLOOKUP(LOWER(F525)&amp;H525,Prices!A:C,2,0)),0,VLOOKUP(LOWER(F525)&amp;H525,Prices!A:C,2,0))</f>
        <v>17.059999999999999</v>
      </c>
      <c r="W525" s="13">
        <f t="shared" si="231"/>
        <v>-9405.2920000000031</v>
      </c>
      <c r="X525" s="13">
        <f t="shared" si="232"/>
        <v>-339.99999999999989</v>
      </c>
      <c r="Y525" s="43">
        <f t="shared" si="233"/>
        <v>-0.35545321239606964</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23.22</v>
      </c>
      <c r="V526" s="13">
        <f>IF(ISNA(VLOOKUP(LOWER(F526)&amp;H526,Prices!A:C,2,0)),0,VLOOKUP(LOWER(F526)&amp;H526,Prices!A:C,2,0))</f>
        <v>23.84</v>
      </c>
      <c r="W526" s="13">
        <f t="shared" si="231"/>
        <v>5610.7468000000008</v>
      </c>
      <c r="X526" s="13">
        <f t="shared" si="232"/>
        <v>1240.000000000002</v>
      </c>
      <c r="Y526" s="43">
        <f t="shared" si="233"/>
        <v>0.13339864003804092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23.22</v>
      </c>
      <c r="V527" s="13">
        <f>IF(ISNA(VLOOKUP(LOWER(F527)&amp;H527,Prices!A:C,2,0)),0,VLOOKUP(LOWER(F527)&amp;H527,Prices!A:C,2,0))</f>
        <v>23.84</v>
      </c>
      <c r="W527" s="13">
        <f t="shared" si="231"/>
        <v>5510.7247999999981</v>
      </c>
      <c r="X527" s="13">
        <f t="shared" si="232"/>
        <v>1240.000000000002</v>
      </c>
      <c r="Y527" s="43">
        <f t="shared" si="233"/>
        <v>0.13070979127134721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6.72</v>
      </c>
      <c r="V528" s="13">
        <f>IF(ISNA(VLOOKUP(LOWER(F528)&amp;H528,Prices!A:C,2,0)),0,VLOOKUP(LOWER(F528)&amp;H528,Prices!A:C,2,0))</f>
        <v>6.64</v>
      </c>
      <c r="W528" s="13">
        <f t="shared" si="231"/>
        <v>21580.14</v>
      </c>
      <c r="X528" s="13">
        <f t="shared" si="232"/>
        <v>240.00000000000023</v>
      </c>
      <c r="Y528" s="43">
        <f t="shared" si="233"/>
        <v>0.51937761732851984</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27.96</v>
      </c>
      <c r="V529" s="13">
        <f>IF(ISNA(VLOOKUP(LOWER(F529)&amp;H529,Prices!A:C,2,0)),0,VLOOKUP(LOWER(F529)&amp;H529,Prices!A:C,2,0))</f>
        <v>28.55</v>
      </c>
      <c r="W529" s="13">
        <f t="shared" si="231"/>
        <v>-35214.896000000008</v>
      </c>
      <c r="X529" s="13">
        <f t="shared" si="232"/>
        <v>-2359.9999999999995</v>
      </c>
      <c r="Y529" s="43">
        <f t="shared" si="233"/>
        <v>-0.44530723318158838</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23.22</v>
      </c>
      <c r="V530" s="13">
        <f>IF(ISNA(VLOOKUP(LOWER(F530)&amp;H530,Prices!A:C,2,0)),0,VLOOKUP(LOWER(F530)&amp;H530,Prices!A:C,2,0))</f>
        <v>23.84</v>
      </c>
      <c r="W530" s="13">
        <f t="shared" ref="W530:W532" si="239">IF(I530="B",(V530+T530)*K530,(V530+T530)*K530)</f>
        <v>-12581.11360000001</v>
      </c>
      <c r="X530" s="13">
        <f t="shared" ref="X530:X532" si="240">K530*(V530-U530)</f>
        <v>-2480.0000000000041</v>
      </c>
      <c r="Y530" s="43">
        <f t="shared" ref="Y530:Y532" si="241">W530/O530</f>
        <v>-0.15179915057915069</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17.399999999999999</v>
      </c>
      <c r="V531" s="13">
        <f>IF(ISNA(VLOOKUP(LOWER(F531)&amp;H531,Prices!A:C,2,0)),0,VLOOKUP(LOWER(F531)&amp;H531,Prices!A:C,2,0))</f>
        <v>17.059999999999999</v>
      </c>
      <c r="W531" s="13">
        <f t="shared" si="239"/>
        <v>27265.752000000015</v>
      </c>
      <c r="X531" s="13">
        <f t="shared" si="240"/>
        <v>1019.9999999999995</v>
      </c>
      <c r="Y531" s="43">
        <f t="shared" si="241"/>
        <v>0.34715752482811324</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41.28</v>
      </c>
      <c r="V532" s="13">
        <f>IF(ISNA(VLOOKUP(LOWER(F532)&amp;H532,Prices!A:C,2,0)),0,VLOOKUP(LOWER(F532)&amp;H532,Prices!A:C,2,0))</f>
        <v>43.47</v>
      </c>
      <c r="W532" s="13">
        <f t="shared" si="239"/>
        <v>-11033.423999999975</v>
      </c>
      <c r="X532" s="13">
        <f t="shared" si="240"/>
        <v>-6569.9999999999927</v>
      </c>
      <c r="Y532" s="43">
        <f t="shared" si="241"/>
        <v>-9.2314457831325081E-2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11.75</v>
      </c>
      <c r="W533" s="13">
        <f t="shared" ref="W533:W554" si="246">IF(I533="B",(V533+T533)*K533,(V533+T533)*K533)</f>
        <v>-11139.275999999998</v>
      </c>
      <c r="X533" s="13">
        <f t="shared" ref="X533:X554" si="247">K533*(V533-U533)</f>
        <v>660.00000000000193</v>
      </c>
      <c r="Y533" s="43">
        <f t="shared" ref="Y533:Y554" si="248">W533/O533</f>
        <v>-0.24017412677878391</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11.75</v>
      </c>
      <c r="W534" s="13">
        <f t="shared" si="246"/>
        <v>-11139.275999999998</v>
      </c>
      <c r="X534" s="13">
        <f t="shared" si="247"/>
        <v>660.00000000000193</v>
      </c>
      <c r="Y534" s="43">
        <f t="shared" si="248"/>
        <v>-0.24017412677878391</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v>
      </c>
      <c r="V535" s="13">
        <f>IF(ISNA(VLOOKUP(LOWER(F535)&amp;H535,Prices!A:C,2,0)),0,VLOOKUP(LOWER(F535)&amp;H535,Prices!A:C,2,0))</f>
        <v>26.8</v>
      </c>
      <c r="W535" s="13">
        <f t="shared" si="246"/>
        <v>-3646.8059999999909</v>
      </c>
      <c r="X535" s="13">
        <f t="shared" si="247"/>
        <v>0</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v>
      </c>
      <c r="V536" s="13">
        <f>IF(ISNA(VLOOKUP(LOWER(F536)&amp;H536,Prices!A:C,2,0)),0,VLOOKUP(LOWER(F536)&amp;H536,Prices!A:C,2,0))</f>
        <v>26.8</v>
      </c>
      <c r="W536" s="13">
        <f t="shared" si="246"/>
        <v>-2631.2439999999951</v>
      </c>
      <c r="X536" s="13">
        <f t="shared" si="247"/>
        <v>0</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v>
      </c>
      <c r="V537" s="13">
        <f>IF(ISNA(VLOOKUP(LOWER(F537)&amp;H537,Prices!A:C,2,0)),0,VLOOKUP(LOWER(F537)&amp;H537,Prices!A:C,2,0))</f>
        <v>26.8</v>
      </c>
      <c r="W537" s="13">
        <f t="shared" si="246"/>
        <v>-1255.6100000000008</v>
      </c>
      <c r="X537" s="13">
        <f t="shared" si="247"/>
        <v>0</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11.75</v>
      </c>
      <c r="W538" s="13">
        <f t="shared" si="246"/>
        <v>-7046.1080000000002</v>
      </c>
      <c r="X538" s="13">
        <f t="shared" si="247"/>
        <v>440.00000000000125</v>
      </c>
      <c r="Y538" s="43">
        <f t="shared" si="248"/>
        <v>-0.23071735428945644</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11.75</v>
      </c>
      <c r="W539" s="13">
        <f t="shared" si="246"/>
        <v>-7106.1200000000008</v>
      </c>
      <c r="X539" s="13">
        <f t="shared" si="247"/>
        <v>440.00000000000125</v>
      </c>
      <c r="Y539" s="43">
        <f t="shared" si="248"/>
        <v>-0.23222614379084969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25.88</v>
      </c>
      <c r="V540" s="13">
        <f>IF(ISNA(VLOOKUP(LOWER(F540)&amp;H540,Prices!A:C,2,0)),0,VLOOKUP(LOWER(F540)&amp;H540,Prices!A:C,2,0))</f>
        <v>25.86</v>
      </c>
      <c r="W540" s="13">
        <f t="shared" si="246"/>
        <v>27077.516</v>
      </c>
      <c r="X540" s="13">
        <f t="shared" si="247"/>
        <v>-99.999999999997868</v>
      </c>
      <c r="Y540" s="43">
        <f t="shared" si="248"/>
        <v>0.26494634050880628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10.64</v>
      </c>
      <c r="V541" s="13">
        <f>IF(ISNA(VLOOKUP(LOWER(F541)&amp;H541,Prices!A:C,2,0)),0,VLOOKUP(LOWER(F541)&amp;H541,Prices!A:C,2,0))</f>
        <v>10.89</v>
      </c>
      <c r="W541" s="13">
        <f t="shared" si="246"/>
        <v>-24131.358000000004</v>
      </c>
      <c r="X541" s="13">
        <f t="shared" si="247"/>
        <v>750</v>
      </c>
      <c r="Y541" s="43">
        <f t="shared" si="248"/>
        <v>-0.42492266244057059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6.31</v>
      </c>
      <c r="V542" s="13">
        <f>IF(ISNA(VLOOKUP(LOWER(F542)&amp;H542,Prices!A:C,2,0)),0,VLOOKUP(LOWER(F542)&amp;H542,Prices!A:C,2,0))</f>
        <v>6.27</v>
      </c>
      <c r="W542" s="13">
        <f t="shared" si="246"/>
        <v>2274.9999999999986</v>
      </c>
      <c r="X542" s="13">
        <f t="shared" si="247"/>
        <v>-120.00000000000011</v>
      </c>
      <c r="Y542" s="43">
        <f t="shared" si="248"/>
        <v>0.13762855414398056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10.64</v>
      </c>
      <c r="V543" s="13">
        <f>IF(ISNA(VLOOKUP(LOWER(F543)&amp;H543,Prices!A:C,2,0)),0,VLOOKUP(LOWER(F543)&amp;H543,Prices!A:C,2,0))</f>
        <v>10.89</v>
      </c>
      <c r="W543" s="13">
        <f t="shared" si="246"/>
        <v>-24161.364000000001</v>
      </c>
      <c r="X543" s="13">
        <f t="shared" si="247"/>
        <v>750</v>
      </c>
      <c r="Y543" s="43">
        <f t="shared" si="248"/>
        <v>-0.42522639915522703</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10.64</v>
      </c>
      <c r="V544" s="13">
        <f>IF(ISNA(VLOOKUP(LOWER(F544)&amp;H544,Prices!A:C,2,0)),0,VLOOKUP(LOWER(F544)&amp;H544,Prices!A:C,2,0))</f>
        <v>10.89</v>
      </c>
      <c r="W544" s="13">
        <f t="shared" si="246"/>
        <v>-7794.9999999999982</v>
      </c>
      <c r="X544" s="13">
        <f t="shared" si="247"/>
        <v>250</v>
      </c>
      <c r="Y544" s="43">
        <f t="shared" si="248"/>
        <v>-0.41729122055674506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8.84</v>
      </c>
      <c r="V545" s="13">
        <f>IF(ISNA(VLOOKUP(LOWER(F545)&amp;H545,Prices!A:C,2,0)),0,VLOOKUP(LOWER(F545)&amp;H545,Prices!A:C,2,0))</f>
        <v>8.67</v>
      </c>
      <c r="W545" s="13">
        <f t="shared" si="246"/>
        <v>17984.885999999999</v>
      </c>
      <c r="X545" s="13">
        <f t="shared" si="247"/>
        <v>-1699.9999999999993</v>
      </c>
      <c r="Y545" s="43">
        <f t="shared" si="248"/>
        <v>0.26178873362445415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8.84</v>
      </c>
      <c r="V546" s="13">
        <f>IF(ISNA(VLOOKUP(LOWER(F546)&amp;H546,Prices!A:C,2,0)),0,VLOOKUP(LOWER(F546)&amp;H546,Prices!A:C,2,0))</f>
        <v>8.67</v>
      </c>
      <c r="W546" s="13">
        <f t="shared" si="246"/>
        <v>18785.062000000002</v>
      </c>
      <c r="X546" s="13">
        <f t="shared" si="247"/>
        <v>-1699.9999999999993</v>
      </c>
      <c r="Y546" s="43">
        <f t="shared" si="248"/>
        <v>0.27665776141384391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8.84</v>
      </c>
      <c r="V547" s="13">
        <f>IF(ISNA(VLOOKUP(LOWER(F547)&amp;H547,Prices!A:C,2,0)),0,VLOOKUP(LOWER(F547)&amp;H547,Prices!A:C,2,0))</f>
        <v>8.67</v>
      </c>
      <c r="W547" s="13">
        <f t="shared" si="246"/>
        <v>3794.7291999999989</v>
      </c>
      <c r="X547" s="13">
        <f t="shared" si="247"/>
        <v>-339.99999999999989</v>
      </c>
      <c r="Y547" s="43">
        <f t="shared" si="248"/>
        <v>0.28026064992614469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11.75</v>
      </c>
      <c r="W548" s="13">
        <f t="shared" si="246"/>
        <v>-3455</v>
      </c>
      <c r="X548" s="13">
        <f t="shared" si="247"/>
        <v>220.00000000000063</v>
      </c>
      <c r="Y548" s="43">
        <f t="shared" si="248"/>
        <v>-0.22730263157894737</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8.84</v>
      </c>
      <c r="V549" s="13">
        <f>IF(ISNA(VLOOKUP(LOWER(F549)&amp;H549,Prices!A:C,2,0)),0,VLOOKUP(LOWER(F549)&amp;H549,Prices!A:C,2,0))</f>
        <v>8.67</v>
      </c>
      <c r="W549" s="13">
        <f t="shared" si="246"/>
        <v>3974.7327999999998</v>
      </c>
      <c r="X549" s="13">
        <f t="shared" si="247"/>
        <v>-339.99999999999989</v>
      </c>
      <c r="Y549" s="43">
        <f t="shared" si="248"/>
        <v>0.29750994011976045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11.75</v>
      </c>
      <c r="W550" s="13">
        <f t="shared" si="246"/>
        <v>-6566.011999999997</v>
      </c>
      <c r="X550" s="13">
        <f t="shared" si="247"/>
        <v>440.00000000000125</v>
      </c>
      <c r="Y550" s="43">
        <f t="shared" si="248"/>
        <v>-0.21843020625415824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25.88</v>
      </c>
      <c r="V551" s="13">
        <f>IF(ISNA(VLOOKUP(LOWER(F551)&amp;H551,Prices!A:C,2,0)),0,VLOOKUP(LOWER(F551)&amp;H551,Prices!A:C,2,0))</f>
        <v>25.86</v>
      </c>
      <c r="W551" s="13">
        <f t="shared" si="246"/>
        <v>11171.081199999997</v>
      </c>
      <c r="X551" s="13">
        <f t="shared" si="247"/>
        <v>-39.999999999999147</v>
      </c>
      <c r="Y551" s="43">
        <f t="shared" si="248"/>
        <v>0.27555701036013808</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8.84</v>
      </c>
      <c r="V552" s="13">
        <f>IF(ISNA(VLOOKUP(LOWER(F552)&amp;H552,Prices!A:C,2,0)),0,VLOOKUP(LOWER(F552)&amp;H552,Prices!A:C,2,0))</f>
        <v>8.67</v>
      </c>
      <c r="W552" s="13">
        <f t="shared" si="246"/>
        <v>3914.7315999999996</v>
      </c>
      <c r="X552" s="13">
        <f t="shared" si="247"/>
        <v>-339.99999999999989</v>
      </c>
      <c r="Y552" s="43">
        <f t="shared" si="248"/>
        <v>0.29170876304023841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4.92</v>
      </c>
      <c r="V553" s="13">
        <f>IF(ISNA(VLOOKUP(LOWER(F553)&amp;H553,Prices!A:C,2,0)),0,VLOOKUP(LOWER(F553)&amp;H553,Prices!A:C,2,0))</f>
        <v>5</v>
      </c>
      <c r="W553" s="13">
        <f t="shared" si="246"/>
        <v>-515.00000000000057</v>
      </c>
      <c r="X553" s="13">
        <f t="shared" si="247"/>
        <v>240.00000000000023</v>
      </c>
      <c r="Y553" s="43">
        <f t="shared" si="248"/>
        <v>-3.3204384268214093E-2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8.84</v>
      </c>
      <c r="V554" s="13">
        <f>IF(ISNA(VLOOKUP(LOWER(F554)&amp;H554,Prices!A:C,2,0)),0,VLOOKUP(LOWER(F554)&amp;H554,Prices!A:C,2,0))</f>
        <v>8.67</v>
      </c>
      <c r="W554" s="13">
        <f t="shared" si="246"/>
        <v>3814.7295999999997</v>
      </c>
      <c r="X554" s="13">
        <f t="shared" si="247"/>
        <v>-339.99999999999989</v>
      </c>
      <c r="Y554" s="43">
        <f t="shared" si="248"/>
        <v>0.28215455621301772</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4.92</v>
      </c>
      <c r="V555" s="13">
        <f>IF(ISNA(VLOOKUP(LOWER(F555)&amp;H555,Prices!A:C,2,0)),0,VLOOKUP(LOWER(F555)&amp;H555,Prices!A:C,2,0))</f>
        <v>5</v>
      </c>
      <c r="W555" s="13">
        <f t="shared" ref="W555:W561" si="253">IF(I555="B",(V555+T555)*K555,(V555+T555)*K555)</f>
        <v>-709.3100000000012</v>
      </c>
      <c r="X555" s="13">
        <f t="shared" ref="X555:X561" si="254">K555*(V555-U555)</f>
        <v>-240.00000000000023</v>
      </c>
      <c r="Y555" s="43">
        <f t="shared" ref="Y555:Y561" si="255">W555/O555</f>
        <v>-4.9567435359888279E-2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11.75</v>
      </c>
      <c r="W556" s="13">
        <f t="shared" si="253"/>
        <v>30849.416000000005</v>
      </c>
      <c r="X556" s="13">
        <f t="shared" si="254"/>
        <v>-2860.0000000000082</v>
      </c>
      <c r="Y556" s="43">
        <f t="shared" si="255"/>
        <v>0.16782404526166905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8.84</v>
      </c>
      <c r="V557" s="13">
        <f>IF(ISNA(VLOOKUP(LOWER(F557)&amp;H557,Prices!A:C,2,0)),0,VLOOKUP(LOWER(F557)&amp;H557,Prices!A:C,2,0))</f>
        <v>8.67</v>
      </c>
      <c r="W557" s="13">
        <f t="shared" si="253"/>
        <v>-51193.995999999985</v>
      </c>
      <c r="X557" s="13">
        <f t="shared" si="254"/>
        <v>4759.9999999999982</v>
      </c>
      <c r="Y557" s="43">
        <f t="shared" si="255"/>
        <v>-0.26691343065693424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6.31</v>
      </c>
      <c r="V558" s="13">
        <f>IF(ISNA(VLOOKUP(LOWER(F558)&amp;H558,Prices!A:C,2,0)),0,VLOOKUP(LOWER(F558)&amp;H558,Prices!A:C,2,0))</f>
        <v>6.27</v>
      </c>
      <c r="W558" s="13">
        <f t="shared" si="253"/>
        <v>-2331.4999999999982</v>
      </c>
      <c r="X558" s="13">
        <f t="shared" si="254"/>
        <v>120.00000000000011</v>
      </c>
      <c r="Y558" s="43">
        <f t="shared" si="255"/>
        <v>-0.14130303030303018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10.64</v>
      </c>
      <c r="V559" s="13">
        <f>IF(ISNA(VLOOKUP(LOWER(F559)&amp;H559,Prices!A:C,2,0)),0,VLOOKUP(LOWER(F559)&amp;H559,Prices!A:C,2,0))</f>
        <v>10.89</v>
      </c>
      <c r="W559" s="13">
        <f t="shared" si="253"/>
        <v>51716.28</v>
      </c>
      <c r="X559" s="13">
        <f t="shared" si="254"/>
        <v>-1750</v>
      </c>
      <c r="Y559" s="43">
        <f t="shared" si="255"/>
        <v>0.40371803278688523</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v>
      </c>
      <c r="V560" s="13">
        <f>IF(ISNA(VLOOKUP(LOWER(F560)&amp;H560,Prices!A:C,2,0)),0,VLOOKUP(LOWER(F560)&amp;H560,Prices!A:C,2,0))</f>
        <v>26.8</v>
      </c>
      <c r="W560" s="13">
        <f t="shared" si="253"/>
        <v>5620.0560000000123</v>
      </c>
      <c r="X560" s="13">
        <f t="shared" si="254"/>
        <v>0</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25.88</v>
      </c>
      <c r="V561" s="13">
        <f>IF(ISNA(VLOOKUP(LOWER(F561)&amp;H561,Prices!A:C,2,0)),0,VLOOKUP(LOWER(F561)&amp;H561,Prices!A:C,2,0))</f>
        <v>25.86</v>
      </c>
      <c r="W561" s="13">
        <f t="shared" si="253"/>
        <v>-40072.166399999973</v>
      </c>
      <c r="X561" s="13">
        <f t="shared" si="254"/>
        <v>139.99999999999702</v>
      </c>
      <c r="Y561" s="43">
        <f t="shared" si="255"/>
        <v>-0.28395809523809507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6.13</v>
      </c>
      <c r="V563" s="13">
        <f>IF(ISNA(VLOOKUP(LOWER(F563)&amp;H563,Prices!A:C,2,0)),0,VLOOKUP(LOWER(F563)&amp;H563,Prices!A:C,2,0))</f>
        <v>6.09</v>
      </c>
      <c r="W563" s="13">
        <f t="shared" ref="W563" si="260">IF(I563="B",(V563+T563)*K563,(V563+T563)*K563)</f>
        <v>3093.9829999999979</v>
      </c>
      <c r="X563" s="13">
        <f t="shared" ref="X563" si="261">K563*(V563-U563)</f>
        <v>-200.00000000000017</v>
      </c>
      <c r="Y563" s="43">
        <f t="shared" ref="Y563" si="262">W563/O563</f>
        <v>0.11312552102376593</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10.64</v>
      </c>
      <c r="W564" s="13">
        <f t="shared" ref="W564:W575" si="267">IF(I564="B",(V564+T564)*K564,(V564+T564)*K564)</f>
        <v>495.00000000000102</v>
      </c>
      <c r="X564" s="13">
        <f t="shared" ref="X564:X575" si="268">K564*(V564-U564)</f>
        <v>780.00000000000114</v>
      </c>
      <c r="Y564" s="43">
        <f t="shared" ref="Y564:Y575" si="269">W564/O564</f>
        <v>2.3820981713185804E-2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29.09</v>
      </c>
      <c r="V565" s="13">
        <f>IF(ISNA(VLOOKUP(LOWER(F565)&amp;H565,Prices!A:C,2,0)),0,VLOOKUP(LOWER(F565)&amp;H565,Prices!A:C,2,0))</f>
        <v>31.1</v>
      </c>
      <c r="W565" s="13">
        <f t="shared" si="267"/>
        <v>18309.332999999999</v>
      </c>
      <c r="X565" s="13">
        <f t="shared" si="268"/>
        <v>3015.0000000000023</v>
      </c>
      <c r="Y565" s="43">
        <f t="shared" si="269"/>
        <v>0.64617374272101635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27.85</v>
      </c>
      <c r="V566" s="13">
        <f>IF(ISNA(VLOOKUP(LOWER(F566)&amp;H566,Prices!A:C,2,0)),0,VLOOKUP(LOWER(F566)&amp;H566,Prices!A:C,2,0))</f>
        <v>27.58</v>
      </c>
      <c r="W566" s="13">
        <f t="shared" si="267"/>
        <v>-2237.3756000000012</v>
      </c>
      <c r="X566" s="13">
        <f t="shared" si="268"/>
        <v>-162.00000000000188</v>
      </c>
      <c r="Y566" s="43">
        <f t="shared" si="269"/>
        <v>-0.11913608093716727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10.64</v>
      </c>
      <c r="W567" s="13">
        <f t="shared" si="267"/>
        <v>415.00000000000091</v>
      </c>
      <c r="X567" s="13">
        <f t="shared" si="268"/>
        <v>585.00000000000091</v>
      </c>
      <c r="Y567" s="43">
        <f t="shared" si="269"/>
        <v>2.6705276705276764E-2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29.09</v>
      </c>
      <c r="V568" s="13">
        <f>IF(ISNA(VLOOKUP(LOWER(F568)&amp;H568,Prices!A:C,2,0)),0,VLOOKUP(LOWER(F568)&amp;H568,Prices!A:C,2,0))</f>
        <v>31.1</v>
      </c>
      <c r="W568" s="13">
        <f t="shared" si="267"/>
        <v>12105</v>
      </c>
      <c r="X568" s="13">
        <f t="shared" si="268"/>
        <v>2010.0000000000016</v>
      </c>
      <c r="Y568" s="43">
        <f t="shared" si="269"/>
        <v>0.63744075829383884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69.010000000000005</v>
      </c>
      <c r="V569" s="13">
        <f>IF(ISNA(VLOOKUP(LOWER(F569)&amp;H569,Prices!A:C,2,0)),0,VLOOKUP(LOWER(F569)&amp;H569,Prices!A:C,2,0))</f>
        <v>68.489999999999995</v>
      </c>
      <c r="W569" s="13">
        <f t="shared" si="267"/>
        <v>34233.149999999994</v>
      </c>
      <c r="X569" s="13">
        <f t="shared" si="268"/>
        <v>-520.00000000001023</v>
      </c>
      <c r="Y569" s="43">
        <f t="shared" si="269"/>
        <v>0.99950802919708015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69.010000000000005</v>
      </c>
      <c r="V570" s="13">
        <f>IF(ISNA(VLOOKUP(LOWER(F570)&amp;H570,Prices!A:C,2,0)),0,VLOOKUP(LOWER(F570)&amp;H570,Prices!A:C,2,0))</f>
        <v>68.489999999999995</v>
      </c>
      <c r="W570" s="13">
        <f t="shared" si="267"/>
        <v>34213.145999999993</v>
      </c>
      <c r="X570" s="13">
        <f t="shared" si="268"/>
        <v>-520.00000000001023</v>
      </c>
      <c r="Y570" s="43">
        <f t="shared" si="269"/>
        <v>0.99834099795739695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17.52</v>
      </c>
      <c r="V571" s="13">
        <f>IF(ISNA(VLOOKUP(LOWER(F571)&amp;H571,Prices!A:C,2,0)),0,VLOOKUP(LOWER(F571)&amp;H571,Prices!A:C,2,0))</f>
        <v>17.190000000000001</v>
      </c>
      <c r="W571" s="13">
        <f t="shared" si="267"/>
        <v>-23911.655999999999</v>
      </c>
      <c r="X571" s="13">
        <f t="shared" si="268"/>
        <v>-659.99999999999659</v>
      </c>
      <c r="Y571" s="43">
        <f t="shared" si="269"/>
        <v>-0.41028922443376797</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690.25</v>
      </c>
      <c r="V572" s="13">
        <f>IF(ISNA(VLOOKUP(LOWER(F572)&amp;H572,Prices!A:C,2,0)),0,VLOOKUP(LOWER(F572)&amp;H572,Prices!A:C,2,0))</f>
        <v>679.15</v>
      </c>
      <c r="W572" s="13">
        <f t="shared" si="267"/>
        <v>32684.250939999998</v>
      </c>
      <c r="X572" s="13">
        <f t="shared" si="268"/>
        <v>-1110.0000000000023</v>
      </c>
      <c r="Y572" s="43">
        <f t="shared" si="269"/>
        <v>0.92792354257161513</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101.81</v>
      </c>
      <c r="V573" s="13">
        <f>IF(ISNA(VLOOKUP(LOWER(F573)&amp;H573,Prices!A:C,2,0)),0,VLOOKUP(LOWER(F573)&amp;H573,Prices!A:C,2,0))</f>
        <v>101.32</v>
      </c>
      <c r="W573" s="13">
        <f t="shared" si="267"/>
        <v>10930.0816</v>
      </c>
      <c r="X573" s="13">
        <f t="shared" si="268"/>
        <v>-196.00000000000364</v>
      </c>
      <c r="Y573" s="43">
        <f t="shared" si="269"/>
        <v>0.36935934036226004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690.25</v>
      </c>
      <c r="V574" s="13">
        <f>IF(ISNA(VLOOKUP(LOWER(F574)&amp;H574,Prices!A:C,2,0)),0,VLOOKUP(LOWER(F574)&amp;H574,Prices!A:C,2,0))</f>
        <v>679.15</v>
      </c>
      <c r="W574" s="13">
        <f t="shared" si="267"/>
        <v>32893.296920000001</v>
      </c>
      <c r="X574" s="13">
        <f t="shared" si="268"/>
        <v>-1110.0000000000023</v>
      </c>
      <c r="Y574" s="43">
        <f t="shared" si="269"/>
        <v>0.93943271034443365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16.510000000000002</v>
      </c>
      <c r="V575" s="13">
        <f>IF(ISNA(VLOOKUP(LOWER(F575)&amp;H575,Prices!A:C,2,0)),0,VLOOKUP(LOWER(F575)&amp;H575,Prices!A:C,2,0))</f>
        <v>17.239999999999998</v>
      </c>
      <c r="W575" s="13">
        <f t="shared" si="267"/>
        <v>1413.3879999999976</v>
      </c>
      <c r="X575" s="13">
        <f t="shared" si="268"/>
        <v>1459.9999999999936</v>
      </c>
      <c r="Y575" s="43">
        <f t="shared" si="269"/>
        <v>4.2752208106473011E-2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55.5</v>
      </c>
      <c r="V576" s="13">
        <f>IF(ISNA(VLOOKUP(LOWER(F576)&amp;H576,Prices!A:C,2,0)),0,VLOOKUP(LOWER(F576)&amp;H576,Prices!A:C,2,0))</f>
        <v>55.89</v>
      </c>
      <c r="W576" s="13">
        <f t="shared" ref="W576:W596" si="274">IF(I576="B",(V576+T576)*K576,(V576+T576)*K576)</f>
        <v>33685</v>
      </c>
      <c r="X576" s="13">
        <f t="shared" ref="X576:X596" si="275">K576*(V576-U576)</f>
        <v>390.00000000000057</v>
      </c>
      <c r="Y576" s="43">
        <f t="shared" ref="Y576:Y596" si="276">W576/O576</f>
        <v>1.5173423423423424</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10.64</v>
      </c>
      <c r="W577" s="13">
        <f t="shared" si="274"/>
        <v>367.51999999999947</v>
      </c>
      <c r="X577" s="13">
        <f t="shared" si="275"/>
        <v>-663.00000000000091</v>
      </c>
      <c r="Y577" s="43">
        <f t="shared" si="276"/>
        <v>1.9888522106174547E-2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6.13</v>
      </c>
      <c r="V578" s="13">
        <f>IF(ISNA(VLOOKUP(LOWER(F578)&amp;H578,Prices!A:C,2,0)),0,VLOOKUP(LOWER(F578)&amp;H578,Prices!A:C,2,0))</f>
        <v>6.09</v>
      </c>
      <c r="W578" s="13">
        <f t="shared" si="274"/>
        <v>-3033.4890000000005</v>
      </c>
      <c r="X578" s="13">
        <f t="shared" si="275"/>
        <v>200.00000000000017</v>
      </c>
      <c r="Y578" s="43">
        <f t="shared" si="276"/>
        <v>-0.11050961748633882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690.25</v>
      </c>
      <c r="V579" s="13">
        <f>IF(ISNA(VLOOKUP(LOWER(F579)&amp;H579,Prices!A:C,2,0)),0,VLOOKUP(LOWER(F579)&amp;H579,Prices!A:C,2,0))</f>
        <v>679.15</v>
      </c>
      <c r="W579" s="13">
        <f t="shared" si="274"/>
        <v>32907.299999999996</v>
      </c>
      <c r="X579" s="13">
        <f t="shared" si="275"/>
        <v>-1110.0000000000023</v>
      </c>
      <c r="Y579" s="43">
        <f t="shared" si="276"/>
        <v>0.94020857142857128</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69.010000000000005</v>
      </c>
      <c r="V580" s="13">
        <f>IF(ISNA(VLOOKUP(LOWER(F580)&amp;H580,Prices!A:C,2,0)),0,VLOOKUP(LOWER(F580)&amp;H580,Prices!A:C,2,0))</f>
        <v>68.489999999999995</v>
      </c>
      <c r="W580" s="13">
        <f t="shared" si="274"/>
        <v>-68362.439999999988</v>
      </c>
      <c r="X580" s="13">
        <f t="shared" si="275"/>
        <v>1040.0000000000205</v>
      </c>
      <c r="Y580" s="43">
        <f t="shared" si="276"/>
        <v>-0.9950864628820959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101.81</v>
      </c>
      <c r="V583" s="13">
        <f>IF(ISNA(VLOOKUP(LOWER(F583)&amp;H583,Prices!A:C,2,0)),0,VLOOKUP(LOWER(F583)&amp;H583,Prices!A:C,2,0))</f>
        <v>101.32</v>
      </c>
      <c r="W583" s="13">
        <f t="shared" si="274"/>
        <v>11302.155999999997</v>
      </c>
      <c r="X583" s="13">
        <f t="shared" si="275"/>
        <v>-196.00000000000364</v>
      </c>
      <c r="Y583" s="43">
        <f t="shared" si="276"/>
        <v>0.38679520876112244</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17.52</v>
      </c>
      <c r="V584" s="13">
        <f>IF(ISNA(VLOOKUP(LOWER(F584)&amp;H584,Prices!A:C,2,0)),0,VLOOKUP(LOWER(F584)&amp;H584,Prices!A:C,2,0))</f>
        <v>17.190000000000001</v>
      </c>
      <c r="W584" s="13">
        <f t="shared" si="274"/>
        <v>24629.103999999999</v>
      </c>
      <c r="X584" s="13">
        <f t="shared" si="275"/>
        <v>659.99999999999659</v>
      </c>
      <c r="Y584" s="43">
        <f t="shared" si="276"/>
        <v>0.41687718348002706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39.799999999999997</v>
      </c>
      <c r="V585" s="13">
        <f>IF(ISNA(VLOOKUP(LOWER(F585)&amp;H585,Prices!A:C,2,0)),0,VLOOKUP(LOWER(F585)&amp;H585,Prices!A:C,2,0))</f>
        <v>41.55</v>
      </c>
      <c r="W585" s="13">
        <f t="shared" si="274"/>
        <v>7939.9999999999982</v>
      </c>
      <c r="X585" s="13">
        <f t="shared" si="275"/>
        <v>875</v>
      </c>
      <c r="Y585" s="43">
        <f t="shared" si="276"/>
        <v>0.61886204208885409</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19.03</v>
      </c>
      <c r="V586" s="13">
        <f>IF(ISNA(VLOOKUP(LOWER(F586)&amp;H586,Prices!A:C,2,0)),0,VLOOKUP(LOWER(F586)&amp;H586,Prices!A:C,2,0))</f>
        <v>18.75</v>
      </c>
      <c r="W586" s="13">
        <f t="shared" si="274"/>
        <v>-1095.2093000000004</v>
      </c>
      <c r="X586" s="13">
        <f t="shared" si="275"/>
        <v>-140.00000000000057</v>
      </c>
      <c r="Y586" s="43">
        <f t="shared" si="276"/>
        <v>-0.10465449593884381</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53.65</v>
      </c>
      <c r="V587" s="13">
        <f>IF(ISNA(VLOOKUP(LOWER(F587)&amp;H587,Prices!A:C,2,0)),0,VLOOKUP(LOWER(F587)&amp;H587,Prices!A:C,2,0))</f>
        <v>54.62</v>
      </c>
      <c r="W587" s="13">
        <f t="shared" si="274"/>
        <v>7611.9999999999991</v>
      </c>
      <c r="X587" s="13">
        <f t="shared" si="275"/>
        <v>290.99999999999966</v>
      </c>
      <c r="Y587" s="43">
        <f t="shared" si="276"/>
        <v>0.8680579313490705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11.6</v>
      </c>
      <c r="V588" s="13">
        <f>IF(ISNA(VLOOKUP(LOWER(F588)&amp;H588,Prices!A:C,2,0)),0,VLOOKUP(LOWER(F588)&amp;H588,Prices!A:C,2,0))</f>
        <v>11.41</v>
      </c>
      <c r="W588" s="13">
        <f t="shared" si="274"/>
        <v>-3795.1898999999985</v>
      </c>
      <c r="X588" s="13">
        <f t="shared" si="275"/>
        <v>-94.999999999999744</v>
      </c>
      <c r="Y588" s="43">
        <f t="shared" si="276"/>
        <v>-0.39970404423380712</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4.92</v>
      </c>
      <c r="V589" s="13">
        <f>IF(ISNA(VLOOKUP(LOWER(F589)&amp;H589,Prices!A:C,2,0)),0,VLOOKUP(LOWER(F589)&amp;H589,Prices!A:C,2,0))</f>
        <v>5</v>
      </c>
      <c r="W589" s="13">
        <f t="shared" si="274"/>
        <v>-544.99999999999989</v>
      </c>
      <c r="X589" s="13">
        <f t="shared" si="275"/>
        <v>160.00000000000014</v>
      </c>
      <c r="Y589" s="43">
        <f t="shared" si="276"/>
        <v>-5.1707779886147998E-2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2.19</v>
      </c>
      <c r="V590" s="13">
        <f>IF(ISNA(VLOOKUP(LOWER(F590)&amp;H590,Prices!A:C,2,0)),0,VLOOKUP(LOWER(F590)&amp;H590,Prices!A:C,2,0))</f>
        <v>2.1800000000000002</v>
      </c>
      <c r="W590" s="13">
        <f t="shared" si="274"/>
        <v>-1565.1620000000007</v>
      </c>
      <c r="X590" s="13">
        <f t="shared" si="275"/>
        <v>-29.999999999999361</v>
      </c>
      <c r="Y590" s="43">
        <f t="shared" si="276"/>
        <v>-0.19322987654320994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46.81</v>
      </c>
      <c r="V591" s="13">
        <f>IF(ISNA(VLOOKUP(LOWER(F591)&amp;H591,Prices!A:C,2,0)),0,VLOOKUP(LOWER(F591)&amp;H591,Prices!A:C,2,0))</f>
        <v>47.3</v>
      </c>
      <c r="W591" s="13">
        <f t="shared" si="274"/>
        <v>1661</v>
      </c>
      <c r="X591" s="13">
        <f t="shared" si="275"/>
        <v>97.999999999998977</v>
      </c>
      <c r="Y591" s="43">
        <f t="shared" si="276"/>
        <v>0.21311265075699257</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10.64</v>
      </c>
      <c r="W592" s="13">
        <f t="shared" si="274"/>
        <v>281.5400000000011</v>
      </c>
      <c r="X592" s="13">
        <f t="shared" si="275"/>
        <v>-702.00000000000102</v>
      </c>
      <c r="Y592" s="43">
        <f t="shared" si="276"/>
        <v>1.4469112961249928E-2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16.510000000000002</v>
      </c>
      <c r="V593" s="13">
        <f>IF(ISNA(VLOOKUP(LOWER(F593)&amp;H593,Prices!A:C,2,0)),0,VLOOKUP(LOWER(F593)&amp;H593,Prices!A:C,2,0))</f>
        <v>17.239999999999998</v>
      </c>
      <c r="W593" s="13">
        <f t="shared" si="274"/>
        <v>-920.31999999999675</v>
      </c>
      <c r="X593" s="13">
        <f t="shared" si="275"/>
        <v>-1459.9999999999936</v>
      </c>
      <c r="Y593" s="43">
        <f t="shared" si="276"/>
        <v>-2.7390476190476094E-2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v>
      </c>
      <c r="V594" s="13">
        <f>IF(ISNA(VLOOKUP(LOWER(F594)&amp;H594,Prices!A:C,2,0)),0,VLOOKUP(LOWER(F594)&amp;H594,Prices!A:C,2,0))</f>
        <v>26.8</v>
      </c>
      <c r="W594" s="13">
        <f t="shared" si="274"/>
        <v>130.00000000000006</v>
      </c>
      <c r="X594" s="13">
        <f t="shared" si="275"/>
        <v>0</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10.85</v>
      </c>
      <c r="V595" s="13">
        <f>IF(ISNA(VLOOKUP(LOWER(F595)&amp;H595,Prices!A:C,2,0)),0,VLOOKUP(LOWER(F595)&amp;H595,Prices!A:C,2,0))</f>
        <v>10.91</v>
      </c>
      <c r="W595" s="13">
        <f t="shared" si="274"/>
        <v>-3074.9999999999991</v>
      </c>
      <c r="X595" s="13">
        <f t="shared" si="275"/>
        <v>30.000000000000249</v>
      </c>
      <c r="Y595" s="43">
        <f t="shared" si="276"/>
        <v>-0.36070381231671544</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37.520000000000003</v>
      </c>
      <c r="V596" s="13">
        <f>IF(ISNA(VLOOKUP(LOWER(F596)&amp;H596,Prices!A:C,2,0)),0,VLOOKUP(LOWER(F596)&amp;H596,Prices!A:C,2,0))</f>
        <v>40.049999999999997</v>
      </c>
      <c r="W596" s="13">
        <f t="shared" si="274"/>
        <v>16.999999999998749</v>
      </c>
      <c r="X596" s="13">
        <f t="shared" si="275"/>
        <v>505.99999999999881</v>
      </c>
      <c r="Y596" s="43">
        <f t="shared" si="276"/>
        <v>2.1281922884324924E-3</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10.85</v>
      </c>
      <c r="V597" s="13">
        <f>IF(ISNA(VLOOKUP(LOWER(F597)&amp;H597,Prices!A:C,2,0)),0,VLOOKUP(LOWER(F597)&amp;H597,Prices!A:C,2,0))</f>
        <v>10.91</v>
      </c>
      <c r="W597" s="13">
        <f t="shared" ref="W597:W624" si="285">IF(I597="B",(V597+T597)*K597,(V597+T597)*K597)</f>
        <v>3061.47</v>
      </c>
      <c r="X597" s="13">
        <f t="shared" ref="X597:X624" si="286">K597*(V597-U597)</f>
        <v>-30.000000000000249</v>
      </c>
      <c r="Y597" s="43">
        <f t="shared" ref="Y597:Y624" si="287">W597/O597</f>
        <v>0.35890621336459549</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44.98</v>
      </c>
      <c r="V599" s="13">
        <f>IF(ISNA(VLOOKUP(LOWER(F599)&amp;H599,Prices!A:C,2,0)),0,VLOOKUP(LOWER(F599)&amp;H599,Prices!A:C,2,0))</f>
        <v>44.62</v>
      </c>
      <c r="W599" s="13">
        <f t="shared" si="285"/>
        <v>-1859.3047999999997</v>
      </c>
      <c r="X599" s="13">
        <f t="shared" si="286"/>
        <v>-107.99999999999983</v>
      </c>
      <c r="Y599" s="43">
        <f t="shared" si="287"/>
        <v>-0.12200162729658791</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11.5</v>
      </c>
      <c r="V600" s="13">
        <f>IF(ISNA(VLOOKUP(LOWER(F600)&amp;H600,Prices!A:C,2,0)),0,VLOOKUP(LOWER(F600)&amp;H600,Prices!A:C,2,0))</f>
        <v>11.75</v>
      </c>
      <c r="W600" s="13">
        <f t="shared" si="285"/>
        <v>-1955</v>
      </c>
      <c r="X600" s="13">
        <f t="shared" si="286"/>
        <v>250</v>
      </c>
      <c r="Y600" s="43">
        <f t="shared" si="287"/>
        <v>-0.1427007299270073</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55.5</v>
      </c>
      <c r="V601" s="13">
        <f>IF(ISNA(VLOOKUP(LOWER(F601)&amp;H601,Prices!A:C,2,0)),0,VLOOKUP(LOWER(F601)&amp;H601,Prices!A:C,2,0))</f>
        <v>55.89</v>
      </c>
      <c r="W601" s="13">
        <f t="shared" si="285"/>
        <v>-33457.46</v>
      </c>
      <c r="X601" s="13">
        <f t="shared" si="286"/>
        <v>-390.00000000000057</v>
      </c>
      <c r="Y601" s="43">
        <f t="shared" si="287"/>
        <v>-1.4896464826357969</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39.799999999999997</v>
      </c>
      <c r="V602" s="13">
        <f>IF(ISNA(VLOOKUP(LOWER(F602)&amp;H602,Prices!A:C,2,0)),0,VLOOKUP(LOWER(F602)&amp;H602,Prices!A:C,2,0))</f>
        <v>41.55</v>
      </c>
      <c r="W602" s="13">
        <f t="shared" si="285"/>
        <v>-7902.8899999999976</v>
      </c>
      <c r="X602" s="13">
        <f t="shared" si="286"/>
        <v>-875</v>
      </c>
      <c r="Y602" s="43">
        <f t="shared" si="287"/>
        <v>-0.61310240496508905</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v>
      </c>
      <c r="V603" s="13">
        <f>IF(ISNA(VLOOKUP(LOWER(F603)&amp;H603,Prices!A:C,2,0)),0,VLOOKUP(LOWER(F603)&amp;H603,Prices!A:C,2,0))</f>
        <v>26.8</v>
      </c>
      <c r="W603" s="13">
        <f t="shared" si="285"/>
        <v>-126.92999999999941</v>
      </c>
      <c r="X603" s="13">
        <f t="shared" si="286"/>
        <v>0</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29.09</v>
      </c>
      <c r="V604" s="13">
        <f>IF(ISNA(VLOOKUP(LOWER(F604)&amp;H604,Prices!A:C,2,0)),0,VLOOKUP(LOWER(F604)&amp;H604,Prices!A:C,2,0))</f>
        <v>31.1</v>
      </c>
      <c r="W604" s="13">
        <f t="shared" si="285"/>
        <v>-15183.160000000002</v>
      </c>
      <c r="X604" s="13">
        <f t="shared" si="286"/>
        <v>-2412.0000000000018</v>
      </c>
      <c r="Y604" s="43">
        <f t="shared" si="287"/>
        <v>-0.68503699693196185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29.09</v>
      </c>
      <c r="V605" s="13">
        <f>IF(ISNA(VLOOKUP(LOWER(F605)&amp;H605,Prices!A:C,2,0)),0,VLOOKUP(LOWER(F605)&amp;H605,Prices!A:C,2,0))</f>
        <v>31.1</v>
      </c>
      <c r="W605" s="13">
        <f t="shared" si="285"/>
        <v>-7546.130000000001</v>
      </c>
      <c r="X605" s="13">
        <f t="shared" si="286"/>
        <v>-1206.0000000000009</v>
      </c>
      <c r="Y605" s="43">
        <f t="shared" si="287"/>
        <v>-0.6779991015274035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101.81</v>
      </c>
      <c r="V606" s="13">
        <f>IF(ISNA(VLOOKUP(LOWER(F606)&amp;H606,Prices!A:C,2,0)),0,VLOOKUP(LOWER(F606)&amp;H606,Prices!A:C,2,0))</f>
        <v>101.32</v>
      </c>
      <c r="W606" s="13">
        <f t="shared" si="285"/>
        <v>-11015.459599999996</v>
      </c>
      <c r="X606" s="13">
        <f t="shared" si="286"/>
        <v>196.00000000000364</v>
      </c>
      <c r="Y606" s="43">
        <f t="shared" si="287"/>
        <v>-0.37279882225531324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2.19</v>
      </c>
      <c r="V607" s="13">
        <f>IF(ISNA(VLOOKUP(LOWER(F607)&amp;H607,Prices!A:C,2,0)),0,VLOOKUP(LOWER(F607)&amp;H607,Prices!A:C,2,0))</f>
        <v>2.1800000000000002</v>
      </c>
      <c r="W607" s="13">
        <f t="shared" si="285"/>
        <v>740.89960000000053</v>
      </c>
      <c r="X607" s="13">
        <f t="shared" si="286"/>
        <v>14.99999999999968</v>
      </c>
      <c r="Y607" s="43">
        <f t="shared" si="287"/>
        <v>0.18430338308457722</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4.92</v>
      </c>
      <c r="V608" s="13">
        <f>IF(ISNA(VLOOKUP(LOWER(F608)&amp;H608,Prices!A:C,2,0)),0,VLOOKUP(LOWER(F608)&amp;H608,Prices!A:C,2,0))</f>
        <v>5</v>
      </c>
      <c r="W608" s="13">
        <f t="shared" si="285"/>
        <v>249.74000000000007</v>
      </c>
      <c r="X608" s="13">
        <f t="shared" si="286"/>
        <v>-80.000000000000071</v>
      </c>
      <c r="Y608" s="43">
        <f t="shared" si="287"/>
        <v>4.7479087452471494E-2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46.81</v>
      </c>
      <c r="V609" s="13">
        <f>IF(ISNA(VLOOKUP(LOWER(F609)&amp;H609,Prices!A:C,2,0)),0,VLOOKUP(LOWER(F609)&amp;H609,Prices!A:C,2,0))</f>
        <v>47.3</v>
      </c>
      <c r="W609" s="13">
        <f t="shared" si="285"/>
        <v>-1692.7799999999991</v>
      </c>
      <c r="X609" s="13">
        <f t="shared" si="286"/>
        <v>-97.999999999998977</v>
      </c>
      <c r="Y609" s="43">
        <f t="shared" si="287"/>
        <v>-0.21758097686375311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29.09</v>
      </c>
      <c r="V611" s="13">
        <f>IF(ISNA(VLOOKUP(LOWER(F611)&amp;H611,Prices!A:C,2,0)),0,VLOOKUP(LOWER(F611)&amp;H611,Prices!A:C,2,0))</f>
        <v>31.1</v>
      </c>
      <c r="W611" s="13">
        <f t="shared" si="285"/>
        <v>-8851.9400000000023</v>
      </c>
      <c r="X611" s="13">
        <f t="shared" si="286"/>
        <v>-1407.0000000000011</v>
      </c>
      <c r="Y611" s="43">
        <f t="shared" si="287"/>
        <v>-0.68428726035868914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101.81</v>
      </c>
      <c r="V612" s="13">
        <f>IF(ISNA(VLOOKUP(LOWER(F612)&amp;H612,Prices!A:C,2,0)),0,VLOOKUP(LOWER(F612)&amp;H612,Prices!A:C,2,0))</f>
        <v>101.32</v>
      </c>
      <c r="W612" s="13">
        <f t="shared" si="285"/>
        <v>-11131.316399999998</v>
      </c>
      <c r="X612" s="13">
        <f t="shared" si="286"/>
        <v>196.00000000000364</v>
      </c>
      <c r="Y612" s="43">
        <f t="shared" si="287"/>
        <v>-0.378204552867627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4.92</v>
      </c>
      <c r="V613" s="13">
        <f>IF(ISNA(VLOOKUP(LOWER(F613)&amp;H613,Prices!A:C,2,0)),0,VLOOKUP(LOWER(F613)&amp;H613,Prices!A:C,2,0))</f>
        <v>5</v>
      </c>
      <c r="W613" s="13">
        <f t="shared" si="285"/>
        <v>159.83000000000035</v>
      </c>
      <c r="X613" s="13">
        <f t="shared" si="286"/>
        <v>-80.000000000000071</v>
      </c>
      <c r="Y613" s="43">
        <f t="shared" si="287"/>
        <v>3.0914893617021346E-2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53.65</v>
      </c>
      <c r="V615" s="13">
        <f>IF(ISNA(VLOOKUP(LOWER(F615)&amp;H615,Prices!A:C,2,0)),0,VLOOKUP(LOWER(F615)&amp;H615,Prices!A:C,2,0))</f>
        <v>54.62</v>
      </c>
      <c r="W615" s="13">
        <f t="shared" si="285"/>
        <v>-5036.8999999999996</v>
      </c>
      <c r="X615" s="13">
        <f t="shared" si="286"/>
        <v>-193.99999999999977</v>
      </c>
      <c r="Y615" s="43">
        <f t="shared" si="287"/>
        <v>-0.85400135639199726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27.85</v>
      </c>
      <c r="V616" s="13">
        <f>IF(ISNA(VLOOKUP(LOWER(F616)&amp;H616,Prices!A:C,2,0)),0,VLOOKUP(LOWER(F616)&amp;H616,Prices!A:C,2,0))</f>
        <v>27.58</v>
      </c>
      <c r="W616" s="13">
        <f t="shared" si="285"/>
        <v>2141.9157200000013</v>
      </c>
      <c r="X616" s="13">
        <f t="shared" si="286"/>
        <v>162.00000000000188</v>
      </c>
      <c r="Y616" s="43">
        <f t="shared" si="287"/>
        <v>0.11445525916426212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690.25</v>
      </c>
      <c r="V617" s="13">
        <f>IF(ISNA(VLOOKUP(LOWER(F617)&amp;H617,Prices!A:C,2,0)),0,VLOOKUP(LOWER(F617)&amp;H617,Prices!A:C,2,0))</f>
        <v>679.15</v>
      </c>
      <c r="W617" s="13">
        <f t="shared" si="285"/>
        <v>-99712.075199999977</v>
      </c>
      <c r="X617" s="13">
        <f t="shared" si="286"/>
        <v>3330.0000000000068</v>
      </c>
      <c r="Y617" s="43">
        <f t="shared" si="287"/>
        <v>-0.95729718894009197</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53.65</v>
      </c>
      <c r="V618" s="13">
        <f>IF(ISNA(VLOOKUP(LOWER(F618)&amp;H618,Prices!A:C,2,0)),0,VLOOKUP(LOWER(F618)&amp;H618,Prices!A:C,2,0))</f>
        <v>54.62</v>
      </c>
      <c r="W618" s="13">
        <f t="shared" si="285"/>
        <v>-2521.9499999999998</v>
      </c>
      <c r="X618" s="13">
        <f t="shared" si="286"/>
        <v>-96.999999999999886</v>
      </c>
      <c r="Y618" s="43">
        <f t="shared" si="287"/>
        <v>-0.85547829036635004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14.46</v>
      </c>
      <c r="V619" s="13">
        <f>IF(ISNA(VLOOKUP(LOWER(F619)&amp;H619,Prices!A:C,2,0)),0,VLOOKUP(LOWER(F619)&amp;H619,Prices!A:C,2,0))</f>
        <v>14.19</v>
      </c>
      <c r="W619" s="13">
        <f t="shared" si="285"/>
        <v>-2065.3249999999998</v>
      </c>
      <c r="X619" s="13">
        <f t="shared" si="286"/>
        <v>-270.00000000000136</v>
      </c>
      <c r="Y619" s="43">
        <f t="shared" si="287"/>
        <v>-0.12709692307692308</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17.149999999999999</v>
      </c>
      <c r="V620" s="13">
        <f>IF(ISNA(VLOOKUP(LOWER(F620)&amp;H620,Prices!A:C,2,0)),0,VLOOKUP(LOWER(F620)&amp;H620,Prices!A:C,2,0))</f>
        <v>17.05</v>
      </c>
      <c r="W620" s="13">
        <f t="shared" si="285"/>
        <v>-3094.9999999999991</v>
      </c>
      <c r="X620" s="13">
        <f t="shared" si="286"/>
        <v>-49.999999999998934</v>
      </c>
      <c r="Y620" s="43">
        <f t="shared" si="287"/>
        <v>-0.26646577701248375</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12.86</v>
      </c>
      <c r="V621" s="13">
        <f>IF(ISNA(VLOOKUP(LOWER(F621)&amp;H621,Prices!A:C,2,0)),0,VLOOKUP(LOWER(F621)&amp;H621,Prices!A:C,2,0))</f>
        <v>12.74</v>
      </c>
      <c r="W621" s="13">
        <f t="shared" si="285"/>
        <v>-1948.9999999999998</v>
      </c>
      <c r="X621" s="13">
        <f t="shared" si="286"/>
        <v>-71.999999999999531</v>
      </c>
      <c r="Y621" s="43">
        <f t="shared" si="287"/>
        <v>-0.20327492699207339</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17.850000000000001</v>
      </c>
      <c r="V622" s="13">
        <f>IF(ISNA(VLOOKUP(LOWER(F622)&amp;H622,Prices!A:C,2,0)),0,VLOOKUP(LOWER(F622)&amp;H622,Prices!A:C,2,0))</f>
        <v>18.11</v>
      </c>
      <c r="W622" s="13">
        <f t="shared" si="285"/>
        <v>-715.05042000000003</v>
      </c>
      <c r="X622" s="13">
        <f t="shared" si="286"/>
        <v>25.999999999999801</v>
      </c>
      <c r="Y622" s="43">
        <f t="shared" si="287"/>
        <v>-0.28363761205870686</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2.19</v>
      </c>
      <c r="V623" s="13">
        <f>IF(ISNA(VLOOKUP(LOWER(F623)&amp;H623,Prices!A:C,2,0)),0,VLOOKUP(LOWER(F623)&amp;H623,Prices!A:C,2,0))</f>
        <v>2.1800000000000002</v>
      </c>
      <c r="W623" s="13">
        <f t="shared" si="285"/>
        <v>740.89960000000053</v>
      </c>
      <c r="X623" s="13">
        <f t="shared" si="286"/>
        <v>14.99999999999968</v>
      </c>
      <c r="Y623" s="43">
        <f t="shared" si="287"/>
        <v>0.18430338308457722</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19.03</v>
      </c>
      <c r="V624" s="13">
        <f>IF(ISNA(VLOOKUP(LOWER(F624)&amp;H624,Prices!A:C,2,0)),0,VLOOKUP(LOWER(F624)&amp;H624,Prices!A:C,2,0))</f>
        <v>18.75</v>
      </c>
      <c r="W624" s="13">
        <f t="shared" si="285"/>
        <v>1009.3920000000001</v>
      </c>
      <c r="X624" s="13">
        <f t="shared" si="286"/>
        <v>140.00000000000057</v>
      </c>
      <c r="Y624" s="43">
        <f t="shared" si="287"/>
        <v>9.7056923076923082E-2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17.850000000000001</v>
      </c>
      <c r="V625" s="13">
        <f>IF(ISNA(VLOOKUP(LOWER(F625)&amp;H625,Prices!A:C,2,0)),0,VLOOKUP(LOWER(F625)&amp;H625,Prices!A:C,2,0))</f>
        <v>18.11</v>
      </c>
      <c r="W625" s="13">
        <f t="shared" ref="W625:W632" si="292">IF(I625="B",(V625+T625)*K625,(V625+T625)*K625)</f>
        <v>799.32763999999997</v>
      </c>
      <c r="X625" s="13">
        <f t="shared" ref="X625:X632" si="293">K625*(V625-U625)</f>
        <v>-25.999999999999801</v>
      </c>
      <c r="Y625" s="43">
        <f t="shared" ref="Y625:Y632" si="294">W625/O625</f>
        <v>0.30531995416348356</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44.98</v>
      </c>
      <c r="V626" s="13">
        <f>IF(ISNA(VLOOKUP(LOWER(F626)&amp;H626,Prices!A:C,2,0)),0,VLOOKUP(LOWER(F626)&amp;H626,Prices!A:C,2,0))</f>
        <v>44.62</v>
      </c>
      <c r="W626" s="13">
        <f t="shared" si="292"/>
        <v>2163.1186000000016</v>
      </c>
      <c r="X626" s="13">
        <f t="shared" si="293"/>
        <v>107.99999999999983</v>
      </c>
      <c r="Y626" s="43">
        <f t="shared" si="294"/>
        <v>0.13892861913937068</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17.149999999999999</v>
      </c>
      <c r="V627" s="13">
        <f>IF(ISNA(VLOOKUP(LOWER(F627)&amp;H627,Prices!A:C,2,0)),0,VLOOKUP(LOWER(F627)&amp;H627,Prices!A:C,2,0))</f>
        <v>17.05</v>
      </c>
      <c r="W627" s="13">
        <f t="shared" si="292"/>
        <v>3248.2099999999987</v>
      </c>
      <c r="X627" s="13">
        <f t="shared" si="293"/>
        <v>49.999999999998934</v>
      </c>
      <c r="Y627" s="43">
        <f t="shared" si="294"/>
        <v>0.27550551314673438</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37.520000000000003</v>
      </c>
      <c r="V628" s="13">
        <f>IF(ISNA(VLOOKUP(LOWER(F628)&amp;H628,Prices!A:C,2,0)),0,VLOOKUP(LOWER(F628)&amp;H628,Prices!A:C,2,0))</f>
        <v>40.049999999999997</v>
      </c>
      <c r="W628" s="13">
        <f t="shared" si="292"/>
        <v>-42.979999999998597</v>
      </c>
      <c r="X628" s="13">
        <f t="shared" si="293"/>
        <v>-505.99999999999881</v>
      </c>
      <c r="Y628" s="43">
        <f t="shared" si="294"/>
        <v>-5.3859649122805263E-3</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11.6</v>
      </c>
      <c r="V629" s="13">
        <f>IF(ISNA(VLOOKUP(LOWER(F629)&amp;H629,Prices!A:C,2,0)),0,VLOOKUP(LOWER(F629)&amp;H629,Prices!A:C,2,0))</f>
        <v>11.41</v>
      </c>
      <c r="W629" s="13">
        <f t="shared" si="292"/>
        <v>3520.5751999999998</v>
      </c>
      <c r="X629" s="13">
        <f t="shared" si="293"/>
        <v>94.999999999999744</v>
      </c>
      <c r="Y629" s="43">
        <f t="shared" si="294"/>
        <v>0.38101463203463198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14.46</v>
      </c>
      <c r="V631" s="13">
        <f>IF(ISNA(VLOOKUP(LOWER(F631)&amp;H631,Prices!A:C,2,0)),0,VLOOKUP(LOWER(F631)&amp;H631,Prices!A:C,2,0))</f>
        <v>14.19</v>
      </c>
      <c r="W631" s="13">
        <f t="shared" si="292"/>
        <v>2048.4148000000014</v>
      </c>
      <c r="X631" s="13">
        <f t="shared" si="293"/>
        <v>270.00000000000136</v>
      </c>
      <c r="Y631" s="43">
        <f t="shared" si="294"/>
        <v>0.12597876998769994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12.86</v>
      </c>
      <c r="V632" s="13">
        <f>IF(ISNA(VLOOKUP(LOWER(F632)&amp;H632,Prices!A:C,2,0)),0,VLOOKUP(LOWER(F632)&amp;H632,Prices!A:C,2,0))</f>
        <v>12.74</v>
      </c>
      <c r="W632" s="13">
        <f t="shared" si="292"/>
        <v>1899.4400000000003</v>
      </c>
      <c r="X632" s="13">
        <f t="shared" si="293"/>
        <v>71.999999999999531</v>
      </c>
      <c r="Y632" s="43">
        <f t="shared" si="294"/>
        <v>0.19872776731533798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15.69</v>
      </c>
      <c r="V633" s="13">
        <f>IF(ISNA(VLOOKUP(LOWER(F633)&amp;H633,Prices!A:C,2,0)),0,VLOOKUP(LOWER(F633)&amp;H633,Prices!A:C,2,0))</f>
        <v>15.77</v>
      </c>
      <c r="W633" s="13">
        <f>IF(I633="B",(V633+T633)*K633,(V633+T633)*K633)</f>
        <v>-3235.3800000000028</v>
      </c>
      <c r="X633" s="13">
        <f t="shared" ref="X633:X639" si="299">K633*(V633-U633)</f>
        <v>80.000000000000071</v>
      </c>
      <c r="Y633" s="43">
        <f t="shared" ref="Y633:Y639" si="300">W633/O633</f>
        <v>-0.170283157894737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71.72</v>
      </c>
      <c r="V634" s="13">
        <f>IF(ISNA(VLOOKUP(LOWER(F634)&amp;H634,Prices!A:C,2,0)),0,VLOOKUP(LOWER(F634)&amp;H634,Prices!A:C,2,0))</f>
        <v>70.819999999999993</v>
      </c>
      <c r="W634" s="13">
        <f t="shared" ref="W634:W639" si="301">IF(I634="B",(V634+T634)*K634,(V634+T634)*K634)</f>
        <v>25720.080199999997</v>
      </c>
      <c r="X634" s="13">
        <f t="shared" si="299"/>
        <v>-900.00000000000568</v>
      </c>
      <c r="Y634" s="43">
        <f t="shared" si="300"/>
        <v>0.57041650476824124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47.74</v>
      </c>
      <c r="V635" s="13">
        <f>IF(ISNA(VLOOKUP(LOWER(F635)&amp;H635,Prices!A:C,2,0)),0,VLOOKUP(LOWER(F635)&amp;H635,Prices!A:C,2,0))</f>
        <v>47.71</v>
      </c>
      <c r="W635" s="13">
        <f t="shared" si="301"/>
        <v>19123.712400000004</v>
      </c>
      <c r="X635" s="46">
        <f>K635*(V635-U635)</f>
        <v>-30.000000000001137</v>
      </c>
      <c r="Y635" s="43">
        <f t="shared" si="300"/>
        <v>0.66912919524142767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47.74</v>
      </c>
      <c r="V636" s="13">
        <f>IF(ISNA(VLOOKUP(LOWER(F636)&amp;H636,Prices!A:C,2,0)),0,VLOOKUP(LOWER(F636)&amp;H636,Prices!A:C,2,0))</f>
        <v>47.71</v>
      </c>
      <c r="W636" s="13">
        <f t="shared" si="301"/>
        <v>9649.7160000000022</v>
      </c>
      <c r="X636" s="46">
        <f>K636*(V636-U636)</f>
        <v>-15.000000000000568</v>
      </c>
      <c r="Y636" s="43">
        <f t="shared" si="300"/>
        <v>0.67955746478873258</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16.47</v>
      </c>
      <c r="V637" s="13">
        <f>IF(ISNA(VLOOKUP(LOWER(F637)&amp;H637,Prices!A:C,2,0)),0,VLOOKUP(LOWER(F637)&amp;H637,Prices!A:C,2,0))</f>
        <v>16.62</v>
      </c>
      <c r="W637" s="13">
        <f t="shared" si="301"/>
        <v>-9395.2020000000011</v>
      </c>
      <c r="X637" s="13">
        <f t="shared" si="299"/>
        <v>150.00000000000213</v>
      </c>
      <c r="Y637" s="43">
        <f t="shared" si="300"/>
        <v>-0.36121499423298736</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67.72</v>
      </c>
      <c r="V638" s="13">
        <f>IF(ISNA(VLOOKUP(LOWER(F638)&amp;H638,Prices!A:C,2,0)),0,VLOOKUP(LOWER(F638)&amp;H638,Prices!A:C,2,0))</f>
        <v>68.92</v>
      </c>
      <c r="W638" s="13">
        <f>IF(I638="B",(V638+T638)*K638,(V638+T638)*K638)</f>
        <v>9989.5107000000007</v>
      </c>
      <c r="X638" s="46">
        <f t="shared" si="299"/>
        <v>600.00000000000136</v>
      </c>
      <c r="Y638" s="43">
        <f t="shared" si="300"/>
        <v>0.40831844267320666</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11.5</v>
      </c>
      <c r="V639" s="13">
        <f>IF(ISNA(VLOOKUP(LOWER(F639)&amp;H639,Prices!A:C,2,0)),0,VLOOKUP(LOWER(F639)&amp;H639,Prices!A:C,2,0))</f>
        <v>11.75</v>
      </c>
      <c r="W639" s="13">
        <f t="shared" si="301"/>
        <v>1661.5699999999993</v>
      </c>
      <c r="X639" s="13">
        <f t="shared" si="299"/>
        <v>-250</v>
      </c>
      <c r="Y639" s="43">
        <f t="shared" si="300"/>
        <v>0.1237207743857036</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5.99</v>
      </c>
      <c r="V641" s="13">
        <f>IF(ISNA(VLOOKUP(LOWER(F641)&amp;H641,Prices!A:C,2,0)),0,VLOOKUP(LOWER(F641)&amp;H641,Prices!A:C,2,0))</f>
        <v>6.02</v>
      </c>
      <c r="W641" s="13">
        <f t="shared" si="306"/>
        <v>-7745.0000000000009</v>
      </c>
      <c r="X641" s="46">
        <f t="shared" si="307"/>
        <v>59.999999999998721</v>
      </c>
      <c r="Y641" s="43">
        <f t="shared" si="308"/>
        <v>-0.39155712841253798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15.69</v>
      </c>
      <c r="V642" s="13">
        <f>IF(ISNA(VLOOKUP(LOWER(F642)&amp;H642,Prices!A:C,2,0)),0,VLOOKUP(LOWER(F642)&amp;H642,Prices!A:C,2,0))</f>
        <v>15.77</v>
      </c>
      <c r="W642" s="13">
        <f t="shared" si="306"/>
        <v>3535.2833999999975</v>
      </c>
      <c r="X642" s="13">
        <f t="shared" si="307"/>
        <v>-80.000000000000071</v>
      </c>
      <c r="Y642" s="43">
        <f t="shared" si="308"/>
        <v>0.18289101914123113</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71.72</v>
      </c>
      <c r="V643" s="13">
        <f>IF(ISNA(VLOOKUP(LOWER(F643)&amp;H643,Prices!A:C,2,0)),0,VLOOKUP(LOWER(F643)&amp;H643,Prices!A:C,2,0))</f>
        <v>70.819999999999993</v>
      </c>
      <c r="W643" s="13">
        <f t="shared" si="306"/>
        <v>-25605.229399999993</v>
      </c>
      <c r="X643" s="13">
        <f t="shared" si="307"/>
        <v>900.00000000000568</v>
      </c>
      <c r="Y643" s="43">
        <f t="shared" si="308"/>
        <v>-0.56561142920256224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16.47</v>
      </c>
      <c r="V644" s="13">
        <f>IF(ISNA(VLOOKUP(LOWER(F644)&amp;H644,Prices!A:C,2,0)),0,VLOOKUP(LOWER(F644)&amp;H644,Prices!A:C,2,0))</f>
        <v>16.62</v>
      </c>
      <c r="W644" s="13">
        <f t="shared" si="306"/>
        <v>9308.8480000000018</v>
      </c>
      <c r="X644" s="13">
        <f t="shared" si="307"/>
        <v>-150.00000000000213</v>
      </c>
      <c r="Y644" s="43">
        <f t="shared" si="308"/>
        <v>0.35858428351309712</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690.25</v>
      </c>
      <c r="V645" s="13">
        <f>IF(ISNA(VLOOKUP(LOWER(F645)&amp;H645,Prices!A:C,2,0)),0,VLOOKUP(LOWER(F645)&amp;H645,Prices!A:C,2,0))</f>
        <v>679.15</v>
      </c>
      <c r="W645" s="13">
        <f t="shared" ref="W645" si="316">IF(I645="B",(V645+T645)*K645,(V645+T645)*K645)</f>
        <v>33477.4254</v>
      </c>
      <c r="X645" s="46">
        <f t="shared" ref="X645" si="317">K645*(V645-U645)</f>
        <v>-1110.0000000000023</v>
      </c>
      <c r="Y645" s="43">
        <f t="shared" ref="Y645" si="318">W645/O645</f>
        <v>0.97233300609933193</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67.72</v>
      </c>
      <c r="V647" s="13">
        <f>IF(ISNA(VLOOKUP(LOWER(F647)&amp;H647,Prices!A:C,2,0)),0,VLOOKUP(LOWER(F647)&amp;H647,Prices!A:C,2,0))</f>
        <v>68.92</v>
      </c>
      <c r="W647" s="13">
        <f t="shared" si="319"/>
        <v>-10349.622800000003</v>
      </c>
      <c r="X647" s="46">
        <f t="shared" si="320"/>
        <v>-600.00000000000136</v>
      </c>
      <c r="Y647" s="43">
        <f t="shared" si="321"/>
        <v>-0.42873333885666953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5.99</v>
      </c>
      <c r="V648" s="13">
        <f>IF(ISNA(VLOOKUP(LOWER(F648)&amp;H648,Prices!A:C,2,0)),0,VLOOKUP(LOWER(F648)&amp;H648,Prices!A:C,2,0))</f>
        <v>6.02</v>
      </c>
      <c r="W648" s="13">
        <f t="shared" si="319"/>
        <v>7655.2800000000016</v>
      </c>
      <c r="X648" s="46">
        <f t="shared" si="320"/>
        <v>-59.999999999998721</v>
      </c>
      <c r="Y648" s="43">
        <f t="shared" si="321"/>
        <v>0.38819878296146054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47.74</v>
      </c>
      <c r="V649" s="13">
        <f>IF(ISNA(VLOOKUP(LOWER(F649)&amp;H649,Prices!A:C,2,0)),0,VLOOKUP(LOWER(F649)&amp;H649,Prices!A:C,2,0))</f>
        <v>47.71</v>
      </c>
      <c r="W649" s="13">
        <f t="shared" si="319"/>
        <v>-29451.446299999996</v>
      </c>
      <c r="X649" s="46">
        <f t="shared" si="320"/>
        <v>45.000000000001705</v>
      </c>
      <c r="Y649" s="43">
        <f t="shared" si="321"/>
        <v>-0.69848087987667484</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690.25</v>
      </c>
      <c r="V652" s="13">
        <f>IF(ISNA(VLOOKUP(LOWER(F652)&amp;H652,Prices!A:C,2,0)),0,VLOOKUP(LOWER(F652)&amp;H652,Prices!A:C,2,0))</f>
        <v>679.15</v>
      </c>
      <c r="W652" s="13">
        <f t="shared" ref="W652" si="334">IF(I652="B",(V652+T652)*K652,(V652+T652)*K652)</f>
        <v>-33227.370600000009</v>
      </c>
      <c r="X652" s="46">
        <f t="shared" ref="X652" si="335">K652*(V652-U652)</f>
        <v>1110.0000000000023</v>
      </c>
      <c r="Y652" s="43">
        <f t="shared" ref="Y652" si="336">W652/O652</f>
        <v>-0.95673396487186901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29.57</v>
      </c>
      <c r="V653" s="13">
        <f>IF(ISNA(VLOOKUP(LOWER(F653)&amp;H653,Prices!A:C,2,0)),0,VLOOKUP(LOWER(F653)&amp;H653,Prices!A:C,2,0))</f>
        <v>29.82</v>
      </c>
      <c r="W653" s="13">
        <f t="shared" ref="W653:W665" si="341">IF(I653="B",(V653+T653)*K653,(V653+T653)*K653)</f>
        <v>-5507.0639999999994</v>
      </c>
      <c r="X653" s="46">
        <f t="shared" ref="X653:X665" si="342">K653*(V653-U653)</f>
        <v>250</v>
      </c>
      <c r="Y653" s="43">
        <f t="shared" ref="Y653:Y665" si="343">W653/O653</f>
        <v>-0.15591913929784823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53.77</v>
      </c>
      <c r="V654" s="13">
        <f>IF(ISNA(VLOOKUP(LOWER(F654)&amp;H654,Prices!A:C,2,0)),0,VLOOKUP(LOWER(F654)&amp;H654,Prices!A:C,2,0))</f>
        <v>52.7</v>
      </c>
      <c r="W654" s="13">
        <f t="shared" si="341"/>
        <v>3099.5351000000005</v>
      </c>
      <c r="X654" s="46">
        <f t="shared" si="342"/>
        <v>-535.00000000000011</v>
      </c>
      <c r="Y654" s="43">
        <f t="shared" si="343"/>
        <v>0.13334201333620135</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53.77</v>
      </c>
      <c r="V655" s="13">
        <f>IF(ISNA(VLOOKUP(LOWER(F655)&amp;H655,Prices!A:C,2,0)),0,VLOOKUP(LOWER(F655)&amp;H655,Prices!A:C,2,0))</f>
        <v>52.7</v>
      </c>
      <c r="W655" s="13">
        <f t="shared" si="341"/>
        <v>3094.5350000000003</v>
      </c>
      <c r="X655" s="46">
        <f t="shared" si="342"/>
        <v>-535.00000000000011</v>
      </c>
      <c r="Y655" s="43">
        <f t="shared" si="343"/>
        <v>0.13309827956989248</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21.83</v>
      </c>
      <c r="V656" s="13">
        <f>IF(ISNA(VLOOKUP(LOWER(F656)&amp;H656,Prices!A:C,2,0)),0,VLOOKUP(LOWER(F656)&amp;H656,Prices!A:C,2,0))</f>
        <v>21.89</v>
      </c>
      <c r="W656" s="13">
        <f t="shared" si="341"/>
        <v>2501.612340000001</v>
      </c>
      <c r="X656" s="46">
        <f t="shared" si="342"/>
        <v>60.000000000002274</v>
      </c>
      <c r="Y656" s="43">
        <f t="shared" si="343"/>
        <v>0.12906218542021364</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7.83</v>
      </c>
      <c r="V657" s="13">
        <f>IF(ISNA(VLOOKUP(LOWER(F657)&amp;H657,Prices!A:C,2,0)),0,VLOOKUP(LOWER(F657)&amp;H657,Prices!A:C,2,0))</f>
        <v>7.83</v>
      </c>
      <c r="W657" s="13">
        <f t="shared" si="341"/>
        <v>-2765.0000000000005</v>
      </c>
      <c r="X657" s="46">
        <f t="shared" si="342"/>
        <v>0</v>
      </c>
      <c r="Y657" s="43">
        <f t="shared" si="343"/>
        <v>-0.15010857763300761</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7.83</v>
      </c>
      <c r="V658" s="13">
        <f>IF(ISNA(VLOOKUP(LOWER(F658)&amp;H658,Prices!A:C,2,0)),0,VLOOKUP(LOWER(F658)&amp;H658,Prices!A:C,2,0))</f>
        <v>7.83</v>
      </c>
      <c r="W658" s="13">
        <f t="shared" si="341"/>
        <v>-2804.9999999999995</v>
      </c>
      <c r="X658" s="46">
        <f t="shared" si="342"/>
        <v>0</v>
      </c>
      <c r="Y658" s="43">
        <f t="shared" si="343"/>
        <v>-0.15195016251354276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40.54</v>
      </c>
      <c r="V659" s="13">
        <f>IF(ISNA(VLOOKUP(LOWER(F659)&amp;H659,Prices!A:C,2,0)),0,VLOOKUP(LOWER(F659)&amp;H659,Prices!A:C,2,0))</f>
        <v>42.85</v>
      </c>
      <c r="W659" s="13">
        <f t="shared" si="341"/>
        <v>-2310</v>
      </c>
      <c r="X659" s="46">
        <f t="shared" si="342"/>
        <v>231.00000000000023</v>
      </c>
      <c r="Y659" s="43">
        <f t="shared" si="343"/>
        <v>-0.35053110773899843</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7.97</v>
      </c>
      <c r="V661" s="13">
        <f>IF(ISNA(VLOOKUP(LOWER(F661)&amp;H661,Prices!A:C,2,0)),0,VLOOKUP(LOWER(F661)&amp;H661,Prices!A:C,2,0))</f>
        <v>8.11</v>
      </c>
      <c r="W661" s="13">
        <f t="shared" si="341"/>
        <v>1244.862799999999</v>
      </c>
      <c r="X661" s="46">
        <f t="shared" si="342"/>
        <v>139.99999999999969</v>
      </c>
      <c r="Y661" s="43">
        <f t="shared" si="343"/>
        <v>0.18146688046647216</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5.99</v>
      </c>
      <c r="V662" s="13">
        <f>IF(ISNA(VLOOKUP(LOWER(F662)&amp;H662,Prices!A:C,2,0)),0,VLOOKUP(LOWER(F662)&amp;H662,Prices!A:C,2,0))</f>
        <v>6.02</v>
      </c>
      <c r="W662" s="13">
        <f t="shared" si="341"/>
        <v>-3905.0000000000009</v>
      </c>
      <c r="X662" s="46">
        <f t="shared" si="342"/>
        <v>29.999999999999361</v>
      </c>
      <c r="Y662" s="43">
        <f t="shared" si="343"/>
        <v>-0.39364919354838718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32.97</v>
      </c>
      <c r="V663" s="13">
        <f>IF(ISNA(VLOOKUP(LOWER(F663)&amp;H663,Prices!A:C,2,0)),0,VLOOKUP(LOWER(F663)&amp;H663,Prices!A:C,2,0))</f>
        <v>33.65</v>
      </c>
      <c r="W663" s="13">
        <f t="shared" si="341"/>
        <v>1429.6921999999981</v>
      </c>
      <c r="X663" s="46">
        <f t="shared" si="342"/>
        <v>339.99999999999989</v>
      </c>
      <c r="Y663" s="43">
        <f t="shared" si="343"/>
        <v>9.2897478882391041E-2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31.51</v>
      </c>
      <c r="V665" s="13">
        <f>IF(ISNA(VLOOKUP(LOWER(F665)&amp;H665,Prices!A:C,2,0)),0,VLOOKUP(LOWER(F665)&amp;H665,Prices!A:C,2,0))</f>
        <v>31.2</v>
      </c>
      <c r="W665" s="13">
        <f t="shared" si="341"/>
        <v>6309.8142999999991</v>
      </c>
      <c r="X665" s="46">
        <f t="shared" si="342"/>
        <v>-155.00000000000114</v>
      </c>
      <c r="Y665" s="43">
        <f t="shared" si="343"/>
        <v>0.67957073774905752</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32.97</v>
      </c>
      <c r="V667" s="13">
        <f>IF(ISNA(VLOOKUP(LOWER(F667)&amp;H667,Prices!A:C,2,0)),0,VLOOKUP(LOWER(F667)&amp;H667,Prices!A:C,2,0))</f>
        <v>33.65</v>
      </c>
      <c r="W667" s="13">
        <f>IF(I667="B",(V667+T667)*K667,(V667+T667)*K667)</f>
        <v>-1415.7385999999992</v>
      </c>
      <c r="X667" s="46">
        <f t="shared" si="348"/>
        <v>-339.99999999999989</v>
      </c>
      <c r="Y667" s="43">
        <f t="shared" ref="Y667" si="349">W667/O667</f>
        <v>-9.1752339598185309E-2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29.57</v>
      </c>
      <c r="V672" s="13">
        <f>IF(ISNA(VLOOKUP(LOWER(F672)&amp;H672,Prices!A:C,2,0)),0,VLOOKUP(LOWER(F672)&amp;H672,Prices!A:C,2,0))</f>
        <v>29.82</v>
      </c>
      <c r="W672" s="13">
        <f t="shared" ref="W672:W674" si="360">IF(I672="B",(V672+T672)*K672,(V672+T672)*K672)</f>
        <v>2862.2000000000016</v>
      </c>
      <c r="X672" s="46">
        <f t="shared" ref="X672:X674" si="361">K672*(V672-U672)</f>
        <v>-125</v>
      </c>
      <c r="Y672" s="43">
        <f t="shared" ref="Y672:Y674" si="362">W672/O672</f>
        <v>0.16084293340826084</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29.57</v>
      </c>
      <c r="V674" s="13">
        <f>IF(ISNA(VLOOKUP(LOWER(F674)&amp;H674,Prices!A:C,2,0)),0,VLOOKUP(LOWER(F674)&amp;H674,Prices!A:C,2,0))</f>
        <v>29.82</v>
      </c>
      <c r="W674" s="13">
        <f t="shared" si="360"/>
        <v>2982.08</v>
      </c>
      <c r="X674" s="46">
        <f t="shared" si="361"/>
        <v>-125</v>
      </c>
      <c r="Y674" s="43">
        <f t="shared" si="362"/>
        <v>0.16645715880547027</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7.83</v>
      </c>
      <c r="V675" s="13">
        <f>IF(ISNA(VLOOKUP(LOWER(F675)&amp;H675,Prices!A:C,2,0)),0,VLOOKUP(LOWER(F675)&amp;H675,Prices!A:C,2,0))</f>
        <v>7.75</v>
      </c>
      <c r="W675" s="13">
        <f t="shared" ref="W675:W687" si="367">IF(I675="B",(V675+T675)*K675,(V675+T675)*K675)</f>
        <v>-4618.0620000000163</v>
      </c>
      <c r="X675" s="46">
        <f t="shared" ref="X675:X687" si="368">K675*(V675-U675)</f>
        <v>-800.00000000000068</v>
      </c>
      <c r="Y675" s="43">
        <f t="shared" ref="Y675:Y687" si="369">W675/O675</f>
        <v>-5.624923264311834E-2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53.77</v>
      </c>
      <c r="V676" s="13">
        <f>IF(ISNA(VLOOKUP(LOWER(F676)&amp;H676,Prices!A:C,2,0)),0,VLOOKUP(LOWER(F676)&amp;H676,Prices!A:C,2,0))</f>
        <v>52.7</v>
      </c>
      <c r="W676" s="13">
        <f t="shared" si="367"/>
        <v>-3098.7456000000011</v>
      </c>
      <c r="X676" s="46">
        <f t="shared" si="368"/>
        <v>535.00000000000011</v>
      </c>
      <c r="Y676" s="43">
        <f t="shared" si="369"/>
        <v>-0.13310762886597943</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7.83</v>
      </c>
      <c r="V677" s="13">
        <f>IF(ISNA(VLOOKUP(LOWER(F677)&amp;H677,Prices!A:C,2,0)),0,VLOOKUP(LOWER(F677)&amp;H677,Prices!A:C,2,0))</f>
        <v>7.75</v>
      </c>
      <c r="W677" s="13">
        <f t="shared" si="367"/>
        <v>-1958.9539999999949</v>
      </c>
      <c r="X677" s="46">
        <f t="shared" si="368"/>
        <v>-400.00000000000034</v>
      </c>
      <c r="Y677" s="43">
        <f t="shared" si="369"/>
        <v>-4.8131547911547785E-2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40.54</v>
      </c>
      <c r="V678" s="13">
        <f>IF(ISNA(VLOOKUP(LOWER(F678)&amp;H678,Prices!A:C,2,0)),0,VLOOKUP(LOWER(F678)&amp;H678,Prices!A:C,2,0))</f>
        <v>42.85</v>
      </c>
      <c r="W678" s="13">
        <f t="shared" si="367"/>
        <v>2682.0200000000009</v>
      </c>
      <c r="X678" s="46">
        <f t="shared" si="368"/>
        <v>-231.00000000000023</v>
      </c>
      <c r="Y678" s="43">
        <f t="shared" si="369"/>
        <v>0.38429861011606253</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31.51</v>
      </c>
      <c r="V680" s="13">
        <f>IF(ISNA(VLOOKUP(LOWER(F680)&amp;H680,Prices!A:C,2,0)),0,VLOOKUP(LOWER(F680)&amp;H680,Prices!A:C,2,0))</f>
        <v>31.2</v>
      </c>
      <c r="W680" s="13">
        <f t="shared" si="367"/>
        <v>-6649.1492999999991</v>
      </c>
      <c r="X680" s="46">
        <f t="shared" si="368"/>
        <v>155.00000000000114</v>
      </c>
      <c r="Y680" s="43">
        <f t="shared" si="369"/>
        <v>-0.74167867261572773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5.99</v>
      </c>
      <c r="V681" s="13">
        <f>IF(ISNA(VLOOKUP(LOWER(F681)&amp;H681,Prices!A:C,2,0)),0,VLOOKUP(LOWER(F681)&amp;H681,Prices!A:C,2,0))</f>
        <v>6.02</v>
      </c>
      <c r="W681" s="13">
        <f t="shared" si="367"/>
        <v>3665.3</v>
      </c>
      <c r="X681" s="46">
        <f t="shared" si="368"/>
        <v>-29.999999999999361</v>
      </c>
      <c r="Y681" s="43">
        <f t="shared" si="369"/>
        <v>0.37786597938144334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7.83</v>
      </c>
      <c r="V682" s="13">
        <f>IF(ISNA(VLOOKUP(LOWER(F682)&amp;H682,Prices!A:C,2,0)),0,VLOOKUP(LOWER(F682)&amp;H682,Prices!A:C,2,0))</f>
        <v>7.83</v>
      </c>
      <c r="W682" s="13">
        <f t="shared" si="367"/>
        <v>2516.7999999999997</v>
      </c>
      <c r="X682" s="46">
        <f t="shared" si="368"/>
        <v>0</v>
      </c>
      <c r="Y682" s="43">
        <f t="shared" si="369"/>
        <v>0.13828571428571426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53.77</v>
      </c>
      <c r="V684" s="13">
        <f>IF(ISNA(VLOOKUP(LOWER(F684)&amp;H684,Prices!A:C,2,0)),0,VLOOKUP(LOWER(F684)&amp;H684,Prices!A:C,2,0))</f>
        <v>52.7</v>
      </c>
      <c r="W684" s="13">
        <f t="shared" si="367"/>
        <v>-3458.378400000001</v>
      </c>
      <c r="X684" s="46">
        <f t="shared" si="368"/>
        <v>535.00000000000011</v>
      </c>
      <c r="Y684" s="43">
        <f t="shared" si="369"/>
        <v>-0.15088910994764401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21.83</v>
      </c>
      <c r="V685" s="13">
        <f>IF(ISNA(VLOOKUP(LOWER(F685)&amp;H685,Prices!A:C,2,0)),0,VLOOKUP(LOWER(F685)&amp;H685,Prices!A:C,2,0))</f>
        <v>21.89</v>
      </c>
      <c r="W685" s="13">
        <f t="shared" si="367"/>
        <v>-3034.2575999999999</v>
      </c>
      <c r="X685" s="46">
        <f t="shared" si="368"/>
        <v>-60.000000000002274</v>
      </c>
      <c r="Y685" s="43">
        <f t="shared" si="369"/>
        <v>-0.16071279661016949</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7.83</v>
      </c>
      <c r="V686" s="13">
        <f>IF(ISNA(VLOOKUP(LOWER(F686)&amp;H686,Prices!A:C,2,0)),0,VLOOKUP(LOWER(F686)&amp;H686,Prices!A:C,2,0))</f>
        <v>7.83</v>
      </c>
      <c r="W686" s="13">
        <f t="shared" si="367"/>
        <v>2476.8399999999992</v>
      </c>
      <c r="X686" s="46">
        <f t="shared" si="368"/>
        <v>0</v>
      </c>
      <c r="Y686" s="43">
        <f t="shared" si="369"/>
        <v>0.13638986784140966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7.97</v>
      </c>
      <c r="V687" s="13">
        <f>IF(ISNA(VLOOKUP(LOWER(F687)&amp;H687,Prices!A:C,2,0)),0,VLOOKUP(LOWER(F687)&amp;H687,Prices!A:C,2,0))</f>
        <v>8.11</v>
      </c>
      <c r="W687" s="13">
        <f t="shared" si="367"/>
        <v>-1601.6503999999995</v>
      </c>
      <c r="X687" s="46">
        <f t="shared" si="368"/>
        <v>-139.99999999999969</v>
      </c>
      <c r="Y687" s="43">
        <f t="shared" si="369"/>
        <v>-0.24565190184049074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13.02</v>
      </c>
      <c r="V688" s="13">
        <f>IF(ISNA(VLOOKUP(LOWER(F688)&amp;H688,Prices!A:C,2,0)),0,VLOOKUP(LOWER(F688)&amp;H688,Prices!A:C,2,0))</f>
        <v>13.35</v>
      </c>
      <c r="W688" s="13">
        <f t="shared" ref="W688:W695" si="374">IF(I688="B",(V688+T688)*K688,(V688+T688)*K688)</f>
        <v>-75.000000000001066</v>
      </c>
      <c r="X688" s="13">
        <f t="shared" ref="X688:X695" si="375">K688*(V688-U688)</f>
        <v>330.00000000000006</v>
      </c>
      <c r="Y688" s="43">
        <f t="shared" ref="Y688:Y695" si="376">W688/O688</f>
        <v>-5.5886736214605858E-3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32.97</v>
      </c>
      <c r="V689" s="13">
        <f>IF(ISNA(VLOOKUP(LOWER(F689)&amp;H689,Prices!A:C,2,0)),0,VLOOKUP(LOWER(F689)&amp;H689,Prices!A:C,2,0))</f>
        <v>33.65</v>
      </c>
      <c r="W689" s="13">
        <f t="shared" si="374"/>
        <v>3312.3271800000007</v>
      </c>
      <c r="X689" s="13">
        <f t="shared" si="375"/>
        <v>679.99999999999977</v>
      </c>
      <c r="Y689" s="43">
        <f t="shared" si="376"/>
        <v>0.10920599980218261</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13.02</v>
      </c>
      <c r="V690" s="13">
        <f>IF(ISNA(VLOOKUP(LOWER(F690)&amp;H690,Prices!A:C,2,0)),0,VLOOKUP(LOWER(F690)&amp;H690,Prices!A:C,2,0))</f>
        <v>13.35</v>
      </c>
      <c r="W690" s="13">
        <f t="shared" si="374"/>
        <v>-64.999999999999503</v>
      </c>
      <c r="X690" s="13">
        <f t="shared" si="375"/>
        <v>330.00000000000006</v>
      </c>
      <c r="Y690" s="43">
        <f t="shared" si="376"/>
        <v>-4.8471290082027964E-3</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32.97</v>
      </c>
      <c r="V691" s="13">
        <f>IF(ISNA(VLOOKUP(LOWER(F691)&amp;H691,Prices!A:C,2,0)),0,VLOOKUP(LOWER(F691)&amp;H691,Prices!A:C,2,0))</f>
        <v>33.65</v>
      </c>
      <c r="W691" s="13">
        <f t="shared" si="374"/>
        <v>1714.6978999999992</v>
      </c>
      <c r="X691" s="13">
        <f t="shared" si="375"/>
        <v>339.99999999999989</v>
      </c>
      <c r="Y691" s="43">
        <f t="shared" si="376"/>
        <v>0.11351856338960604</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7.83</v>
      </c>
      <c r="V692" s="13">
        <f>IF(ISNA(VLOOKUP(LOWER(F692)&amp;H692,Prices!A:C,2,0)),0,VLOOKUP(LOWER(F692)&amp;H692,Prices!A:C,2,0))</f>
        <v>7.75</v>
      </c>
      <c r="W692" s="13">
        <f t="shared" si="374"/>
        <v>-350.23939999999999</v>
      </c>
      <c r="X692" s="13">
        <f t="shared" si="375"/>
        <v>-120.00000000000011</v>
      </c>
      <c r="Y692" s="43">
        <f t="shared" si="376"/>
        <v>-2.9259766081871343E-2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66.38</v>
      </c>
      <c r="V693" s="13">
        <f>IF(ISNA(VLOOKUP(LOWER(F693)&amp;H693,Prices!A:C,2,0)),0,VLOOKUP(LOWER(F693)&amp;H693,Prices!A:C,2,0))</f>
        <v>65.8</v>
      </c>
      <c r="W693" s="13">
        <f t="shared" si="374"/>
        <v>7214.8639999999987</v>
      </c>
      <c r="X693" s="13">
        <f t="shared" si="375"/>
        <v>-289.99999999999915</v>
      </c>
      <c r="Y693" s="43">
        <f t="shared" si="376"/>
        <v>0.28095264797507785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11.73</v>
      </c>
      <c r="V694" s="13">
        <f>IF(ISNA(VLOOKUP(LOWER(F694)&amp;H694,Prices!A:C,2,0)),0,VLOOKUP(LOWER(F694)&amp;H694,Prices!A:C,2,0))</f>
        <v>11.74</v>
      </c>
      <c r="W694" s="13">
        <f t="shared" si="374"/>
        <v>2244.8101999999999</v>
      </c>
      <c r="X694" s="13">
        <f t="shared" si="375"/>
        <v>9.9999999999997868</v>
      </c>
      <c r="Y694" s="43">
        <f t="shared" si="376"/>
        <v>0.23654480505795572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7.83</v>
      </c>
      <c r="V695" s="13">
        <f>IF(ISNA(VLOOKUP(LOWER(F695)&amp;H695,Prices!A:C,2,0)),0,VLOOKUP(LOWER(F695)&amp;H695,Prices!A:C,2,0))</f>
        <v>7.75</v>
      </c>
      <c r="W695" s="13">
        <f t="shared" si="374"/>
        <v>4502.5020000000195</v>
      </c>
      <c r="X695" s="13">
        <f t="shared" si="375"/>
        <v>1200.0000000000011</v>
      </c>
      <c r="Y695" s="43">
        <f t="shared" si="376"/>
        <v>3.7241538461538617E-2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11.73</v>
      </c>
      <c r="V696" s="13">
        <f>IF(ISNA(VLOOKUP(LOWER(F696)&amp;H696,Prices!A:C,2,0)),0,VLOOKUP(LOWER(F696)&amp;H696,Prices!A:C,2,0))</f>
        <v>11.74</v>
      </c>
      <c r="W696" s="13">
        <f t="shared" ref="W696:W698" si="381">IF(I696="B",(V696+T696)*K696,(V696+T696)*K696)</f>
        <v>-2114.8328000000001</v>
      </c>
      <c r="X696" s="13">
        <f t="shared" ref="X696:X698" si="382">K696*(V696-U696)</f>
        <v>-9.9999999999997868</v>
      </c>
      <c r="Y696" s="43">
        <f t="shared" ref="Y696:Y698" si="383">W696/O696</f>
        <v>-0.21938099585062243</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66.38</v>
      </c>
      <c r="V697" s="13">
        <f>IF(ISNA(VLOOKUP(LOWER(F697)&amp;H697,Prices!A:C,2,0)),0,VLOOKUP(LOWER(F697)&amp;H697,Prices!A:C,2,0))</f>
        <v>65.8</v>
      </c>
      <c r="W697" s="13">
        <f t="shared" si="381"/>
        <v>-6881.2599999999975</v>
      </c>
      <c r="X697" s="13">
        <f t="shared" si="382"/>
        <v>289.99999999999915</v>
      </c>
      <c r="Y697" s="43">
        <f t="shared" si="383"/>
        <v>-0.26415585412667936</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13.02</v>
      </c>
      <c r="V698" s="13">
        <f>IF(ISNA(VLOOKUP(LOWER(F698)&amp;H698,Prices!A:C,2,0)),0,VLOOKUP(LOWER(F698)&amp;H698,Prices!A:C,2,0))</f>
        <v>13.35</v>
      </c>
      <c r="W698" s="13">
        <f t="shared" si="381"/>
        <v>34.940000000000282</v>
      </c>
      <c r="X698" s="13">
        <f t="shared" si="382"/>
        <v>-198.00000000000006</v>
      </c>
      <c r="Y698" s="43">
        <f t="shared" si="383"/>
        <v>4.3360635393398213E-3</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32.97</v>
      </c>
      <c r="V699" s="13">
        <f>IF(ISNA(VLOOKUP(LOWER(F699)&amp;H699,Prices!A:C,2,0)),0,VLOOKUP(LOWER(F699)&amp;H699,Prices!A:C,2,0))</f>
        <v>33.65</v>
      </c>
      <c r="W699" s="13">
        <f t="shared" ref="W699:W708" si="384">IF(I699="B",(V699+T699)*K699,(V699+T699)*K699)</f>
        <v>-4960.5953999999938</v>
      </c>
      <c r="X699" s="13">
        <f t="shared" ref="X699:X708" si="385">K699*(V699-U699)</f>
        <v>-1019.9999999999995</v>
      </c>
      <c r="Y699" s="43">
        <f t="shared" ref="Y699:Y708" si="386">W699/O699</f>
        <v>-0.10885660302830796</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7.83</v>
      </c>
      <c r="V700" s="13">
        <f>IF(ISNA(VLOOKUP(LOWER(F700)&amp;H700,Prices!A:C,2,0)),0,VLOOKUP(LOWER(F700)&amp;H700,Prices!A:C,2,0))</f>
        <v>7.75</v>
      </c>
      <c r="W700" s="13">
        <f t="shared" si="384"/>
        <v>582.52550000000008</v>
      </c>
      <c r="X700" s="13">
        <f t="shared" si="385"/>
        <v>120.00000000000011</v>
      </c>
      <c r="Y700" s="43">
        <f t="shared" si="386"/>
        <v>4.7650347648261766E-2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7.7</v>
      </c>
      <c r="V701" s="13">
        <f>IF(ISNA(VLOOKUP(LOWER(F701)&amp;H701,Prices!A:C,2,0)),0,VLOOKUP(LOWER(F701)&amp;H701,Prices!A:C,2,0))</f>
        <v>7.76</v>
      </c>
      <c r="W701" s="13">
        <f t="shared" si="384"/>
        <v>-3314.9999999999995</v>
      </c>
      <c r="X701" s="13">
        <f t="shared" si="385"/>
        <v>59.999999999999609</v>
      </c>
      <c r="Y701" s="43">
        <f t="shared" si="386"/>
        <v>-0.29945799457994576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7.7</v>
      </c>
      <c r="V702" s="13">
        <f>IF(ISNA(VLOOKUP(LOWER(F702)&amp;H702,Prices!A:C,2,0)),0,VLOOKUP(LOWER(F702)&amp;H702,Prices!A:C,2,0))</f>
        <v>7.76</v>
      </c>
      <c r="W702" s="13">
        <f t="shared" si="384"/>
        <v>-3285</v>
      </c>
      <c r="X702" s="13">
        <f t="shared" si="385"/>
        <v>59.999999999999609</v>
      </c>
      <c r="Y702" s="43">
        <f t="shared" si="386"/>
        <v>-0.29755434782608697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12.39</v>
      </c>
      <c r="V703" s="13">
        <f>IF(ISNA(VLOOKUP(LOWER(F703)&amp;H703,Prices!A:C,2,0)),0,VLOOKUP(LOWER(F703)&amp;H703,Prices!A:C,2,0))</f>
        <v>12.4</v>
      </c>
      <c r="W703" s="13">
        <f t="shared" si="384"/>
        <v>1655.0000000000011</v>
      </c>
      <c r="X703" s="13">
        <f t="shared" si="385"/>
        <v>19.999999999999574</v>
      </c>
      <c r="Y703" s="43">
        <f t="shared" si="386"/>
        <v>7.1521175453759772E-2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13.02</v>
      </c>
      <c r="V704" s="13">
        <f>IF(ISNA(VLOOKUP(LOWER(F704)&amp;H704,Prices!A:C,2,0)),0,VLOOKUP(LOWER(F704)&amp;H704,Prices!A:C,2,0))</f>
        <v>13.35</v>
      </c>
      <c r="W704" s="13">
        <f t="shared" si="384"/>
        <v>-121.59000000000013</v>
      </c>
      <c r="X704" s="13">
        <f t="shared" si="385"/>
        <v>-462.00000000000011</v>
      </c>
      <c r="Y704" s="43">
        <f t="shared" si="386"/>
        <v>-6.5399096385542243E-3</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7.7</v>
      </c>
      <c r="V705" s="13">
        <f>IF(ISNA(VLOOKUP(LOWER(F705)&amp;H705,Prices!A:C,2,0)),0,VLOOKUP(LOWER(F705)&amp;H705,Prices!A:C,2,0))</f>
        <v>7.76</v>
      </c>
      <c r="W705" s="13">
        <f t="shared" si="384"/>
        <v>6393.0600000000022</v>
      </c>
      <c r="X705" s="13">
        <f t="shared" si="385"/>
        <v>-119.99999999999922</v>
      </c>
      <c r="Y705" s="43">
        <f t="shared" si="386"/>
        <v>0.29138833181403839</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10.63</v>
      </c>
      <c r="V706" s="13">
        <f>IF(ISNA(VLOOKUP(LOWER(F706)&amp;H706,Prices!A:C,2,0)),0,VLOOKUP(LOWER(F706)&amp;H706,Prices!A:C,2,0))</f>
        <v>10.66</v>
      </c>
      <c r="W706" s="13">
        <f t="shared" si="384"/>
        <v>94.788799999999895</v>
      </c>
      <c r="X706" s="13">
        <f t="shared" si="385"/>
        <v>29.999999999999361</v>
      </c>
      <c r="Y706" s="43">
        <f t="shared" si="386"/>
        <v>8.9762121212121106E-3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36.85</v>
      </c>
      <c r="V707" s="13">
        <f>IF(ISNA(VLOOKUP(LOWER(F707)&amp;H707,Prices!A:C,2,0)),0,VLOOKUP(LOWER(F707)&amp;H707,Prices!A:C,2,0))</f>
        <v>37.090000000000003</v>
      </c>
      <c r="W707" s="13">
        <f t="shared" si="384"/>
        <v>-2383.9999999999995</v>
      </c>
      <c r="X707" s="13">
        <f t="shared" si="385"/>
        <v>24.000000000000199</v>
      </c>
      <c r="Y707" s="43">
        <f t="shared" si="386"/>
        <v>-0.39159001314060438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12.39</v>
      </c>
      <c r="V708" s="13">
        <f>IF(ISNA(VLOOKUP(LOWER(F708)&amp;H708,Prices!A:C,2,0)),0,VLOOKUP(LOWER(F708)&amp;H708,Prices!A:C,2,0))</f>
        <v>12.4</v>
      </c>
      <c r="W708" s="13">
        <f t="shared" si="384"/>
        <v>-2347.4800000000009</v>
      </c>
      <c r="X708" s="13">
        <f t="shared" si="385"/>
        <v>-19.999999999999574</v>
      </c>
      <c r="Y708" s="43">
        <f t="shared" si="386"/>
        <v>-0.10442526690391463</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27.96</v>
      </c>
      <c r="V709" s="13">
        <f>IF(ISNA(VLOOKUP(LOWER(F709)&amp;H709,Prices!A:C,2,0)),0,VLOOKUP(LOWER(F709)&amp;H709,Prices!A:C,2,0))</f>
        <v>28.55</v>
      </c>
      <c r="W709" s="13">
        <f t="shared" ref="W709:W713" si="400">IF(I709="B",(V709+T709)*K709,(V709+T709)*K709)</f>
        <v>13631.307999999997</v>
      </c>
      <c r="X709" s="13">
        <f t="shared" ref="X709:X713" si="401">K709*(V709-U709)</f>
        <v>1179.9999999999998</v>
      </c>
      <c r="Y709" s="43">
        <f t="shared" ref="Y709:Y713" si="402">W709/O709</f>
        <v>0.31365181776346057</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74.86</v>
      </c>
      <c r="V711" s="13">
        <f>IF(ISNA(VLOOKUP(LOWER(F711)&amp;H711,Prices!A:C,2,0)),0,VLOOKUP(LOWER(F711)&amp;H711,Prices!A:C,2,0))</f>
        <v>72.930000000000007</v>
      </c>
      <c r="W711" s="13">
        <f t="shared" si="400"/>
        <v>65805.992400000017</v>
      </c>
      <c r="X711" s="13">
        <f t="shared" si="401"/>
        <v>-3859.9999999999854</v>
      </c>
      <c r="Y711" s="43">
        <f t="shared" si="402"/>
        <v>0.82218436742547307</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36.85</v>
      </c>
      <c r="V712" s="13">
        <f>IF(ISNA(VLOOKUP(LOWER(F712)&amp;H712,Prices!A:C,2,0)),0,VLOOKUP(LOWER(F712)&amp;H712,Prices!A:C,2,0))</f>
        <v>37.090000000000003</v>
      </c>
      <c r="W712" s="13">
        <f t="shared" si="400"/>
        <v>2245.0299999999993</v>
      </c>
      <c r="X712" s="13">
        <f t="shared" si="401"/>
        <v>-24.000000000000199</v>
      </c>
      <c r="Y712" s="43">
        <f t="shared" si="402"/>
        <v>0.37636714165968138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10.63</v>
      </c>
      <c r="V713" s="13">
        <f>IF(ISNA(VLOOKUP(LOWER(F713)&amp;H713,Prices!A:C,2,0)),0,VLOOKUP(LOWER(F713)&amp;H713,Prices!A:C,2,0))</f>
        <v>10.66</v>
      </c>
      <c r="W713" s="13">
        <f t="shared" si="400"/>
        <v>-275.60800000000006</v>
      </c>
      <c r="X713" s="13">
        <f t="shared" si="401"/>
        <v>-29.999999999999361</v>
      </c>
      <c r="Y713" s="43">
        <f t="shared" si="402"/>
        <v>-2.6500769230769237E-2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27.96</v>
      </c>
      <c r="V714" s="13">
        <f>IF(ISNA(VLOOKUP(LOWER(F714)&amp;H714,Prices!A:C,2,0)),0,VLOOKUP(LOWER(F714)&amp;H714,Prices!A:C,2,0))</f>
        <v>28.55</v>
      </c>
      <c r="W714" s="13">
        <f t="shared" ref="W714" si="407">IF(I714="B",(V714+T714)*K714,(V714+T714)*K714)</f>
        <v>-13492.392000000009</v>
      </c>
      <c r="X714" s="13">
        <f t="shared" ref="X714" si="408">K714*(V714-U714)</f>
        <v>-1179.9999999999998</v>
      </c>
      <c r="Y714" s="43">
        <f t="shared" ref="Y714" si="409">W714/O714</f>
        <v>-0.30903325698579959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74.86</v>
      </c>
      <c r="V716" s="13">
        <f>IF(ISNA(VLOOKUP(LOWER(F716)&amp;H716,Prices!A:C,2,0)),0,VLOOKUP(LOWER(F716)&amp;H716,Prices!A:C,2,0))</f>
        <v>72.930000000000007</v>
      </c>
      <c r="W716" s="13">
        <f t="shared" si="414"/>
        <v>33412.098000000005</v>
      </c>
      <c r="X716" s="13">
        <f t="shared" si="415"/>
        <v>-1929.9999999999927</v>
      </c>
      <c r="Y716" s="43">
        <f t="shared" si="416"/>
        <v>0.84566180713743366</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27.96</v>
      </c>
      <c r="V717" s="13">
        <f>IF(ISNA(VLOOKUP(LOWER(F717)&amp;H717,Prices!A:C,2,0)),0,VLOOKUP(LOWER(F717)&amp;H717,Prices!A:C,2,0))</f>
        <v>28.55</v>
      </c>
      <c r="W717" s="13">
        <f t="shared" si="414"/>
        <v>13831.347999999998</v>
      </c>
      <c r="X717" s="13">
        <f t="shared" si="415"/>
        <v>1179.9999999999998</v>
      </c>
      <c r="Y717" s="43">
        <f>W717/O717</f>
        <v>0.31972602866389271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74.86</v>
      </c>
      <c r="V718" s="13">
        <f>IF(ISNA(VLOOKUP(LOWER(F718)&amp;H718,Prices!A:C,2,0)),0,VLOOKUP(LOWER(F718)&amp;H718,Prices!A:C,2,0))</f>
        <v>72.930000000000007</v>
      </c>
      <c r="W718" s="13">
        <f t="shared" si="414"/>
        <v>33572.130000000005</v>
      </c>
      <c r="X718" s="13">
        <f t="shared" si="415"/>
        <v>-1929.9999999999927</v>
      </c>
      <c r="Y718" s="43">
        <f t="shared" si="416"/>
        <v>0.85316721728081335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66.38</v>
      </c>
      <c r="V719" s="13">
        <f>IF(ISNA(VLOOKUP(LOWER(F719)&amp;H719,Prices!A:C,2,0)),0,VLOOKUP(LOWER(F719)&amp;H719,Prices!A:C,2,0))</f>
        <v>65.8</v>
      </c>
      <c r="W719" s="13">
        <f t="shared" ref="W719:W740" si="422">IF(I719="B",(V719+T719)*K719,(V719+T719)*K719)</f>
        <v>8741.8535999999986</v>
      </c>
      <c r="X719" s="13">
        <f t="shared" ref="X719:X740" si="423">K719*(V719-U719)</f>
        <v>-347.99999999999898</v>
      </c>
      <c r="Y719" s="43">
        <f t="shared" ref="Y719:Y740" si="424">W719/O719</f>
        <v>0.28445443186255365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6.04</v>
      </c>
      <c r="V720" s="13">
        <f>IF(ISNA(VLOOKUP(LOWER(F720)&amp;H720,Prices!A:C,2,0)),0,VLOOKUP(LOWER(F720)&amp;H720,Prices!A:C,2,0))</f>
        <v>6.22</v>
      </c>
      <c r="W720" s="13">
        <f t="shared" si="422"/>
        <v>5633.0303999999987</v>
      </c>
      <c r="X720" s="13">
        <f t="shared" si="423"/>
        <v>1079.9999999999982</v>
      </c>
      <c r="Y720" s="43">
        <f t="shared" si="424"/>
        <v>0.17781030303030299</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6.04</v>
      </c>
      <c r="V722" s="13">
        <f>IF(ISNA(VLOOKUP(LOWER(F722)&amp;H722,Prices!A:C,2,0)),0,VLOOKUP(LOWER(F722)&amp;H722,Prices!A:C,2,0))</f>
        <v>6.22</v>
      </c>
      <c r="W722" s="13">
        <f t="shared" si="422"/>
        <v>5813.07</v>
      </c>
      <c r="X722" s="13">
        <f t="shared" si="423"/>
        <v>1079.9999999999982</v>
      </c>
      <c r="Y722" s="43">
        <f t="shared" si="424"/>
        <v>0.18454190476190474</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69.010000000000005</v>
      </c>
      <c r="V723" s="13">
        <f>IF(ISNA(VLOOKUP(LOWER(F723)&amp;H723,Prices!A:C,2,0)),0,VLOOKUP(LOWER(F723)&amp;H723,Prices!A:C,2,0))</f>
        <v>68.489999999999995</v>
      </c>
      <c r="W723" s="13">
        <f t="shared" si="422"/>
        <v>31222.547999999995</v>
      </c>
      <c r="X723" s="13">
        <f t="shared" si="423"/>
        <v>-520.00000000001023</v>
      </c>
      <c r="Y723" s="43">
        <f t="shared" si="424"/>
        <v>0.83796425120772933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6.04</v>
      </c>
      <c r="V724" s="13">
        <f>IF(ISNA(VLOOKUP(LOWER(F724)&amp;H724,Prices!A:C,2,0)),0,VLOOKUP(LOWER(F724)&amp;H724,Prices!A:C,2,0))</f>
        <v>6.22</v>
      </c>
      <c r="W724" s="13">
        <f t="shared" si="422"/>
        <v>5993.1096000000007</v>
      </c>
      <c r="X724" s="13">
        <f t="shared" si="423"/>
        <v>1079.9999999999982</v>
      </c>
      <c r="Y724" s="43">
        <f t="shared" si="424"/>
        <v>0.19135088122605365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74.86</v>
      </c>
      <c r="V725" s="13">
        <f>IF(ISNA(VLOOKUP(LOWER(F725)&amp;H725,Prices!A:C,2,0)),0,VLOOKUP(LOWER(F725)&amp;H725,Prices!A:C,2,0))</f>
        <v>72.930000000000007</v>
      </c>
      <c r="W725" s="13">
        <f t="shared" si="422"/>
        <v>33432.102000000006</v>
      </c>
      <c r="X725" s="13">
        <f t="shared" si="423"/>
        <v>-1929.9999999999927</v>
      </c>
      <c r="Y725" s="43">
        <f t="shared" si="424"/>
        <v>0.84659665738161571</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115.56</v>
      </c>
      <c r="V726" s="13">
        <f>IF(ISNA(VLOOKUP(LOWER(F726)&amp;H726,Prices!A:C,2,0)),0,VLOOKUP(LOWER(F726)&amp;H726,Prices!A:C,2,0))</f>
        <v>114</v>
      </c>
      <c r="W726" s="13">
        <f t="shared" si="422"/>
        <v>33223.848000000005</v>
      </c>
      <c r="X726" s="13">
        <f t="shared" si="423"/>
        <v>-1560.0000000000023</v>
      </c>
      <c r="Y726" s="43">
        <f t="shared" si="424"/>
        <v>0.41138989598811299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23.79</v>
      </c>
      <c r="V727" s="13">
        <f>IF(ISNA(VLOOKUP(LOWER(F727)&amp;H727,Prices!A:C,2,0)),0,VLOOKUP(LOWER(F727)&amp;H727,Prices!A:C,2,0))</f>
        <v>24.15</v>
      </c>
      <c r="W727" s="13">
        <f t="shared" si="422"/>
        <v>-190.66560000000266</v>
      </c>
      <c r="X727" s="13">
        <f t="shared" si="423"/>
        <v>719.99999999999886</v>
      </c>
      <c r="Y727" s="43">
        <f t="shared" si="424"/>
        <v>-3.9328712871287679E-3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66.38</v>
      </c>
      <c r="V728" s="13">
        <f>IF(ISNA(VLOOKUP(LOWER(F728)&amp;H728,Prices!A:C,2,0)),0,VLOOKUP(LOWER(F728)&amp;H728,Prices!A:C,2,0))</f>
        <v>65.8</v>
      </c>
      <c r="W728" s="13">
        <f t="shared" si="422"/>
        <v>90419.135999999969</v>
      </c>
      <c r="X728" s="13">
        <f t="shared" si="423"/>
        <v>-3479.99999999999</v>
      </c>
      <c r="Y728" s="43">
        <f t="shared" si="424"/>
        <v>0.2971186119873816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6.04</v>
      </c>
      <c r="V730" s="13">
        <f>IF(ISNA(VLOOKUP(LOWER(F730)&amp;H730,Prices!A:C,2,0)),0,VLOOKUP(LOWER(F730)&amp;H730,Prices!A:C,2,0))</f>
        <v>6.22</v>
      </c>
      <c r="W730" s="13">
        <f t="shared" si="422"/>
        <v>5993.1096000000007</v>
      </c>
      <c r="X730" s="13">
        <f t="shared" si="423"/>
        <v>1079.9999999999982</v>
      </c>
      <c r="Y730" s="43">
        <f t="shared" si="424"/>
        <v>0.19135088122605365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14.93</v>
      </c>
      <c r="V732" s="13">
        <f>IF(ISNA(VLOOKUP(LOWER(F732)&amp;H732,Prices!A:C,2,0)),0,VLOOKUP(LOWER(F732)&amp;H732,Prices!A:C,2,0))</f>
        <v>14.83</v>
      </c>
      <c r="W732" s="13">
        <f t="shared" si="422"/>
        <v>-2086.9828000000011</v>
      </c>
      <c r="X732" s="13">
        <f t="shared" si="423"/>
        <v>-199.99999999999929</v>
      </c>
      <c r="Y732" s="43">
        <f t="shared" si="424"/>
        <v>-6.5752451165721523E-2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12.27</v>
      </c>
      <c r="V735" s="13">
        <f>IF(ISNA(VLOOKUP(LOWER(F735)&amp;H735,Prices!A:C,2,0)),0,VLOOKUP(LOWER(F735)&amp;H735,Prices!A:C,2,0))</f>
        <v>12.01</v>
      </c>
      <c r="W735" s="13">
        <f t="shared" si="422"/>
        <v>-16008.004000000003</v>
      </c>
      <c r="X735" s="13">
        <f t="shared" si="423"/>
        <v>-519.99999999999955</v>
      </c>
      <c r="Y735" s="43">
        <f t="shared" si="424"/>
        <v>-0.40000009995002506</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10.64</v>
      </c>
      <c r="V737" s="13">
        <f>IF(ISNA(VLOOKUP(LOWER(F737)&amp;H737,Prices!A:C,2,0)),0,VLOOKUP(LOWER(F737)&amp;H737,Prices!A:C,2,0))</f>
        <v>10.89</v>
      </c>
      <c r="W737" s="13">
        <f t="shared" si="422"/>
        <v>-18340.199999999997</v>
      </c>
      <c r="X737" s="13">
        <f t="shared" si="423"/>
        <v>750</v>
      </c>
      <c r="Y737" s="43">
        <f t="shared" si="424"/>
        <v>-0.3596117647058823</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16.47</v>
      </c>
      <c r="V738" s="13">
        <f>IF(ISNA(VLOOKUP(LOWER(F738)&amp;H738,Prices!A:C,2,0)),0,VLOOKUP(LOWER(F738)&amp;H738,Prices!A:C,2,0))</f>
        <v>16.62</v>
      </c>
      <c r="W738" s="13">
        <f t="shared" si="422"/>
        <v>-16870.019999999997</v>
      </c>
      <c r="X738" s="13">
        <f t="shared" si="423"/>
        <v>300.00000000000426</v>
      </c>
      <c r="Y738" s="43">
        <f t="shared" si="424"/>
        <v>-0.33672694610778436</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27.96</v>
      </c>
      <c r="V739" s="13">
        <f>IF(ISNA(VLOOKUP(LOWER(F739)&amp;H739,Prices!A:C,2,0)),0,VLOOKUP(LOWER(F739)&amp;H739,Prices!A:C,2,0))</f>
        <v>28.55</v>
      </c>
      <c r="W739" s="13">
        <f t="shared" si="422"/>
        <v>-13772.055999999999</v>
      </c>
      <c r="X739" s="13">
        <f t="shared" si="423"/>
        <v>-1179.9999999999998</v>
      </c>
      <c r="Y739" s="43">
        <f t="shared" si="424"/>
        <v>-0.31747478100507143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115.56</v>
      </c>
      <c r="V741" s="13">
        <f>IF(ISNA(VLOOKUP(LOWER(F741)&amp;H741,Prices!A:C,2,0)),0,VLOOKUP(LOWER(F741)&amp;H741,Prices!A:C,2,0))</f>
        <v>114</v>
      </c>
      <c r="W741" s="13">
        <f t="shared" ref="W741:W760" si="429">IF(I741="B",(V741+T741)*K741,(V741+T741)*K741)</f>
        <v>-32328.124000000018</v>
      </c>
      <c r="X741" s="13">
        <f t="shared" ref="X741:X760" si="430">K741*(V741-U741)</f>
        <v>1560.0000000000023</v>
      </c>
      <c r="Y741" s="43">
        <f t="shared" ref="Y741:Y760" si="431">W741/O741</f>
        <v>-0.39535433533080616</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66.38</v>
      </c>
      <c r="V742" s="13">
        <f>IF(ISNA(VLOOKUP(LOWER(F742)&amp;H742,Prices!A:C,2,0)),0,VLOOKUP(LOWER(F742)&amp;H742,Prices!A:C,2,0))</f>
        <v>65.8</v>
      </c>
      <c r="W742" s="13">
        <f t="shared" si="429"/>
        <v>-47360.976600000016</v>
      </c>
      <c r="X742" s="13">
        <f t="shared" si="430"/>
        <v>1913.9999999999943</v>
      </c>
      <c r="Y742" s="43">
        <f t="shared" si="431"/>
        <v>-0.27862184218421854</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69.010000000000005</v>
      </c>
      <c r="V743" s="13">
        <f>IF(ISNA(VLOOKUP(LOWER(F743)&amp;H743,Prices!A:C,2,0)),0,VLOOKUP(LOWER(F743)&amp;H743,Prices!A:C,2,0))</f>
        <v>68.489999999999995</v>
      </c>
      <c r="W743" s="13">
        <f t="shared" si="429"/>
        <v>-15229.039999999997</v>
      </c>
      <c r="X743" s="13">
        <f t="shared" si="430"/>
        <v>260.00000000000512</v>
      </c>
      <c r="Y743" s="43">
        <f t="shared" si="431"/>
        <v>-0.79984453781512588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16.47</v>
      </c>
      <c r="V744" s="13">
        <f>IF(ISNA(VLOOKUP(LOWER(F744)&amp;H744,Prices!A:C,2,0)),0,VLOOKUP(LOWER(F744)&amp;H744,Prices!A:C,2,0))</f>
        <v>16.62</v>
      </c>
      <c r="W744" s="13">
        <f t="shared" si="429"/>
        <v>8669.6160000000018</v>
      </c>
      <c r="X744" s="13">
        <f t="shared" si="430"/>
        <v>-150.00000000000213</v>
      </c>
      <c r="Y744" s="43">
        <f t="shared" si="431"/>
        <v>0.34240189573459723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12.27</v>
      </c>
      <c r="V745" s="13">
        <f>IF(ISNA(VLOOKUP(LOWER(F745)&amp;H745,Prices!A:C,2,0)),0,VLOOKUP(LOWER(F745)&amp;H745,Prices!A:C,2,0))</f>
        <v>12.01</v>
      </c>
      <c r="W745" s="13">
        <f t="shared" si="429"/>
        <v>8154.8100000000031</v>
      </c>
      <c r="X745" s="13">
        <f t="shared" si="430"/>
        <v>259.99999999999977</v>
      </c>
      <c r="Y745" s="43">
        <f t="shared" si="431"/>
        <v>0.40390341753343256</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66.38</v>
      </c>
      <c r="V747" s="13">
        <f>IF(ISNA(VLOOKUP(LOWER(F747)&amp;H747,Prices!A:C,2,0)),0,VLOOKUP(LOWER(F747)&amp;H747,Prices!A:C,2,0))</f>
        <v>65.8</v>
      </c>
      <c r="W747" s="13">
        <f t="shared" si="429"/>
        <v>-21018.334999999985</v>
      </c>
      <c r="X747" s="13">
        <f t="shared" si="430"/>
        <v>869.9999999999975</v>
      </c>
      <c r="Y747" s="43">
        <f t="shared" si="431"/>
        <v>-0.27024538733526177</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74.86</v>
      </c>
      <c r="V748" s="13">
        <f>IF(ISNA(VLOOKUP(LOWER(F748)&amp;H748,Prices!A:C,2,0)),0,VLOOKUP(LOWER(F748)&amp;H748,Prices!A:C,2,0))</f>
        <v>72.930000000000007</v>
      </c>
      <c r="W748" s="13">
        <f t="shared" si="429"/>
        <v>-82869.49500000001</v>
      </c>
      <c r="X748" s="13">
        <f t="shared" si="430"/>
        <v>4824.9999999999818</v>
      </c>
      <c r="Y748" s="43">
        <f t="shared" si="431"/>
        <v>-0.83223193572683918</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6.04</v>
      </c>
      <c r="V750" s="13">
        <f>IF(ISNA(VLOOKUP(LOWER(F750)&amp;H750,Prices!A:C,2,0)),0,VLOOKUP(LOWER(F750)&amp;H750,Prices!A:C,2,0))</f>
        <v>6.22</v>
      </c>
      <c r="W750" s="13">
        <f t="shared" si="429"/>
        <v>-5858.4299999999985</v>
      </c>
      <c r="X750" s="13">
        <f t="shared" si="430"/>
        <v>-1079.9999999999982</v>
      </c>
      <c r="Y750" s="43">
        <f t="shared" si="431"/>
        <v>-0.18598190476190471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6.04</v>
      </c>
      <c r="V751" s="13">
        <f>IF(ISNA(VLOOKUP(LOWER(F751)&amp;H751,Prices!A:C,2,0)),0,VLOOKUP(LOWER(F751)&amp;H751,Prices!A:C,2,0))</f>
        <v>6.22</v>
      </c>
      <c r="W751" s="13">
        <f t="shared" si="429"/>
        <v>-5738.5764000000008</v>
      </c>
      <c r="X751" s="13">
        <f t="shared" si="430"/>
        <v>-1079.9999999999982</v>
      </c>
      <c r="Y751" s="43">
        <f t="shared" si="431"/>
        <v>-0.18148565464895641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6.04</v>
      </c>
      <c r="V752" s="13">
        <f>IF(ISNA(VLOOKUP(LOWER(F752)&amp;H752,Prices!A:C,2,0)),0,VLOOKUP(LOWER(F752)&amp;H752,Prices!A:C,2,0))</f>
        <v>6.22</v>
      </c>
      <c r="W752" s="13">
        <f t="shared" si="429"/>
        <v>-5798.5032000000028</v>
      </c>
      <c r="X752" s="13">
        <f t="shared" si="430"/>
        <v>-1079.9999999999982</v>
      </c>
      <c r="Y752" s="43">
        <f t="shared" si="431"/>
        <v>-0.18372950570342214</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16.47</v>
      </c>
      <c r="V754" s="13">
        <f>IF(ISNA(VLOOKUP(LOWER(F754)&amp;H754,Prices!A:C,2,0)),0,VLOOKUP(LOWER(F754)&amp;H754,Prices!A:C,2,0))</f>
        <v>16.62</v>
      </c>
      <c r="W754" s="13">
        <f t="shared" si="429"/>
        <v>4392.28</v>
      </c>
      <c r="X754" s="13">
        <f t="shared" si="430"/>
        <v>-75.000000000001066</v>
      </c>
      <c r="Y754" s="43">
        <f t="shared" si="431"/>
        <v>0.34530503144654084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12.27</v>
      </c>
      <c r="V757" s="13">
        <f>IF(ISNA(VLOOKUP(LOWER(F757)&amp;H757,Prices!A:C,2,0)),0,VLOOKUP(LOWER(F757)&amp;H757,Prices!A:C,2,0))</f>
        <v>12.01</v>
      </c>
      <c r="W757" s="13">
        <f t="shared" si="429"/>
        <v>4014.9599999999996</v>
      </c>
      <c r="X757" s="13">
        <f t="shared" si="430"/>
        <v>129.99999999999989</v>
      </c>
      <c r="Y757" s="43">
        <f t="shared" si="431"/>
        <v>0.40009566517189832</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12.27</v>
      </c>
      <c r="V762" s="13">
        <f>IF(ISNA(VLOOKUP(LOWER(F762)&amp;H762,Prices!A:C,2,0)),0,VLOOKUP(LOWER(F762)&amp;H762,Prices!A:C,2,0))</f>
        <v>12.01</v>
      </c>
      <c r="W762" s="13">
        <f t="shared" si="436"/>
        <v>4279.7000000000007</v>
      </c>
      <c r="X762" s="13">
        <f t="shared" si="437"/>
        <v>129.99999999999989</v>
      </c>
      <c r="Y762" s="43">
        <f t="shared" si="438"/>
        <v>0.41550485436893209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14.93</v>
      </c>
      <c r="V763" s="13">
        <f>IF(ISNA(VLOOKUP(LOWER(F763)&amp;H763,Prices!A:C,2,0)),0,VLOOKUP(LOWER(F763)&amp;H763,Prices!A:C,2,0))</f>
        <v>14.83</v>
      </c>
      <c r="W763" s="13">
        <f t="shared" si="436"/>
        <v>1298.5269999999982</v>
      </c>
      <c r="X763" s="13">
        <f t="shared" si="437"/>
        <v>99.999999999999645</v>
      </c>
      <c r="Y763" s="43">
        <f t="shared" si="438"/>
        <v>8.0404148606811041E-2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23.79</v>
      </c>
      <c r="V764" s="13">
        <f>IF(ISNA(VLOOKUP(LOWER(F764)&amp;H764,Prices!A:C,2,0)),0,VLOOKUP(LOWER(F764)&amp;H764,Prices!A:C,2,0))</f>
        <v>24.15</v>
      </c>
      <c r="W764" s="13">
        <f t="shared" si="436"/>
        <v>939.35360000000048</v>
      </c>
      <c r="X764" s="13">
        <f t="shared" si="437"/>
        <v>-359.99999999999943</v>
      </c>
      <c r="Y764" s="43">
        <f t="shared" si="438"/>
        <v>3.7394649681528683E-2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69.010000000000005</v>
      </c>
      <c r="V765" s="13">
        <f>IF(ISNA(VLOOKUP(LOWER(F765)&amp;H765,Prices!A:C,2,0)),0,VLOOKUP(LOWER(F765)&amp;H765,Prices!A:C,2,0))</f>
        <v>68.489999999999995</v>
      </c>
      <c r="W765" s="13">
        <f t="shared" si="436"/>
        <v>-8977.5899999999983</v>
      </c>
      <c r="X765" s="13">
        <f t="shared" si="437"/>
        <v>156.00000000000307</v>
      </c>
      <c r="Y765" s="43">
        <f t="shared" si="438"/>
        <v>-0.77486535473847729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11.45</v>
      </c>
      <c r="V766" s="13">
        <f>IF(ISNA(VLOOKUP(LOWER(F766)&amp;H766,Prices!A:C,2,0)),0,VLOOKUP(LOWER(F766)&amp;H766,Prices!A:C,2,0))</f>
        <v>11.79</v>
      </c>
      <c r="W766" s="13">
        <f t="shared" si="436"/>
        <v>-4165.0000000000009</v>
      </c>
      <c r="X766" s="13">
        <f t="shared" si="437"/>
        <v>339.99999999999989</v>
      </c>
      <c r="Y766" s="43">
        <f t="shared" si="438"/>
        <v>-0.26112852664576808</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66.38</v>
      </c>
      <c r="V767" s="13">
        <f>IF(ISNA(VLOOKUP(LOWER(F767)&amp;H767,Prices!A:C,2,0)),0,VLOOKUP(LOWER(F767)&amp;H767,Prices!A:C,2,0))</f>
        <v>65.8</v>
      </c>
      <c r="W767" s="13">
        <f t="shared" si="436"/>
        <v>-13024.500200000002</v>
      </c>
      <c r="X767" s="13">
        <f t="shared" si="437"/>
        <v>521.99999999999841</v>
      </c>
      <c r="Y767" s="43">
        <f t="shared" si="438"/>
        <v>-0.28160472638429446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6.04</v>
      </c>
      <c r="V768" s="13">
        <f>IF(ISNA(VLOOKUP(LOWER(F768)&amp;H768,Prices!A:C,2,0)),0,VLOOKUP(LOWER(F768)&amp;H768,Prices!A:C,2,0))</f>
        <v>6.22</v>
      </c>
      <c r="W768" s="13">
        <f t="shared" si="436"/>
        <v>4154.5855999999976</v>
      </c>
      <c r="X768" s="13">
        <f t="shared" si="437"/>
        <v>719.99999999999886</v>
      </c>
      <c r="Y768" s="43">
        <f t="shared" si="438"/>
        <v>0.20051088803088793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11.45</v>
      </c>
      <c r="V769" s="13">
        <f>IF(ISNA(VLOOKUP(LOWER(F769)&amp;H769,Prices!A:C,2,0)),0,VLOOKUP(LOWER(F769)&amp;H769,Prices!A:C,2,0))</f>
        <v>11.79</v>
      </c>
      <c r="W769" s="13">
        <f t="shared" si="436"/>
        <v>-6200.0000000000018</v>
      </c>
      <c r="X769" s="13">
        <f t="shared" si="437"/>
        <v>509.99999999999977</v>
      </c>
      <c r="Y769" s="43">
        <f t="shared" si="438"/>
        <v>-0.25963149078726977</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10.64</v>
      </c>
      <c r="V770" s="13">
        <f>IF(ISNA(VLOOKUP(LOWER(F770)&amp;H770,Prices!A:C,2,0)),0,VLOOKUP(LOWER(F770)&amp;H770,Prices!A:C,2,0))</f>
        <v>10.89</v>
      </c>
      <c r="W770" s="13">
        <f t="shared" si="436"/>
        <v>-6074.9999999999991</v>
      </c>
      <c r="X770" s="13">
        <f t="shared" si="437"/>
        <v>250</v>
      </c>
      <c r="Y770" s="43">
        <f t="shared" si="438"/>
        <v>-0.35819575471698106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10.64</v>
      </c>
      <c r="V771" s="13">
        <f>IF(ISNA(VLOOKUP(LOWER(F771)&amp;H771,Prices!A:C,2,0)),0,VLOOKUP(LOWER(F771)&amp;H771,Prices!A:C,2,0))</f>
        <v>10.89</v>
      </c>
      <c r="W771" s="13">
        <f t="shared" ref="W771:W786" si="446">IF(I771="B",(V771+T771)*K771,(V771+T771)*K771)</f>
        <v>24678.015999999985</v>
      </c>
      <c r="X771" s="13">
        <f t="shared" ref="X771:X786" si="447">K771*(V771-U771)</f>
        <v>-1000</v>
      </c>
      <c r="Y771" s="43">
        <f t="shared" ref="Y771:Y786" si="448">W771/O771</f>
        <v>0.36121217798594824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66.38</v>
      </c>
      <c r="V772" s="13">
        <f>IF(ISNA(VLOOKUP(LOWER(F772)&amp;H772,Prices!A:C,2,0)),0,VLOOKUP(LOWER(F772)&amp;H772,Prices!A:C,2,0))</f>
        <v>65.8</v>
      </c>
      <c r="W772" s="13">
        <f t="shared" si="446"/>
        <v>-12566.051999999994</v>
      </c>
      <c r="X772" s="13">
        <f t="shared" si="447"/>
        <v>521.99999999999841</v>
      </c>
      <c r="Y772" s="43">
        <f t="shared" si="448"/>
        <v>-0.26902273603082838</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14.93</v>
      </c>
      <c r="V774" s="13">
        <f>IF(ISNA(VLOOKUP(LOWER(F774)&amp;H774,Prices!A:C,2,0)),0,VLOOKUP(LOWER(F774)&amp;H774,Prices!A:C,2,0))</f>
        <v>14.83</v>
      </c>
      <c r="W774" s="13">
        <f t="shared" si="446"/>
        <v>1018.8125999999986</v>
      </c>
      <c r="X774" s="13">
        <f t="shared" si="447"/>
        <v>99.999999999999645</v>
      </c>
      <c r="Y774" s="43">
        <f t="shared" si="448"/>
        <v>6.4197391304347734E-2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16.47</v>
      </c>
      <c r="V775" s="13">
        <f>IF(ISNA(VLOOKUP(LOWER(F775)&amp;H775,Prices!A:C,2,0)),0,VLOOKUP(LOWER(F775)&amp;H775,Prices!A:C,2,0))</f>
        <v>16.62</v>
      </c>
      <c r="W775" s="13">
        <f t="shared" si="446"/>
        <v>4362.3099999999986</v>
      </c>
      <c r="X775" s="13">
        <f t="shared" si="447"/>
        <v>-75.000000000001066</v>
      </c>
      <c r="Y775" s="43">
        <f t="shared" si="448"/>
        <v>0.34375965327029145</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11.45</v>
      </c>
      <c r="V776" s="13">
        <f>IF(ISNA(VLOOKUP(LOWER(F776)&amp;H776,Prices!A:C,2,0)),0,VLOOKUP(LOWER(F776)&amp;H776,Prices!A:C,2,0))</f>
        <v>11.79</v>
      </c>
      <c r="W776" s="13">
        <f t="shared" si="446"/>
        <v>10077.480000000007</v>
      </c>
      <c r="X776" s="13">
        <f t="shared" si="447"/>
        <v>-849.99999999999966</v>
      </c>
      <c r="Y776" s="43">
        <f t="shared" si="448"/>
        <v>0.25448181818181836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69.010000000000005</v>
      </c>
      <c r="V777" s="13">
        <f>IF(ISNA(VLOOKUP(LOWER(F777)&amp;H777,Prices!A:C,2,0)),0,VLOOKUP(LOWER(F777)&amp;H777,Prices!A:C,2,0))</f>
        <v>68.489999999999995</v>
      </c>
      <c r="W777" s="13">
        <f t="shared" si="446"/>
        <v>-6008.6999999999989</v>
      </c>
      <c r="X777" s="13">
        <f t="shared" si="447"/>
        <v>104.00000000000205</v>
      </c>
      <c r="Y777" s="43">
        <f t="shared" si="448"/>
        <v>-0.78014801350298613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6.04</v>
      </c>
      <c r="V778" s="13">
        <f>IF(ISNA(VLOOKUP(LOWER(F778)&amp;H778,Prices!A:C,2,0)),0,VLOOKUP(LOWER(F778)&amp;H778,Prices!A:C,2,0))</f>
        <v>6.22</v>
      </c>
      <c r="W778" s="13">
        <f t="shared" si="446"/>
        <v>-12860.267999999984</v>
      </c>
      <c r="X778" s="13">
        <f t="shared" si="447"/>
        <v>-1799.9999999999973</v>
      </c>
      <c r="Y778" s="43">
        <f t="shared" si="448"/>
        <v>-0.2603293117408903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23.79</v>
      </c>
      <c r="V779" s="13">
        <f>IF(ISNA(VLOOKUP(LOWER(F779)&amp;H779,Prices!A:C,2,0)),0,VLOOKUP(LOWER(F779)&amp;H779,Prices!A:C,2,0))</f>
        <v>24.15</v>
      </c>
      <c r="W779" s="13">
        <f t="shared" si="446"/>
        <v>100.2344000000015</v>
      </c>
      <c r="X779" s="13">
        <f t="shared" si="447"/>
        <v>-359.99999999999943</v>
      </c>
      <c r="Y779" s="43">
        <f t="shared" si="448"/>
        <v>4.1282701812191723E-3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74.86</v>
      </c>
      <c r="V780" s="13">
        <f>IF(ISNA(VLOOKUP(LOWER(F780)&amp;H780,Prices!A:C,2,0)),0,VLOOKUP(LOWER(F780)&amp;H780,Prices!A:C,2,0))</f>
        <v>72.930000000000007</v>
      </c>
      <c r="W780" s="13">
        <f t="shared" si="446"/>
        <v>-82544.88</v>
      </c>
      <c r="X780" s="13">
        <f t="shared" si="447"/>
        <v>4824.9999999999818</v>
      </c>
      <c r="Y780" s="43">
        <f t="shared" si="448"/>
        <v>-0.82627507507507514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34.53</v>
      </c>
      <c r="V782" s="13">
        <f>IF(ISNA(VLOOKUP(LOWER(F782)&amp;H782,Prices!A:C,2,0)),0,VLOOKUP(LOWER(F782)&amp;H782,Prices!A:C,2,0))</f>
        <v>34.08</v>
      </c>
      <c r="W782" s="13">
        <f t="shared" si="446"/>
        <v>8934.4692000000032</v>
      </c>
      <c r="X782" s="13">
        <f t="shared" si="447"/>
        <v>-450.00000000000284</v>
      </c>
      <c r="Y782" s="43">
        <f t="shared" si="448"/>
        <v>0.35538859188544164</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34.53</v>
      </c>
      <c r="V783" s="13">
        <f>IF(ISNA(VLOOKUP(LOWER(F783)&amp;H783,Prices!A:C,2,0)),0,VLOOKUP(LOWER(F783)&amp;H783,Prices!A:C,2,0))</f>
        <v>34.08</v>
      </c>
      <c r="W783" s="13">
        <f t="shared" si="446"/>
        <v>21911.079499999993</v>
      </c>
      <c r="X783" s="13">
        <f t="shared" si="447"/>
        <v>-1125.000000000007</v>
      </c>
      <c r="Y783" s="43">
        <f t="shared" si="448"/>
        <v>0.34628335835638074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34.53</v>
      </c>
      <c r="V784" s="13">
        <f>IF(ISNA(VLOOKUP(LOWER(F784)&amp;H784,Prices!A:C,2,0)),0,VLOOKUP(LOWER(F784)&amp;H784,Prices!A:C,2,0))</f>
        <v>34.08</v>
      </c>
      <c r="W784" s="13">
        <f t="shared" si="446"/>
        <v>21911.079499999993</v>
      </c>
      <c r="X784" s="13">
        <f t="shared" si="447"/>
        <v>-1125.000000000007</v>
      </c>
      <c r="Y784" s="43">
        <f t="shared" si="448"/>
        <v>0.34628335835638074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71.72</v>
      </c>
      <c r="V785" s="13">
        <f>IF(ISNA(VLOOKUP(LOWER(F785)&amp;H785,Prices!A:C,2,0)),0,VLOOKUP(LOWER(F785)&amp;H785,Prices!A:C,2,0))</f>
        <v>70.819999999999993</v>
      </c>
      <c r="W785" s="13">
        <f t="shared" si="446"/>
        <v>53520.617999999988</v>
      </c>
      <c r="X785" s="13">
        <f t="shared" si="447"/>
        <v>-1800.0000000000114</v>
      </c>
      <c r="Y785" s="43">
        <f t="shared" si="448"/>
        <v>0.60749850170261055</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71.72</v>
      </c>
      <c r="V786" s="13">
        <f>IF(ISNA(VLOOKUP(LOWER(F786)&amp;H786,Prices!A:C,2,0)),0,VLOOKUP(LOWER(F786)&amp;H786,Prices!A:C,2,0))</f>
        <v>70.819999999999993</v>
      </c>
      <c r="W786" s="13">
        <f t="shared" si="446"/>
        <v>53500.613599999982</v>
      </c>
      <c r="X786" s="13">
        <f t="shared" si="447"/>
        <v>-1800.0000000000114</v>
      </c>
      <c r="Y786" s="43">
        <f t="shared" si="448"/>
        <v>0.60713360871538791</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34.53</v>
      </c>
      <c r="V787" s="13">
        <f>IF(ISNA(VLOOKUP(LOWER(F787)&amp;H787,Prices!A:C,2,0)),0,VLOOKUP(LOWER(F787)&amp;H787,Prices!A:C,2,0))</f>
        <v>34.08</v>
      </c>
      <c r="W787" s="13">
        <f t="shared" ref="W787" si="451">IF(I787="B",(V787+T787)*K787,(V787+T787)*K787)</f>
        <v>-26432.59799999998</v>
      </c>
      <c r="X787" s="13">
        <f t="shared" ref="X787" si="452">K787*(V787-U787)</f>
        <v>1350.0000000000086</v>
      </c>
      <c r="Y787" s="43">
        <f t="shared" ref="Y787" si="453">W787/O787</f>
        <v>-0.34825557312252936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34.53</v>
      </c>
      <c r="V788" s="13">
        <f>IF(ISNA(VLOOKUP(LOWER(F788)&amp;H788,Prices!A:C,2,0)),0,VLOOKUP(LOWER(F788)&amp;H788,Prices!A:C,2,0))</f>
        <v>34.08</v>
      </c>
      <c r="W788" s="13">
        <f t="shared" ref="W788:W793" si="458">IF(I788="B",(V788+T788)*K788,(V788+T788)*K788)</f>
        <v>-3363.4856799999993</v>
      </c>
      <c r="X788" s="13">
        <f t="shared" ref="X788:X793" si="459">K788*(V788-U788)</f>
        <v>180.00000000000114</v>
      </c>
      <c r="Y788" s="43">
        <f t="shared" ref="Y788:Y793" si="460">W788/O788</f>
        <v>-0.32706006223259426</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34.53</v>
      </c>
      <c r="V789" s="16">
        <f>IF(ISNA(VLOOKUP(LOWER(F789)&amp;H789,Prices!A:C,2,0)),0,VLOOKUP(LOWER(F789)&amp;H789,Prices!A:C,2,0))</f>
        <v>34.08</v>
      </c>
      <c r="W789" s="49">
        <f t="shared" si="458"/>
        <v>-5861.3803599999992</v>
      </c>
      <c r="X789" s="24">
        <f t="shared" si="459"/>
        <v>315.00000000000199</v>
      </c>
      <c r="Y789" s="43">
        <f t="shared" si="460"/>
        <v>-0.32530693528693522</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71.72</v>
      </c>
      <c r="V790" s="13">
        <f>IF(ISNA(VLOOKUP(LOWER(F790)&amp;H790,Prices!A:C,2,0)),0,VLOOKUP(LOWER(F790)&amp;H790,Prices!A:C,2,0))</f>
        <v>70.819999999999993</v>
      </c>
      <c r="W790" s="13">
        <f t="shared" si="458"/>
        <v>-13387.490999999993</v>
      </c>
      <c r="X790" s="13">
        <f t="shared" si="459"/>
        <v>450.00000000000284</v>
      </c>
      <c r="Y790" s="43">
        <f t="shared" si="460"/>
        <v>-0.60714244897959146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71.72</v>
      </c>
      <c r="V791" s="13">
        <f>IF(ISNA(VLOOKUP(LOWER(F791)&amp;H791,Prices!A:C,2,0)),0,VLOOKUP(LOWER(F791)&amp;H791,Prices!A:C,2,0))</f>
        <v>70.819999999999993</v>
      </c>
      <c r="W791" s="13">
        <f t="shared" si="458"/>
        <v>-40190.666399999987</v>
      </c>
      <c r="X791" s="13">
        <f t="shared" si="459"/>
        <v>1350.0000000000086</v>
      </c>
      <c r="Y791" s="43">
        <f t="shared" si="460"/>
        <v>-0.60784431941923756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71.72</v>
      </c>
      <c r="V792" s="43">
        <f>IF(ISNA(VLOOKUP(LOWER(F792)&amp;H792,Prices!A:C,2,0)),0,VLOOKUP(LOWER(F792)&amp;H792,Prices!A:C,2,0))</f>
        <v>70.819999999999993</v>
      </c>
      <c r="W792" s="49">
        <f t="shared" si="458"/>
        <v>-40700.044199999989</v>
      </c>
      <c r="X792" s="24">
        <f t="shared" si="459"/>
        <v>1350.0000000000086</v>
      </c>
      <c r="Y792" s="43">
        <f t="shared" si="460"/>
        <v>-0.62033294010059425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34.53</v>
      </c>
      <c r="V793" s="16">
        <f>IF(ISNA(VLOOKUP(LOWER(F793)&amp;H793,Prices!A:C,2,0)),0,VLOOKUP(LOWER(F793)&amp;H793,Prices!A:C,2,0))</f>
        <v>34.08</v>
      </c>
      <c r="W793" s="49">
        <f t="shared" si="458"/>
        <v>-12811.798099999996</v>
      </c>
      <c r="X793" s="24">
        <f t="shared" si="459"/>
        <v>675.00000000000432</v>
      </c>
      <c r="Y793" s="43">
        <f t="shared" si="460"/>
        <v>-0.33403201929344273</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34.53</v>
      </c>
      <c r="V794" s="16">
        <f>IF(ISNA(VLOOKUP(LOWER(F794)&amp;H794,Prices!A:C,2,0)),0,VLOOKUP(LOWER(F794)&amp;H794,Prices!A:C,2,0))</f>
        <v>34.08</v>
      </c>
      <c r="W794" s="49">
        <f t="shared" ref="W794:W796" si="465">IF(I794="B",(V794+T794)*K794,(V794+T794)*K794)</f>
        <v>-1668.2631599999993</v>
      </c>
      <c r="X794" s="24">
        <f t="shared" ref="X794:X796" si="466">K794*(V794-U794)</f>
        <v>90.000000000000568</v>
      </c>
      <c r="Y794" s="43">
        <f t="shared" ref="Y794:Y796" si="467">W794/O794</f>
        <v>-0.32343217526172924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71.72</v>
      </c>
      <c r="V795" s="16">
        <f>IF(ISNA(VLOOKUP(LOWER(F795)&amp;H795,Prices!A:C,2,0)),0,VLOOKUP(LOWER(F795)&amp;H795,Prices!A:C,2,0))</f>
        <v>70.819999999999993</v>
      </c>
      <c r="W795" s="49">
        <f t="shared" si="465"/>
        <v>-5407.9453999999996</v>
      </c>
      <c r="X795" s="24">
        <f t="shared" si="466"/>
        <v>180.00000000000114</v>
      </c>
      <c r="Y795" s="43">
        <f t="shared" si="467"/>
        <v>-0.61664143671607752</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71.72</v>
      </c>
      <c r="V796" s="16">
        <f>IF(ISNA(VLOOKUP(LOWER(F796)&amp;H796,Prices!A:C,2,0)),0,VLOOKUP(LOWER(F796)&amp;H796,Prices!A:C,2,0))</f>
        <v>70.819999999999993</v>
      </c>
      <c r="W796" s="49">
        <f t="shared" si="465"/>
        <v>-8109.4230999999982</v>
      </c>
      <c r="X796" s="24">
        <f t="shared" si="466"/>
        <v>270.00000000000171</v>
      </c>
      <c r="Y796" s="43">
        <f t="shared" si="467"/>
        <v>-0.61645177499049775</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58.24</v>
      </c>
      <c r="V804" s="16">
        <f>IF(ISNA(VLOOKUP(LOWER(F804)&amp;H804,Prices!A:C,2,0)),0,VLOOKUP(LOWER(F804)&amp;H804,Prices!A:C,2,0))</f>
        <v>58.82</v>
      </c>
      <c r="W804" s="49">
        <f t="shared" ref="W804:W814" si="479">IF(I804="B",(V804+T804)*K804,(V804+T804)*K804)</f>
        <v>39564.388000000006</v>
      </c>
      <c r="X804" s="24">
        <f t="shared" ref="X804:X814" si="480">K804*(V804-U804)</f>
        <v>1159.9999999999966</v>
      </c>
      <c r="Y804" s="43">
        <f t="shared" ref="Y804:Y813" si="481">W804/O804</f>
        <v>0.50684586215731497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58.24</v>
      </c>
      <c r="V805" s="16">
        <f>IF(ISNA(VLOOKUP(LOWER(F805)&amp;H805,Prices!A:C,2,0)),0,VLOOKUP(LOWER(F805)&amp;H805,Prices!A:C,2,0))</f>
        <v>58.82</v>
      </c>
      <c r="W805" s="49">
        <f t="shared" si="479"/>
        <v>39764.427999999993</v>
      </c>
      <c r="X805" s="24">
        <f t="shared" si="480"/>
        <v>1159.9999999999966</v>
      </c>
      <c r="Y805" s="43">
        <f t="shared" si="481"/>
        <v>0.51071703056768547</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58.24</v>
      </c>
      <c r="V806" s="16">
        <f>IF(ISNA(VLOOKUP(LOWER(F806)&amp;H806,Prices!A:C,2,0)),0,VLOOKUP(LOWER(F806)&amp;H806,Prices!A:C,2,0))</f>
        <v>58.82</v>
      </c>
      <c r="W806" s="49">
        <f t="shared" si="479"/>
        <v>39824.44000000001</v>
      </c>
      <c r="X806" s="24">
        <f t="shared" si="480"/>
        <v>1159.9999999999966</v>
      </c>
      <c r="Y806" s="43">
        <f t="shared" si="481"/>
        <v>0.51188226221079702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74.86</v>
      </c>
      <c r="V807" s="16">
        <f>IF(ISNA(VLOOKUP(LOWER(F807)&amp;H807,Prices!A:C,2,0)),0,VLOOKUP(LOWER(F807)&amp;H807,Prices!A:C,2,0))</f>
        <v>72.930000000000007</v>
      </c>
      <c r="W807" s="49">
        <f t="shared" si="479"/>
        <v>32061.828000000005</v>
      </c>
      <c r="X807" s="24">
        <f t="shared" si="480"/>
        <v>-1929.9999999999927</v>
      </c>
      <c r="Y807" s="43">
        <f t="shared" si="481"/>
        <v>0.78467518355359778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74.86</v>
      </c>
      <c r="V808" s="16">
        <f>IF(ISNA(VLOOKUP(LOWER(F808)&amp;H808,Prices!A:C,2,0)),0,VLOOKUP(LOWER(F808)&amp;H808,Prices!A:C,2,0))</f>
        <v>72.930000000000007</v>
      </c>
      <c r="W808" s="49">
        <f t="shared" si="479"/>
        <v>48152.754000000008</v>
      </c>
      <c r="X808" s="24">
        <f t="shared" si="480"/>
        <v>-2894.9999999999891</v>
      </c>
      <c r="Y808" s="43">
        <f t="shared" si="481"/>
        <v>0.78642420382165623</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49.33</v>
      </c>
      <c r="V810" s="16">
        <f>IF(ISNA(VLOOKUP(LOWER(F810)&amp;H810,Prices!A:C,2,0)),0,VLOOKUP(LOWER(F810)&amp;H810,Prices!A:C,2,0))</f>
        <v>47.66</v>
      </c>
      <c r="W810" s="49">
        <f t="shared" si="479"/>
        <v>18633.374099999997</v>
      </c>
      <c r="X810" s="24">
        <f t="shared" si="480"/>
        <v>-2505.0000000000027</v>
      </c>
      <c r="Y810" s="43">
        <f t="shared" si="481"/>
        <v>0.35260429747374394</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49.33</v>
      </c>
      <c r="V811" s="16">
        <f>IF(ISNA(VLOOKUP(LOWER(F811)&amp;H811,Prices!A:C,2,0)),0,VLOOKUP(LOWER(F811)&amp;H811,Prices!A:C,2,0))</f>
        <v>47.66</v>
      </c>
      <c r="W811" s="49">
        <f t="shared" si="479"/>
        <v>18708.390600000006</v>
      </c>
      <c r="X811" s="24">
        <f t="shared" si="480"/>
        <v>-2505.0000000000027</v>
      </c>
      <c r="Y811" s="43">
        <f t="shared" si="481"/>
        <v>0.3545270153496306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49.33</v>
      </c>
      <c r="V812" s="16">
        <f>IF(ISNA(VLOOKUP(LOWER(F812)&amp;H812,Prices!A:C,2,0)),0,VLOOKUP(LOWER(F812)&amp;H812,Prices!A:C,2,0))</f>
        <v>47.66</v>
      </c>
      <c r="W812" s="49">
        <f t="shared" si="479"/>
        <v>12472.260399999996</v>
      </c>
      <c r="X812" s="24">
        <f t="shared" si="480"/>
        <v>-1670.0000000000018</v>
      </c>
      <c r="Y812" s="43">
        <f t="shared" si="481"/>
        <v>0.35452701534963033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24.37</v>
      </c>
      <c r="V814" s="16">
        <f>IF(ISNA(VLOOKUP(LOWER(F814)&amp;H814,Prices!A:C,2,0)),0,VLOOKUP(LOWER(F814)&amp;H814,Prices!A:C,2,0))</f>
        <v>24.15</v>
      </c>
      <c r="W814" s="49">
        <f t="shared" si="479"/>
        <v>14792.630000000003</v>
      </c>
      <c r="X814" s="24">
        <f t="shared" si="480"/>
        <v>-440.00000000000483</v>
      </c>
      <c r="Y814" s="43">
        <f>W814/O814</f>
        <v>0.44157104477611947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24.37</v>
      </c>
      <c r="V815" s="16">
        <f>IF(ISNA(VLOOKUP(LOWER(F815)&amp;H815,Prices!A:C,2,0)),0,VLOOKUP(LOWER(F815)&amp;H815,Prices!A:C,2,0))</f>
        <v>24.15</v>
      </c>
      <c r="W815" s="49">
        <f t="shared" ref="W815" si="486">IF(I815="B",(V815+T815)*K815,(V815+T815)*K815)</f>
        <v>-14641.113999999994</v>
      </c>
      <c r="X815" s="24">
        <f t="shared" ref="X815" si="487">K815*(V815-U815)</f>
        <v>440.00000000000483</v>
      </c>
      <c r="Y815" s="43">
        <f>W815/O815</f>
        <v>-0.43445442136498497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34.53</v>
      </c>
      <c r="V816" s="16">
        <f>IF(ISNA(VLOOKUP(LOWER(F816)&amp;H816,Prices!A:C,2,0)),0,VLOOKUP(LOWER(F816)&amp;H816,Prices!A:C,2,0))</f>
        <v>34.08</v>
      </c>
      <c r="W816" s="49">
        <f t="shared" ref="W816:W821" si="492">IF(I816="B",(V816+T816)*K816,(V816+T816)*K816)</f>
        <v>-1750.1815199999996</v>
      </c>
      <c r="X816" s="24">
        <f t="shared" ref="X816:X821" si="493">K816*(V816-U816)</f>
        <v>90.000000000000568</v>
      </c>
      <c r="Y816" s="43">
        <f t="shared" ref="Y816:Y821" si="494">W816/O816</f>
        <v>-0.34479541371158384</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58.24</v>
      </c>
      <c r="V818" s="16">
        <f>IF(ISNA(VLOOKUP(LOWER(F818)&amp;H818,Prices!A:C,2,0)),0,VLOOKUP(LOWER(F818)&amp;H818,Prices!A:C,2,0))</f>
        <v>58.82</v>
      </c>
      <c r="W818" s="49">
        <f t="shared" si="492"/>
        <v>-59600.399999999994</v>
      </c>
      <c r="X818" s="24">
        <f t="shared" si="493"/>
        <v>-1739.999999999995</v>
      </c>
      <c r="Y818" s="43">
        <f t="shared" si="494"/>
        <v>-0.50940512820512818</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58.24</v>
      </c>
      <c r="V819" s="16">
        <f>IF(ISNA(VLOOKUP(LOWER(F819)&amp;H819,Prices!A:C,2,0)),0,VLOOKUP(LOWER(F819)&amp;H819,Prices!A:C,2,0))</f>
        <v>58.82</v>
      </c>
      <c r="W819" s="49">
        <f t="shared" si="492"/>
        <v>-29755.259000000005</v>
      </c>
      <c r="X819" s="24">
        <f t="shared" si="493"/>
        <v>-869.9999999999975</v>
      </c>
      <c r="Y819" s="43">
        <f t="shared" si="494"/>
        <v>-0.50824594756170471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74.86</v>
      </c>
      <c r="V820" s="16">
        <f>IF(ISNA(VLOOKUP(LOWER(F820)&amp;H820,Prices!A:C,2,0)),0,VLOOKUP(LOWER(F820)&amp;H820,Prices!A:C,2,0))</f>
        <v>72.930000000000007</v>
      </c>
      <c r="W820" s="49">
        <f t="shared" si="492"/>
        <v>-41508.043000000027</v>
      </c>
      <c r="X820" s="24">
        <f t="shared" si="493"/>
        <v>2508.9999999999905</v>
      </c>
      <c r="Y820" s="43">
        <f t="shared" si="494"/>
        <v>-0.77781397919985074</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74.86</v>
      </c>
      <c r="V821" s="16">
        <f>IF(ISNA(VLOOKUP(LOWER(F821)&amp;H821,Prices!A:C,2,0)),0,VLOOKUP(LOWER(F821)&amp;H821,Prices!A:C,2,0))</f>
        <v>72.930000000000007</v>
      </c>
      <c r="W821" s="49">
        <f t="shared" si="492"/>
        <v>-19121.670000000002</v>
      </c>
      <c r="X821" s="24">
        <f t="shared" si="493"/>
        <v>1157.9999999999955</v>
      </c>
      <c r="Y821" s="43">
        <f t="shared" si="494"/>
        <v>-0.77522378983215767</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74.86</v>
      </c>
      <c r="V822" s="16">
        <f>IF(ISNA(VLOOKUP(LOWER(F822)&amp;H822,Prices!A:C,2,0)),0,VLOOKUP(LOWER(F822)&amp;H822,Prices!A:C,2,0))</f>
        <v>72.930000000000007</v>
      </c>
      <c r="W822" s="49">
        <f t="shared" ref="W822:W830" si="499">IF(I822="B",(V822+T822)*K822,(V822+T822)*K822)</f>
        <v>-9428.4700000000012</v>
      </c>
      <c r="X822" s="24">
        <f t="shared" ref="X822:X830" si="500">K822*(V822-U822)</f>
        <v>578.99999999999773</v>
      </c>
      <c r="Y822" s="43">
        <f t="shared" ref="Y822:Y830" si="501">W822/O822</f>
        <v>-0.75621350657683684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49.33</v>
      </c>
      <c r="V823" s="16">
        <f>IF(ISNA(VLOOKUP(LOWER(F823)&amp;H823,Prices!A:C,2,0)),0,VLOOKUP(LOWER(F823)&amp;H823,Prices!A:C,2,0))</f>
        <v>47.66</v>
      </c>
      <c r="W823" s="49">
        <f t="shared" si="499"/>
        <v>-24626.351599999991</v>
      </c>
      <c r="X823" s="24">
        <f t="shared" si="500"/>
        <v>3340.0000000000036</v>
      </c>
      <c r="Y823" s="43">
        <f t="shared" si="501"/>
        <v>-0.34792810963549015</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49.33</v>
      </c>
      <c r="V824" s="16">
        <f>IF(ISNA(VLOOKUP(LOWER(F824)&amp;H824,Prices!A:C,2,0)),0,VLOOKUP(LOWER(F824)&amp;H824,Prices!A:C,2,0))</f>
        <v>47.66</v>
      </c>
      <c r="W824" s="49">
        <f t="shared" si="499"/>
        <v>-6003.2069999999958</v>
      </c>
      <c r="X824" s="24">
        <f t="shared" si="500"/>
        <v>835.00000000000091</v>
      </c>
      <c r="Y824" s="43">
        <f t="shared" si="501"/>
        <v>-0.3363141176470586</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74.86</v>
      </c>
      <c r="V825" s="16">
        <f>IF(ISNA(VLOOKUP(LOWER(F825)&amp;H825,Prices!A:C,2,0)),0,VLOOKUP(LOWER(F825)&amp;H825,Prices!A:C,2,0))</f>
        <v>72.930000000000007</v>
      </c>
      <c r="W825" s="49">
        <f t="shared" si="499"/>
        <v>-6169.4300000000012</v>
      </c>
      <c r="X825" s="24">
        <f t="shared" si="500"/>
        <v>385.99999999999852</v>
      </c>
      <c r="Y825" s="43">
        <f t="shared" si="501"/>
        <v>-0.73184223013048655</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49.33</v>
      </c>
      <c r="V826" s="16">
        <f>IF(ISNA(VLOOKUP(LOWER(F826)&amp;H826,Prices!A:C,2,0)),0,VLOOKUP(LOWER(F826)&amp;H826,Prices!A:C,2,0))</f>
        <v>47.66</v>
      </c>
      <c r="W826" s="49">
        <f t="shared" si="499"/>
        <v>-8261.6588199999969</v>
      </c>
      <c r="X826" s="24">
        <f t="shared" si="500"/>
        <v>1169.0000000000011</v>
      </c>
      <c r="Y826" s="43">
        <f t="shared" si="501"/>
        <v>-0.32874373562532316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58.24</v>
      </c>
      <c r="V827" s="16">
        <f>IF(ISNA(VLOOKUP(LOWER(F827)&amp;H827,Prices!A:C,2,0)),0,VLOOKUP(LOWER(F827)&amp;H827,Prices!A:C,2,0))</f>
        <v>58.82</v>
      </c>
      <c r="W827" s="49">
        <f t="shared" si="499"/>
        <v>-5773.8899999999994</v>
      </c>
      <c r="X827" s="24">
        <f t="shared" si="500"/>
        <v>-173.99999999999949</v>
      </c>
      <c r="Y827" s="43">
        <f t="shared" si="501"/>
        <v>-0.48564976028261414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58.24</v>
      </c>
      <c r="V830" s="16">
        <f>IF(ISNA(VLOOKUP(LOWER(F830)&amp;H830,Prices!A:C,2,0)),0,VLOOKUP(LOWER(F830)&amp;H830,Prices!A:C,2,0))</f>
        <v>58.82</v>
      </c>
      <c r="W830" s="49">
        <f t="shared" si="499"/>
        <v>-10763.560000000001</v>
      </c>
      <c r="X830" s="24">
        <f t="shared" si="500"/>
        <v>-347.99999999999898</v>
      </c>
      <c r="Y830" s="43">
        <f t="shared" si="501"/>
        <v>-0.43829139180715049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58.24</v>
      </c>
      <c r="V831" s="16">
        <f>IF(ISNA(VLOOKUP(LOWER(F831)&amp;H831,Prices!A:C,2,0)),0,VLOOKUP(LOWER(F831)&amp;H831,Prices!A:C,2,0))</f>
        <v>58.82</v>
      </c>
      <c r="W831" s="49">
        <f t="shared" ref="W831:W833" si="506">IF(I831="B",(V831+T831)*K831,(V831+T831)*K831)</f>
        <v>-5576.0900000000011</v>
      </c>
      <c r="X831" s="24">
        <f t="shared" ref="X831:X833" si="507">K831*(V831-U831)</f>
        <v>-173.99999999999949</v>
      </c>
      <c r="Y831" s="43">
        <f t="shared" ref="Y831:Y833" si="508">W831/O831</f>
        <v>-0.46132952759162743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49.33</v>
      </c>
      <c r="V832" s="16">
        <f>IF(ISNA(VLOOKUP(LOWER(F832)&amp;H832,Prices!A:C,2,0)),0,VLOOKUP(LOWER(F832)&amp;H832,Prices!A:C,2,0))</f>
        <v>47.66</v>
      </c>
      <c r="W832" s="49">
        <f t="shared" si="506"/>
        <v>-4667.708319999997</v>
      </c>
      <c r="X832" s="24">
        <f t="shared" si="507"/>
        <v>668.00000000000068</v>
      </c>
      <c r="Y832" s="43">
        <f t="shared" si="508"/>
        <v>-0.32378664816870123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20.13</v>
      </c>
      <c r="V834" s="16">
        <f>IF(ISNA(VLOOKUP(LOWER(F834)&amp;H834,Prices!A:C,2,0)),0,VLOOKUP(LOWER(F834)&amp;H834,Prices!A:C,2,0))</f>
        <v>20.21</v>
      </c>
      <c r="W834" s="49">
        <f t="shared" ref="W834:W852" si="513">IF(I834="B",(V834+T834)*K834,(V834+T834)*K834)</f>
        <v>10760.028000000002</v>
      </c>
      <c r="X834" s="24">
        <f t="shared" ref="X834:X852" si="514">K834*(V834-U834)</f>
        <v>240.00000000000554</v>
      </c>
      <c r="Y834" s="43">
        <f t="shared" ref="Y834:Y852" si="515">W834/O834</f>
        <v>0.21580481347773769</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20.13</v>
      </c>
      <c r="V839" s="16">
        <f>IF(ISNA(VLOOKUP(LOWER(F839)&amp;H839,Prices!A:C,2,0)),0,VLOOKUP(LOWER(F839)&amp;H839,Prices!A:C,2,0))</f>
        <v>20.21</v>
      </c>
      <c r="W839" s="49">
        <f t="shared" si="513"/>
        <v>7413.4000000000033</v>
      </c>
      <c r="X839" s="24">
        <f t="shared" si="514"/>
        <v>160.00000000000369</v>
      </c>
      <c r="Y839" s="43">
        <f t="shared" si="515"/>
        <v>0.22464848484848496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68.900000000000006</v>
      </c>
      <c r="V840" s="16">
        <f>IF(ISNA(VLOOKUP(LOWER(F840)&amp;H840,Prices!A:C,2,0)),0,VLOOKUP(LOWER(F840)&amp;H840,Prices!A:C,2,0))</f>
        <v>72.989999999999995</v>
      </c>
      <c r="W840" s="49">
        <f t="shared" si="513"/>
        <v>51383.841599999992</v>
      </c>
      <c r="X840" s="24">
        <f>K840*(V840-U840)</f>
        <v>5725.9999999999845</v>
      </c>
      <c r="Y840" s="43">
        <f t="shared" si="515"/>
        <v>1.0116522601984563</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68.900000000000006</v>
      </c>
      <c r="V841" s="16">
        <f>IF(ISNA(VLOOKUP(LOWER(F841)&amp;H841,Prices!A:C,2,0)),0,VLOOKUP(LOWER(F841)&amp;H841,Prices!A:C,2,0))</f>
        <v>72.989999999999995</v>
      </c>
      <c r="W841" s="49">
        <f t="shared" si="513"/>
        <v>25782.938999999991</v>
      </c>
      <c r="X841" s="24">
        <f>K841*(V841-U841)</f>
        <v>2862.9999999999923</v>
      </c>
      <c r="Y841" s="43">
        <f t="shared" si="515"/>
        <v>1.0188871369294603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5.01</v>
      </c>
      <c r="V842" s="16">
        <f>IF(ISNA(VLOOKUP(LOWER(F842)&amp;H842,Prices!A:C,2,0)),0,VLOOKUP(LOWER(F842)&amp;H842,Prices!A:C,2,0))</f>
        <v>4.83</v>
      </c>
      <c r="W842" s="49">
        <f t="shared" si="513"/>
        <v>-7856.3999999999987</v>
      </c>
      <c r="X842" s="24">
        <f t="shared" si="514"/>
        <v>-899.99999999999864</v>
      </c>
      <c r="Y842" s="43">
        <f t="shared" si="515"/>
        <v>-0.24551249999999997</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68.900000000000006</v>
      </c>
      <c r="V843" s="16">
        <f>IF(ISNA(VLOOKUP(LOWER(F843)&amp;H843,Prices!A:C,2,0)),0,VLOOKUP(LOWER(F843)&amp;H843,Prices!A:C,2,0))</f>
        <v>72.989999999999995</v>
      </c>
      <c r="W843" s="49">
        <f t="shared" si="513"/>
        <v>96623.373599999992</v>
      </c>
      <c r="X843" s="24">
        <f t="shared" si="514"/>
        <v>10633.999999999973</v>
      </c>
      <c r="Y843" s="43">
        <f t="shared" si="515"/>
        <v>1.0374884422110553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5.01</v>
      </c>
      <c r="V844" s="16">
        <f>IF(ISNA(VLOOKUP(LOWER(F844)&amp;H844,Prices!A:C,2,0)),0,VLOOKUP(LOWER(F844)&amp;H844,Prices!A:C,2,0))</f>
        <v>4.83</v>
      </c>
      <c r="W844" s="49">
        <f t="shared" si="513"/>
        <v>-7406.3099999999959</v>
      </c>
      <c r="X844" s="24">
        <f t="shared" si="514"/>
        <v>-899.99999999999864</v>
      </c>
      <c r="Y844" s="43">
        <f t="shared" si="515"/>
        <v>-0.23474833597464331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58.24</v>
      </c>
      <c r="V845" s="16">
        <f>IF(ISNA(VLOOKUP(LOWER(F845)&amp;H845,Prices!A:C,2,0)),0,VLOOKUP(LOWER(F845)&amp;H845,Prices!A:C,2,0))</f>
        <v>58.82</v>
      </c>
      <c r="W845" s="49">
        <f t="shared" si="513"/>
        <v>-3397.3799999999997</v>
      </c>
      <c r="X845" s="24">
        <f t="shared" si="514"/>
        <v>-115.99999999999966</v>
      </c>
      <c r="Y845" s="43">
        <f t="shared" si="515"/>
        <v>-0.40541527446300712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17.760000000000002</v>
      </c>
      <c r="V846" s="16">
        <f>IF(ISNA(VLOOKUP(LOWER(F846)&amp;H846,Prices!A:C,2,0)),0,VLOOKUP(LOWER(F846)&amp;H846,Prices!A:C,2,0))</f>
        <v>17.62</v>
      </c>
      <c r="W846" s="49">
        <f t="shared" si="513"/>
        <v>3050.0399999999922</v>
      </c>
      <c r="X846" s="24">
        <f t="shared" si="514"/>
        <v>-420.00000000000171</v>
      </c>
      <c r="Y846" s="43">
        <f t="shared" si="515"/>
        <v>6.1245783132529957E-2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17.760000000000002</v>
      </c>
      <c r="V847" s="16">
        <f>IF(ISNA(VLOOKUP(LOWER(F847)&amp;H847,Prices!A:C,2,0)),0,VLOOKUP(LOWER(F847)&amp;H847,Prices!A:C,2,0))</f>
        <v>17.62</v>
      </c>
      <c r="W847" s="49">
        <f t="shared" si="513"/>
        <v>2253.4040000000032</v>
      </c>
      <c r="X847" s="24">
        <f t="shared" si="514"/>
        <v>-280.00000000000114</v>
      </c>
      <c r="Y847" s="43">
        <f t="shared" si="515"/>
        <v>6.8326379624014652E-2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49.33</v>
      </c>
      <c r="V849" s="16">
        <f>IF(ISNA(VLOOKUP(LOWER(F849)&amp;H849,Prices!A:C,2,0)),0,VLOOKUP(LOWER(F849)&amp;H849,Prices!A:C,2,0))</f>
        <v>47.66</v>
      </c>
      <c r="W849" s="49">
        <f t="shared" si="513"/>
        <v>-2336.354159999999</v>
      </c>
      <c r="X849" s="24">
        <f t="shared" si="514"/>
        <v>334.00000000000034</v>
      </c>
      <c r="Y849" s="43">
        <f t="shared" si="515"/>
        <v>-0.32413348501664802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20.13</v>
      </c>
      <c r="V855" s="16">
        <f>IF(ISNA(VLOOKUP(LOWER(F855)&amp;H855,Prices!A:C,2,0)),0,VLOOKUP(LOWER(F855)&amp;H855,Prices!A:C,2,0))</f>
        <v>20.21</v>
      </c>
      <c r="W855" s="49">
        <f t="shared" si="524"/>
        <v>-8700.2549999999974</v>
      </c>
      <c r="X855" s="24">
        <f t="shared" si="525"/>
        <v>-200.0000000000046</v>
      </c>
      <c r="Y855" s="43">
        <f t="shared" si="526"/>
        <v>-0.20776728358208948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68.900000000000006</v>
      </c>
      <c r="V856" s="16">
        <f>IF(ISNA(VLOOKUP(LOWER(F856)&amp;H856,Prices!A:C,2,0)),0,VLOOKUP(LOWER(F856)&amp;H856,Prices!A:C,2,0))</f>
        <v>72.989999999999995</v>
      </c>
      <c r="W856" s="49">
        <f t="shared" si="524"/>
        <v>-87968.772399999987</v>
      </c>
      <c r="X856" s="24">
        <f t="shared" si="525"/>
        <v>-9815.9999999999745</v>
      </c>
      <c r="Y856" s="43">
        <f t="shared" si="526"/>
        <v>-1.0075221321238774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5.01</v>
      </c>
      <c r="V857" s="16">
        <f>IF(ISNA(VLOOKUP(LOWER(F857)&amp;H857,Prices!A:C,2,0)),0,VLOOKUP(LOWER(F857)&amp;H857,Prices!A:C,2,0))</f>
        <v>4.83</v>
      </c>
      <c r="W857" s="49">
        <f t="shared" si="524"/>
        <v>7711.7199999999948</v>
      </c>
      <c r="X857" s="24">
        <f t="shared" si="525"/>
        <v>899.99999999999864</v>
      </c>
      <c r="Y857" s="43">
        <f t="shared" si="526"/>
        <v>0.24174670846394969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17.760000000000002</v>
      </c>
      <c r="V858" s="16">
        <f>IF(ISNA(VLOOKUP(LOWER(F858)&amp;H858,Prices!A:C,2,0)),0,VLOOKUP(LOWER(F858)&amp;H858,Prices!A:C,2,0))</f>
        <v>17.62</v>
      </c>
      <c r="W858" s="49">
        <f t="shared" si="524"/>
        <v>-2699.6800000000044</v>
      </c>
      <c r="X858" s="24">
        <f t="shared" si="525"/>
        <v>350.00000000000142</v>
      </c>
      <c r="Y858" s="43">
        <f t="shared" si="526"/>
        <v>-6.5209661835748903E-2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20.13</v>
      </c>
      <c r="V861" s="16">
        <f>IF(ISNA(VLOOKUP(LOWER(F861)&amp;H861,Prices!A:C,2,0)),0,VLOOKUP(LOWER(F861)&amp;H861,Prices!A:C,2,0))</f>
        <v>20.21</v>
      </c>
      <c r="W861" s="49">
        <f t="shared" si="524"/>
        <v>-4187.1099999999969</v>
      </c>
      <c r="X861" s="24">
        <f t="shared" si="525"/>
        <v>-104.0000000000024</v>
      </c>
      <c r="Y861" s="43">
        <f t="shared" si="526"/>
        <v>-0.18935060823949695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5.01</v>
      </c>
      <c r="V863" s="16">
        <f>IF(ISNA(VLOOKUP(LOWER(F863)&amp;H863,Prices!A:C,2,0)),0,VLOOKUP(LOWER(F863)&amp;H863,Prices!A:C,2,0))</f>
        <v>4.83</v>
      </c>
      <c r="W863" s="49">
        <f t="shared" si="524"/>
        <v>3804.099999999999</v>
      </c>
      <c r="X863" s="24">
        <f t="shared" si="525"/>
        <v>449.99999999999932</v>
      </c>
      <c r="Y863" s="43">
        <f t="shared" si="526"/>
        <v>0.23925157232704397</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5.01</v>
      </c>
      <c r="V865" s="16">
        <f>IF(ISNA(VLOOKUP(LOWER(F865)&amp;H865,Prices!A:C,2,0)),0,VLOOKUP(LOWER(F865)&amp;H865,Prices!A:C,2,0))</f>
        <v>4.83</v>
      </c>
      <c r="W865" s="49">
        <f t="shared" si="524"/>
        <v>3928.9699999999984</v>
      </c>
      <c r="X865" s="24">
        <f t="shared" si="525"/>
        <v>449.99999999999932</v>
      </c>
      <c r="Y865" s="43">
        <f t="shared" si="526"/>
        <v>0.24517753510140397</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68.900000000000006</v>
      </c>
      <c r="V867" s="16">
        <f>IF(ISNA(VLOOKUP(LOWER(F867)&amp;H867,Prices!A:C,2,0)),0,VLOOKUP(LOWER(F867)&amp;H867,Prices!A:C,2,0))</f>
        <v>72.989999999999995</v>
      </c>
      <c r="W867" s="49">
        <f t="shared" si="524"/>
        <v>-18772.75</v>
      </c>
      <c r="X867" s="24">
        <f t="shared" si="525"/>
        <v>-2044.9999999999945</v>
      </c>
      <c r="Y867" s="43">
        <f t="shared" si="526"/>
        <v>-1.0579177233023387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68.900000000000006</v>
      </c>
      <c r="V869" s="16">
        <f>IF(ISNA(VLOOKUP(LOWER(F869)&amp;H869,Prices!A:C,2,0)),0,VLOOKUP(LOWER(F869)&amp;H869,Prices!A:C,2,0))</f>
        <v>72.989999999999995</v>
      </c>
      <c r="W869" s="49">
        <f t="shared" si="524"/>
        <v>-18812.709999999995</v>
      </c>
      <c r="X869" s="24">
        <f t="shared" si="525"/>
        <v>-2044.9999999999945</v>
      </c>
      <c r="Y869" s="43">
        <f t="shared" si="526"/>
        <v>-1.0625648121999434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68.900000000000006</v>
      </c>
      <c r="V870" s="16">
        <f>IF(ISNA(VLOOKUP(LOWER(F870)&amp;H870,Prices!A:C,2,0)),0,VLOOKUP(LOWER(F870)&amp;H870,Prices!A:C,2,0))</f>
        <v>72.989999999999995</v>
      </c>
      <c r="W870" s="49">
        <f t="shared" si="524"/>
        <v>-18812.709999999995</v>
      </c>
      <c r="X870" s="24">
        <f t="shared" si="525"/>
        <v>-2044.9999999999945</v>
      </c>
      <c r="Y870" s="43">
        <f t="shared" si="526"/>
        <v>-1.0625648121999434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68.900000000000006</v>
      </c>
      <c r="V871" s="16">
        <f>IF(ISNA(VLOOKUP(LOWER(F871)&amp;H871,Prices!A:C,2,0)),0,VLOOKUP(LOWER(F871)&amp;H871,Prices!A:C,2,0))</f>
        <v>72.989999999999995</v>
      </c>
      <c r="W871" s="49">
        <f>IF(I871="B",(V871+T871)*K871,(V871+T871)*K871)</f>
        <v>30306.383999999991</v>
      </c>
      <c r="X871" s="24">
        <f t="shared" ref="X871:X877" si="531">K871*(V871-U871)</f>
        <v>3271.9999999999914</v>
      </c>
      <c r="Y871" s="43">
        <f t="shared" ref="Y871:Y877" si="532">W871/O871</f>
        <v>1.0792871794871792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36.85</v>
      </c>
      <c r="V873" s="16">
        <f>IF(ISNA(VLOOKUP(LOWER(F873)&amp;H873,Prices!A:C,2,0)),0,VLOOKUP(LOWER(F873)&amp;H873,Prices!A:C,2,0))</f>
        <v>37.090000000000003</v>
      </c>
      <c r="W873" s="49">
        <f t="shared" ref="W873:W877" si="533">IF(I873="B",(V873+T873)*K873,(V873+T873)*K873)</f>
        <v>-21338.458400000003</v>
      </c>
      <c r="X873" s="24">
        <f t="shared" si="531"/>
        <v>168.00000000000139</v>
      </c>
      <c r="Y873" s="43">
        <f t="shared" si="532"/>
        <v>-0.45120651272942575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74.86</v>
      </c>
      <c r="V874" s="16">
        <f>IF(ISNA(VLOOKUP(LOWER(F874)&amp;H874,Prices!A:C,2,0)),0,VLOOKUP(LOWER(F874)&amp;H874,Prices!A:C,2,0))</f>
        <v>72.930000000000007</v>
      </c>
      <c r="W874" s="49">
        <f t="shared" si="533"/>
        <v>30051.426000000007</v>
      </c>
      <c r="X874" s="24">
        <f t="shared" si="531"/>
        <v>-1929.9999999999927</v>
      </c>
      <c r="Y874" s="43">
        <f t="shared" si="532"/>
        <v>0.70098964310706802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74.86</v>
      </c>
      <c r="V875" s="16">
        <f>IF(ISNA(VLOOKUP(LOWER(F875)&amp;H875,Prices!A:C,2,0)),0,VLOOKUP(LOWER(F875)&amp;H875,Prices!A:C,2,0))</f>
        <v>72.930000000000007</v>
      </c>
      <c r="W875" s="49">
        <f t="shared" si="533"/>
        <v>9154.0000000000036</v>
      </c>
      <c r="X875" s="24">
        <f t="shared" si="531"/>
        <v>-578.99999999999773</v>
      </c>
      <c r="Y875" s="43">
        <f t="shared" si="532"/>
        <v>0.71965408805031472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28.66</v>
      </c>
      <c r="V876" s="16">
        <f>IF(ISNA(VLOOKUP(LOWER(F876)&amp;H876,Prices!A:C,2,0)),0,VLOOKUP(LOWER(F876)&amp;H876,Prices!A:C,2,0))</f>
        <v>28.37</v>
      </c>
      <c r="W876" s="49">
        <f t="shared" si="533"/>
        <v>11029.946000000002</v>
      </c>
      <c r="X876" s="24">
        <f t="shared" si="531"/>
        <v>-579.99999999999829</v>
      </c>
      <c r="Y876" s="43">
        <f t="shared" si="532"/>
        <v>0.24135549234135673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9.48</v>
      </c>
      <c r="V877" s="16">
        <f>IF(ISNA(VLOOKUP(LOWER(F877)&amp;H877,Prices!A:C,2,0)),0,VLOOKUP(LOWER(F877)&amp;H877,Prices!A:C,2,0))</f>
        <v>9.42</v>
      </c>
      <c r="W877" s="49">
        <f t="shared" si="533"/>
        <v>-288.35120000000103</v>
      </c>
      <c r="X877" s="24">
        <f t="shared" si="531"/>
        <v>-240.00000000000199</v>
      </c>
      <c r="Y877" s="43">
        <f t="shared" si="532"/>
        <v>-7.5961854583772659E-3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9.48</v>
      </c>
      <c r="V878" s="16">
        <f>IF(ISNA(VLOOKUP(LOWER(F878)&amp;H878,Prices!A:C,2,0)),0,VLOOKUP(LOWER(F878)&amp;H878,Prices!A:C,2,0))</f>
        <v>9.42</v>
      </c>
      <c r="W878" s="49">
        <f t="shared" ref="W878:W901" si="538">IF(I878="B",(V878+T878)*K878,(V878+T878)*K878)</f>
        <v>34.624000000000876</v>
      </c>
      <c r="X878" s="24">
        <f t="shared" ref="X878:X901" si="539">K878*(V878-U878)</f>
        <v>-120.00000000000099</v>
      </c>
      <c r="Y878" s="43">
        <f t="shared" ref="Y878:Y901" si="540">W878/O878</f>
        <v>1.8417021276596211E-3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68.900000000000006</v>
      </c>
      <c r="V879" s="16">
        <f>IF(ISNA(VLOOKUP(LOWER(F879)&amp;H879,Prices!A:C,2,0)),0,VLOOKUP(LOWER(F879)&amp;H879,Prices!A:C,2,0))</f>
        <v>72.989999999999995</v>
      </c>
      <c r="W879" s="49">
        <f t="shared" si="538"/>
        <v>-22112.709999999995</v>
      </c>
      <c r="X879" s="24">
        <f t="shared" si="539"/>
        <v>-2453.9999999999936</v>
      </c>
      <c r="Y879" s="43">
        <f t="shared" si="540"/>
        <v>-1.0186433572876357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27.96</v>
      </c>
      <c r="V880" s="16">
        <f>IF(ISNA(VLOOKUP(LOWER(F880)&amp;H880,Prices!A:C,2,0)),0,VLOOKUP(LOWER(F880)&amp;H880,Prices!A:C,2,0))</f>
        <v>28.55</v>
      </c>
      <c r="W880" s="49">
        <f t="shared" si="538"/>
        <v>12431.068000000003</v>
      </c>
      <c r="X880" s="24">
        <f t="shared" si="539"/>
        <v>1179.9999999999998</v>
      </c>
      <c r="Y880" s="43">
        <f t="shared" si="540"/>
        <v>0.27834903716972687</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27.96</v>
      </c>
      <c r="V881" s="16">
        <f>IF(ISNA(VLOOKUP(LOWER(F881)&amp;H881,Prices!A:C,2,0)),0,VLOOKUP(LOWER(F881)&amp;H881,Prices!A:C,2,0))</f>
        <v>28.55</v>
      </c>
      <c r="W881" s="49">
        <f t="shared" si="538"/>
        <v>6245.0000000000009</v>
      </c>
      <c r="X881" s="24">
        <f t="shared" si="539"/>
        <v>589.99999999999989</v>
      </c>
      <c r="Y881" s="43">
        <f t="shared" si="540"/>
        <v>0.28004484304932742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68.900000000000006</v>
      </c>
      <c r="V882" s="16">
        <f>IF(ISNA(VLOOKUP(LOWER(F882)&amp;H882,Prices!A:C,2,0)),0,VLOOKUP(LOWER(F882)&amp;H882,Prices!A:C,2,0))</f>
        <v>72.989999999999995</v>
      </c>
      <c r="W882" s="49">
        <f t="shared" si="538"/>
        <v>-7018.5899999999992</v>
      </c>
      <c r="X882" s="24">
        <f t="shared" si="539"/>
        <v>-817.99999999999784</v>
      </c>
      <c r="Y882" s="43">
        <f t="shared" si="540"/>
        <v>-0.92447181243414112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28.66</v>
      </c>
      <c r="V883" s="16">
        <f>IF(ISNA(VLOOKUP(LOWER(F883)&amp;H883,Prices!A:C,2,0)),0,VLOOKUP(LOWER(F883)&amp;H883,Prices!A:C,2,0))</f>
        <v>28.37</v>
      </c>
      <c r="W883" s="49">
        <f t="shared" si="538"/>
        <v>5814.5489999999991</v>
      </c>
      <c r="X883" s="24">
        <f t="shared" si="539"/>
        <v>-289.99999999999915</v>
      </c>
      <c r="Y883" s="43">
        <f t="shared" si="540"/>
        <v>0.25785139689578712</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27.96</v>
      </c>
      <c r="V884" s="16">
        <f>IF(ISNA(VLOOKUP(LOWER(F884)&amp;H884,Prices!A:C,2,0)),0,VLOOKUP(LOWER(F884)&amp;H884,Prices!A:C,2,0))</f>
        <v>28.55</v>
      </c>
      <c r="W884" s="49">
        <f t="shared" si="538"/>
        <v>6315.0000000000009</v>
      </c>
      <c r="X884" s="24">
        <f t="shared" si="539"/>
        <v>589.99999999999989</v>
      </c>
      <c r="Y884" s="43">
        <f t="shared" si="540"/>
        <v>0.28407557354925778</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36.85</v>
      </c>
      <c r="V886" s="16">
        <f>IF(ISNA(VLOOKUP(LOWER(F886)&amp;H886,Prices!A:C,2,0)),0,VLOOKUP(LOWER(F886)&amp;H886,Prices!A:C,2,0))</f>
        <v>37.090000000000003</v>
      </c>
      <c r="W886" s="49">
        <f t="shared" si="538"/>
        <v>-9034.9999999999982</v>
      </c>
      <c r="X886" s="24">
        <f t="shared" si="539"/>
        <v>72.000000000000597</v>
      </c>
      <c r="Y886" s="43">
        <f t="shared" si="540"/>
        <v>-0.44823138363843817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28.66</v>
      </c>
      <c r="V887" s="16">
        <f>IF(ISNA(VLOOKUP(LOWER(F887)&amp;H887,Prices!A:C,2,0)),0,VLOOKUP(LOWER(F887)&amp;H887,Prices!A:C,2,0))</f>
        <v>28.37</v>
      </c>
      <c r="W887" s="49">
        <f t="shared" si="538"/>
        <v>5804.5488000000023</v>
      </c>
      <c r="X887" s="24">
        <f t="shared" si="539"/>
        <v>-289.99999999999915</v>
      </c>
      <c r="Y887" s="43">
        <f t="shared" si="540"/>
        <v>0.25729382978723414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58.24</v>
      </c>
      <c r="V888" s="16">
        <f>IF(ISNA(VLOOKUP(LOWER(F888)&amp;H888,Prices!A:C,2,0)),0,VLOOKUP(LOWER(F888)&amp;H888,Prices!A:C,2,0))</f>
        <v>58.82</v>
      </c>
      <c r="W888" s="49">
        <f t="shared" si="538"/>
        <v>17781.794000000005</v>
      </c>
      <c r="X888" s="24">
        <f t="shared" si="539"/>
        <v>579.99999999999829</v>
      </c>
      <c r="Y888" s="43">
        <f t="shared" si="540"/>
        <v>0.43338518157445782</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74.86</v>
      </c>
      <c r="V889" s="16">
        <f>IF(ISNA(VLOOKUP(LOWER(F889)&amp;H889,Prices!A:C,2,0)),0,VLOOKUP(LOWER(F889)&amp;H889,Prices!A:C,2,0))</f>
        <v>72.930000000000007</v>
      </c>
      <c r="W889" s="49">
        <f t="shared" si="538"/>
        <v>30631.542000000009</v>
      </c>
      <c r="X889" s="24">
        <f t="shared" si="539"/>
        <v>-1929.9999999999927</v>
      </c>
      <c r="Y889" s="43">
        <f t="shared" si="540"/>
        <v>0.72432116339560204</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53.65</v>
      </c>
      <c r="V890" s="16">
        <f>IF(ISNA(VLOOKUP(LOWER(F890)&amp;H890,Prices!A:C,2,0)),0,VLOOKUP(LOWER(F890)&amp;H890,Prices!A:C,2,0))</f>
        <v>54.62</v>
      </c>
      <c r="W890" s="49">
        <f t="shared" si="538"/>
        <v>20793.235999999994</v>
      </c>
      <c r="X890" s="24">
        <f t="shared" si="539"/>
        <v>969.99999999999886</v>
      </c>
      <c r="Y890" s="43">
        <f t="shared" si="540"/>
        <v>0.61482069781194537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53.65</v>
      </c>
      <c r="V891" s="16">
        <f>IF(ISNA(VLOOKUP(LOWER(F891)&amp;H891,Prices!A:C,2,0)),0,VLOOKUP(LOWER(F891)&amp;H891,Prices!A:C,2,0))</f>
        <v>54.62</v>
      </c>
      <c r="W891" s="49">
        <f t="shared" si="538"/>
        <v>10419.999999999998</v>
      </c>
      <c r="X891" s="24">
        <f t="shared" si="539"/>
        <v>484.99999999999943</v>
      </c>
      <c r="Y891" s="43">
        <f t="shared" si="540"/>
        <v>0.61711578323956162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58.24</v>
      </c>
      <c r="V893" s="16">
        <f>IF(ISNA(VLOOKUP(LOWER(F893)&amp;H893,Prices!A:C,2,0)),0,VLOOKUP(LOWER(F893)&amp;H893,Prices!A:C,2,0))</f>
        <v>58.82</v>
      </c>
      <c r="W893" s="49">
        <f t="shared" si="538"/>
        <v>9050</v>
      </c>
      <c r="X893" s="24">
        <f t="shared" si="539"/>
        <v>289.99999999999915</v>
      </c>
      <c r="Y893" s="43">
        <f t="shared" si="540"/>
        <v>0.44460820437239007</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28.66</v>
      </c>
      <c r="V894" s="16">
        <f>IF(ISNA(VLOOKUP(LOWER(F894)&amp;H894,Prices!A:C,2,0)),0,VLOOKUP(LOWER(F894)&amp;H894,Prices!A:C,2,0))</f>
        <v>28.37</v>
      </c>
      <c r="W894" s="49">
        <f t="shared" si="538"/>
        <v>5774.548200000002</v>
      </c>
      <c r="X894" s="24">
        <f t="shared" si="539"/>
        <v>-289.99999999999915</v>
      </c>
      <c r="Y894" s="43">
        <f t="shared" si="540"/>
        <v>0.25562409030544497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39.799999999999997</v>
      </c>
      <c r="V896" s="16">
        <f>IF(ISNA(VLOOKUP(LOWER(F896)&amp;H896,Prices!A:C,2,0)),0,VLOOKUP(LOWER(F896)&amp;H896,Prices!A:C,2,0))</f>
        <v>41.55</v>
      </c>
      <c r="W896" s="49">
        <f t="shared" si="538"/>
        <v>13775.291999999994</v>
      </c>
      <c r="X896" s="24">
        <f t="shared" si="539"/>
        <v>2625</v>
      </c>
      <c r="Y896" s="43">
        <f t="shared" si="540"/>
        <v>0.28379258343634106</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28.66</v>
      </c>
      <c r="V898" s="16">
        <f>IF(ISNA(VLOOKUP(LOWER(F898)&amp;H898,Prices!A:C,2,0)),0,VLOOKUP(LOWER(F898)&amp;H898,Prices!A:C,2,0))</f>
        <v>28.37</v>
      </c>
      <c r="W898" s="49">
        <f t="shared" si="538"/>
        <v>-5508.3477999999996</v>
      </c>
      <c r="X898" s="24">
        <f t="shared" si="539"/>
        <v>289.99999999999915</v>
      </c>
      <c r="Y898" s="43">
        <f t="shared" si="540"/>
        <v>-0.24064429008300567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74.86</v>
      </c>
      <c r="V899" s="16">
        <f>IF(ISNA(VLOOKUP(LOWER(F899)&amp;H899,Prices!A:C,2,0)),0,VLOOKUP(LOWER(F899)&amp;H899,Prices!A:C,2,0))</f>
        <v>72.930000000000007</v>
      </c>
      <c r="W899" s="49">
        <f t="shared" si="538"/>
        <v>-15161.330000000007</v>
      </c>
      <c r="X899" s="24">
        <f t="shared" si="539"/>
        <v>964.99999999999636</v>
      </c>
      <c r="Y899" s="43">
        <f t="shared" si="540"/>
        <v>-0.71079840600093802</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68.900000000000006</v>
      </c>
      <c r="V901" s="16">
        <f>IF(ISNA(VLOOKUP(LOWER(F901)&amp;H901,Prices!A:C,2,0)),0,VLOOKUP(LOWER(F901)&amp;H901,Prices!A:C,2,0))</f>
        <v>72.989999999999995</v>
      </c>
      <c r="W901" s="49">
        <f t="shared" si="538"/>
        <v>-7004.6099999999979</v>
      </c>
      <c r="X901" s="24">
        <f t="shared" si="539"/>
        <v>-817.99999999999784</v>
      </c>
      <c r="Y901" s="43">
        <f t="shared" si="540"/>
        <v>-0.92093215882198232</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22.18</v>
      </c>
      <c r="V902" s="16">
        <f>IF(ISNA(VLOOKUP(LOWER(F902)&amp;H902,Prices!A:C,2,0)),0,VLOOKUP(LOWER(F902)&amp;H902,Prices!A:C,2,0))</f>
        <v>21.86</v>
      </c>
      <c r="W902" s="49">
        <f t="shared" ref="W902" si="548">IF(I902="B",(V902+T902)*K902,(V902+T902)*K902)</f>
        <v>-10926.555999999999</v>
      </c>
      <c r="X902" s="24">
        <f t="shared" ref="X902:X930" si="549">K902*(V902-U902)</f>
        <v>-320.00000000000028</v>
      </c>
      <c r="Y902" s="43">
        <f t="shared" ref="Y902:Y930" si="550">W902/O902</f>
        <v>-0.3333299572910311</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36.85</v>
      </c>
      <c r="V903" s="16">
        <f>IF(ISNA(VLOOKUP(LOWER(F903)&amp;H903,Prices!A:C,2,0)),0,VLOOKUP(LOWER(F903)&amp;H903,Prices!A:C,2,0))</f>
        <v>37.090000000000003</v>
      </c>
      <c r="W903" s="49">
        <f>IF(I903="B",(V903+T903)*K903,(V903+T903)*K903)</f>
        <v>30898.315999999995</v>
      </c>
      <c r="X903" s="24">
        <f t="shared" si="549"/>
        <v>-240.00000000000199</v>
      </c>
      <c r="Y903" s="43">
        <f t="shared" si="550"/>
        <v>0.45391972969002492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28.66</v>
      </c>
      <c r="V904" s="16">
        <f>IF(ISNA(VLOOKUP(LOWER(F904)&amp;H904,Prices!A:C,2,0)),0,VLOOKUP(LOWER(F904)&amp;H904,Prices!A:C,2,0))</f>
        <v>28.37</v>
      </c>
      <c r="W904" s="49">
        <f t="shared" ref="W904:W930" si="551">IF(I904="B",(V904+T904)*K904,(V904+T904)*K904)</f>
        <v>-10935.949200000003</v>
      </c>
      <c r="X904" s="24">
        <f t="shared" si="549"/>
        <v>579.99999999999829</v>
      </c>
      <c r="Y904" s="43">
        <f t="shared" si="550"/>
        <v>-0.2384637854339294</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68.900000000000006</v>
      </c>
      <c r="V905" s="16">
        <f>IF(ISNA(VLOOKUP(LOWER(F905)&amp;H905,Prices!A:C,2,0)),0,VLOOKUP(LOWER(F905)&amp;H905,Prices!A:C,2,0))</f>
        <v>72.989999999999995</v>
      </c>
      <c r="W905" s="49">
        <f t="shared" si="551"/>
        <v>-21021.799999999996</v>
      </c>
      <c r="X905" s="24">
        <f t="shared" si="549"/>
        <v>-2453.9999999999936</v>
      </c>
      <c r="Y905" s="43">
        <f t="shared" si="550"/>
        <v>-0.92200877192982433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22.18</v>
      </c>
      <c r="V906" s="16">
        <f>IF(ISNA(VLOOKUP(LOWER(F906)&amp;H906,Prices!A:C,2,0)),0,VLOOKUP(LOWER(F906)&amp;H906,Prices!A:C,2,0))</f>
        <v>21.86</v>
      </c>
      <c r="W906" s="49">
        <f t="shared" si="551"/>
        <v>5543.5000000000018</v>
      </c>
      <c r="X906" s="24">
        <f t="shared" si="549"/>
        <v>160.00000000000014</v>
      </c>
      <c r="Y906" s="43">
        <f t="shared" si="550"/>
        <v>0.33607153682934232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9.48</v>
      </c>
      <c r="V907" s="16">
        <f>IF(ISNA(VLOOKUP(LOWER(F907)&amp;H907,Prices!A:C,2,0)),0,VLOOKUP(LOWER(F907)&amp;H907,Prices!A:C,2,0))</f>
        <v>9.42</v>
      </c>
      <c r="W907" s="49">
        <f t="shared" si="551"/>
        <v>235.19340000000355</v>
      </c>
      <c r="X907" s="24">
        <f t="shared" si="549"/>
        <v>180.00000000000148</v>
      </c>
      <c r="Y907" s="43">
        <f t="shared" si="550"/>
        <v>8.2437223974764651E-3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22.18</v>
      </c>
      <c r="V908" s="16">
        <f>IF(ISNA(VLOOKUP(LOWER(F908)&amp;H908,Prices!A:C,2,0)),0,VLOOKUP(LOWER(F908)&amp;H908,Prices!A:C,2,0))</f>
        <v>21.86</v>
      </c>
      <c r="W908" s="49">
        <f t="shared" si="551"/>
        <v>5553.4900000000034</v>
      </c>
      <c r="X908" s="24">
        <f t="shared" si="549"/>
        <v>160.00000000000014</v>
      </c>
      <c r="Y908" s="43">
        <f t="shared" si="550"/>
        <v>0.33647318994244191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17.760000000000002</v>
      </c>
      <c r="V909" s="16">
        <f>IF(ISNA(VLOOKUP(LOWER(F909)&amp;H909,Prices!A:C,2,0)),0,VLOOKUP(LOWER(F909)&amp;H909,Prices!A:C,2,0))</f>
        <v>17.62</v>
      </c>
      <c r="W909" s="49">
        <f t="shared" si="551"/>
        <v>-1149.4200000000048</v>
      </c>
      <c r="X909" s="24">
        <f t="shared" si="549"/>
        <v>168.00000000000068</v>
      </c>
      <c r="Y909" s="43">
        <f t="shared" si="550"/>
        <v>-5.7414733561110355E-2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28.66</v>
      </c>
      <c r="V910" s="16">
        <f>IF(ISNA(VLOOKUP(LOWER(F910)&amp;H910,Prices!A:C,2,0)),0,VLOOKUP(LOWER(F910)&amp;H910,Prices!A:C,2,0))</f>
        <v>28.37</v>
      </c>
      <c r="W910" s="49">
        <f t="shared" si="551"/>
        <v>-5558.296800000001</v>
      </c>
      <c r="X910" s="24">
        <f t="shared" si="549"/>
        <v>289.99999999999915</v>
      </c>
      <c r="Y910" s="43">
        <f t="shared" si="550"/>
        <v>-0.24335800350262701</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9.48</v>
      </c>
      <c r="V911" s="16">
        <f>IF(ISNA(VLOOKUP(LOWER(F911)&amp;H911,Prices!A:C,2,0)),0,VLOOKUP(LOWER(F911)&amp;H911,Prices!A:C,2,0))</f>
        <v>9.42</v>
      </c>
      <c r="W911" s="49">
        <f t="shared" si="551"/>
        <v>65.310000000000201</v>
      </c>
      <c r="X911" s="24">
        <f t="shared" si="549"/>
        <v>60.000000000000497</v>
      </c>
      <c r="Y911" s="43">
        <f t="shared" si="550"/>
        <v>6.8747368421052842E-3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74.86</v>
      </c>
      <c r="V912" s="16">
        <f>IF(ISNA(VLOOKUP(LOWER(F912)&amp;H912,Prices!A:C,2,0)),0,VLOOKUP(LOWER(F912)&amp;H912,Prices!A:C,2,0))</f>
        <v>72.930000000000007</v>
      </c>
      <c r="W912" s="49">
        <f t="shared" si="551"/>
        <v>-24033.220400000006</v>
      </c>
      <c r="X912" s="24">
        <f t="shared" si="549"/>
        <v>1543.9999999999941</v>
      </c>
      <c r="Y912" s="43">
        <f t="shared" si="550"/>
        <v>-0.69961633674895218</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27.96</v>
      </c>
      <c r="V913" s="16">
        <f>IF(ISNA(VLOOKUP(LOWER(F913)&amp;H913,Prices!A:C,2,0)),0,VLOOKUP(LOWER(F913)&amp;H913,Prices!A:C,2,0))</f>
        <v>28.55</v>
      </c>
      <c r="W913" s="49">
        <f t="shared" si="551"/>
        <v>-12453.64</v>
      </c>
      <c r="X913" s="24">
        <f t="shared" si="549"/>
        <v>-1179.9999999999998</v>
      </c>
      <c r="Y913" s="43">
        <f t="shared" si="550"/>
        <v>-0.27860492170022372</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58.24</v>
      </c>
      <c r="V916" s="16">
        <f>IF(ISNA(VLOOKUP(LOWER(F916)&amp;H916,Prices!A:C,2,0)),0,VLOOKUP(LOWER(F916)&amp;H916,Prices!A:C,2,0))</f>
        <v>58.82</v>
      </c>
      <c r="W916" s="49">
        <f t="shared" si="551"/>
        <v>-7049.5</v>
      </c>
      <c r="X916" s="24">
        <f t="shared" si="549"/>
        <v>-231.99999999999932</v>
      </c>
      <c r="Y916" s="43">
        <f t="shared" si="550"/>
        <v>-0.42724242424242426</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74.86</v>
      </c>
      <c r="V917" s="16">
        <f>IF(ISNA(VLOOKUP(LOWER(F917)&amp;H917,Prices!A:C,2,0)),0,VLOOKUP(LOWER(F917)&amp;H917,Prices!A:C,2,0))</f>
        <v>72.930000000000007</v>
      </c>
      <c r="W917" s="49">
        <f t="shared" si="551"/>
        <v>-8942.9500000000025</v>
      </c>
      <c r="X917" s="24">
        <f t="shared" si="549"/>
        <v>578.99999999999773</v>
      </c>
      <c r="Y917" s="43">
        <f t="shared" si="550"/>
        <v>-0.69036205033194398</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53.65</v>
      </c>
      <c r="V919" s="16">
        <f>IF(ISNA(VLOOKUP(LOWER(F919)&amp;H919,Prices!A:C,2,0)),0,VLOOKUP(LOWER(F919)&amp;H919,Prices!A:C,2,0))</f>
        <v>54.62</v>
      </c>
      <c r="W919" s="49">
        <f t="shared" si="551"/>
        <v>-10331.999999999996</v>
      </c>
      <c r="X919" s="24">
        <f t="shared" si="549"/>
        <v>-484.99999999999943</v>
      </c>
      <c r="Y919" s="43">
        <f t="shared" si="550"/>
        <v>-0.60776470588235276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17.760000000000002</v>
      </c>
      <c r="V920" s="16">
        <f>IF(ISNA(VLOOKUP(LOWER(F920)&amp;H920,Prices!A:C,2,0)),0,VLOOKUP(LOWER(F920)&amp;H920,Prices!A:C,2,0))</f>
        <v>17.62</v>
      </c>
      <c r="W920" s="49">
        <f t="shared" si="551"/>
        <v>-553.27000000000123</v>
      </c>
      <c r="X920" s="24">
        <f t="shared" si="549"/>
        <v>70.000000000000284</v>
      </c>
      <c r="Y920" s="43">
        <f t="shared" si="550"/>
        <v>-6.6900846432890113E-2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39.799999999999997</v>
      </c>
      <c r="V921" s="16">
        <f>IF(ISNA(VLOOKUP(LOWER(F921)&amp;H921,Prices!A:C,2,0)),0,VLOOKUP(LOWER(F921)&amp;H921,Prices!A:C,2,0))</f>
        <v>41.55</v>
      </c>
      <c r="W921" s="49">
        <f t="shared" si="551"/>
        <v>9063.5040000000026</v>
      </c>
      <c r="X921" s="24">
        <f t="shared" si="549"/>
        <v>1750</v>
      </c>
      <c r="Y921" s="43">
        <f t="shared" si="550"/>
        <v>0.27904876847290649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27.96</v>
      </c>
      <c r="V922" s="16">
        <f>IF(ISNA(VLOOKUP(LOWER(F922)&amp;H922,Prices!A:C,2,0)),0,VLOOKUP(LOWER(F922)&amp;H922,Prices!A:C,2,0))</f>
        <v>28.55</v>
      </c>
      <c r="W922" s="49">
        <f t="shared" si="551"/>
        <v>6484.9999999999991</v>
      </c>
      <c r="X922" s="24">
        <f t="shared" si="549"/>
        <v>589.99999999999989</v>
      </c>
      <c r="Y922" s="43">
        <f t="shared" si="550"/>
        <v>0.29397098821396189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27.96</v>
      </c>
      <c r="V923" s="16">
        <f>IF(ISNA(VLOOKUP(LOWER(F923)&amp;H923,Prices!A:C,2,0)),0,VLOOKUP(LOWER(F923)&amp;H923,Prices!A:C,2,0))</f>
        <v>28.55</v>
      </c>
      <c r="W923" s="49">
        <f t="shared" si="551"/>
        <v>6504.9999999999991</v>
      </c>
      <c r="X923" s="24">
        <f t="shared" si="549"/>
        <v>589.99999999999989</v>
      </c>
      <c r="Y923" s="43">
        <f t="shared" si="550"/>
        <v>0.2951451905626134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58.24</v>
      </c>
      <c r="V924" s="16">
        <f>IF(ISNA(VLOOKUP(LOWER(F924)&amp;H924,Prices!A:C,2,0)),0,VLOOKUP(LOWER(F924)&amp;H924,Prices!A:C,2,0))</f>
        <v>58.82</v>
      </c>
      <c r="W924" s="49">
        <f t="shared" si="551"/>
        <v>-7125.42</v>
      </c>
      <c r="X924" s="24">
        <f t="shared" si="549"/>
        <v>-231.99999999999932</v>
      </c>
      <c r="Y924" s="43">
        <f t="shared" si="550"/>
        <v>-0.43384193862640041</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22.18</v>
      </c>
      <c r="V925" s="16">
        <f>IF(ISNA(VLOOKUP(LOWER(F925)&amp;H925,Prices!A:C,2,0)),0,VLOOKUP(LOWER(F925)&amp;H925,Prices!A:C,2,0))</f>
        <v>21.86</v>
      </c>
      <c r="W925" s="49">
        <f t="shared" si="551"/>
        <v>-6544.9999999999991</v>
      </c>
      <c r="X925" s="24">
        <f t="shared" si="549"/>
        <v>-192.00000000000017</v>
      </c>
      <c r="Y925" s="43">
        <f t="shared" si="550"/>
        <v>-0.33297720797720792</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27.96</v>
      </c>
      <c r="V927" s="16">
        <f>IF(ISNA(VLOOKUP(LOWER(F927)&amp;H927,Prices!A:C,2,0)),0,VLOOKUP(LOWER(F927)&amp;H927,Prices!A:C,2,0))</f>
        <v>28.55</v>
      </c>
      <c r="W927" s="49">
        <f t="shared" si="551"/>
        <v>3250</v>
      </c>
      <c r="X927" s="24">
        <f t="shared" si="549"/>
        <v>294.99999999999994</v>
      </c>
      <c r="Y927" s="43">
        <f t="shared" si="550"/>
        <v>0.29491833030852993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39.799999999999997</v>
      </c>
      <c r="V928" s="16">
        <f>IF(ISNA(VLOOKUP(LOWER(F928)&amp;H928,Prices!A:C,2,0)),0,VLOOKUP(LOWER(F928)&amp;H928,Prices!A:C,2,0))</f>
        <v>41.55</v>
      </c>
      <c r="W928" s="49">
        <f t="shared" si="551"/>
        <v>9123.515999999996</v>
      </c>
      <c r="X928" s="24">
        <f t="shared" si="549"/>
        <v>1750</v>
      </c>
      <c r="Y928" s="43">
        <f t="shared" si="550"/>
        <v>0.2814162862430597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22.18</v>
      </c>
      <c r="V929" s="16">
        <f>IF(ISNA(VLOOKUP(LOWER(F929)&amp;H929,Prices!A:C,2,0)),0,VLOOKUP(LOWER(F929)&amp;H929,Prices!A:C,2,0))</f>
        <v>21.86</v>
      </c>
      <c r="W929" s="49">
        <f t="shared" si="551"/>
        <v>-6526.9999999999982</v>
      </c>
      <c r="X929" s="24">
        <f t="shared" si="549"/>
        <v>-192.00000000000017</v>
      </c>
      <c r="Y929" s="43">
        <f t="shared" si="550"/>
        <v>-0.33236582136673792</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22.18</v>
      </c>
      <c r="V930" s="16">
        <f>IF(ISNA(VLOOKUP(LOWER(F930)&amp;H930,Prices!A:C,2,0)),0,VLOOKUP(LOWER(F930)&amp;H930,Prices!A:C,2,0))</f>
        <v>21.86</v>
      </c>
      <c r="W930" s="49">
        <f t="shared" si="551"/>
        <v>-4308.9999999999973</v>
      </c>
      <c r="X930" s="24">
        <f t="shared" si="549"/>
        <v>-128.00000000000011</v>
      </c>
      <c r="Y930" s="43">
        <f t="shared" si="550"/>
        <v>-0.33024218270999373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101.81</v>
      </c>
      <c r="V931" s="16">
        <f>IF(ISNA(VLOOKUP(LOWER(F931)&amp;H931,Prices!A:C,2,0)),0,VLOOKUP(LOWER(F931)&amp;H931,Prices!A:C,2,0))</f>
        <v>101.32</v>
      </c>
      <c r="W931" s="49">
        <f t="shared" ref="W931:W942" si="557">IF(I931="B",(V931+T931)*K931,(V931+T931)*K931)</f>
        <v>6485.1927999999934</v>
      </c>
      <c r="X931" s="24">
        <f t="shared" ref="X931:X942" si="558">K931*(V931-U931)</f>
        <v>-196.00000000000364</v>
      </c>
      <c r="Y931" s="43">
        <f t="shared" ref="Y931:Y942" si="559">W931/O931</f>
        <v>0.19053921729932993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39.799999999999997</v>
      </c>
      <c r="V932" s="16">
        <f>IF(ISNA(VLOOKUP(LOWER(F932)&amp;H932,Prices!A:C,2,0)),0,VLOOKUP(LOWER(F932)&amp;H932,Prices!A:C,2,0))</f>
        <v>41.55</v>
      </c>
      <c r="W932" s="49">
        <f t="shared" si="557"/>
        <v>9173.5260000000017</v>
      </c>
      <c r="X932" s="24">
        <f t="shared" si="558"/>
        <v>1750</v>
      </c>
      <c r="Y932" s="43">
        <f t="shared" si="559"/>
        <v>0.28339592215013909</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20.13</v>
      </c>
      <c r="V934" s="16">
        <f>IF(ISNA(VLOOKUP(LOWER(F934)&amp;H934,Prices!A:C,2,0)),0,VLOOKUP(LOWER(F934)&amp;H934,Prices!A:C,2,0))</f>
        <v>20.21</v>
      </c>
      <c r="W934" s="49">
        <f t="shared" si="557"/>
        <v>-2480.6600000000003</v>
      </c>
      <c r="X934" s="24">
        <f t="shared" si="558"/>
        <v>-48.000000000001108</v>
      </c>
      <c r="Y934" s="43">
        <f t="shared" si="559"/>
        <v>-0.25679710144927537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20.13</v>
      </c>
      <c r="V935" s="16">
        <f>IF(ISNA(VLOOKUP(LOWER(F935)&amp;H935,Prices!A:C,2,0)),0,VLOOKUP(LOWER(F935)&amp;H935,Prices!A:C,2,0))</f>
        <v>20.21</v>
      </c>
      <c r="W935" s="49">
        <f t="shared" si="557"/>
        <v>-2642.5</v>
      </c>
      <c r="X935" s="24">
        <f t="shared" si="558"/>
        <v>-48.000000000001108</v>
      </c>
      <c r="Y935" s="43">
        <f t="shared" si="559"/>
        <v>-0.27821646662455252</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28.66</v>
      </c>
      <c r="V936" s="16">
        <f>IF(ISNA(VLOOKUP(LOWER(F936)&amp;H936,Prices!A:C,2,0)),0,VLOOKUP(LOWER(F936)&amp;H936,Prices!A:C,2,0))</f>
        <v>28.37</v>
      </c>
      <c r="W936" s="49">
        <f t="shared" si="557"/>
        <v>-6037.8071999999993</v>
      </c>
      <c r="X936" s="24">
        <f t="shared" si="558"/>
        <v>289.99999999999915</v>
      </c>
      <c r="Y936" s="43">
        <f t="shared" si="559"/>
        <v>-0.27002715563506258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58.24</v>
      </c>
      <c r="V938" s="16">
        <f>IF(ISNA(VLOOKUP(LOWER(F938)&amp;H938,Prices!A:C,2,0)),0,VLOOKUP(LOWER(F938)&amp;H938,Prices!A:C,2,0))</f>
        <v>58.82</v>
      </c>
      <c r="W938" s="49">
        <f t="shared" si="557"/>
        <v>-7445.0999999999995</v>
      </c>
      <c r="X938" s="24">
        <f t="shared" si="558"/>
        <v>-231.99999999999932</v>
      </c>
      <c r="Y938" s="43">
        <f t="shared" si="559"/>
        <v>-0.46231371087928463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39.799999999999997</v>
      </c>
      <c r="V939" s="16">
        <f>IF(ISNA(VLOOKUP(LOWER(F939)&amp;H939,Prices!A:C,2,0)),0,VLOOKUP(LOWER(F939)&amp;H939,Prices!A:C,2,0))</f>
        <v>41.55</v>
      </c>
      <c r="W939" s="49">
        <f t="shared" si="557"/>
        <v>-14862.023999999994</v>
      </c>
      <c r="X939" s="24">
        <f t="shared" si="558"/>
        <v>-2625</v>
      </c>
      <c r="Y939" s="43">
        <f t="shared" si="559"/>
        <v>-0.3127530303030302</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49.33</v>
      </c>
      <c r="V941" s="16">
        <f>IF(ISNA(VLOOKUP(LOWER(F941)&amp;H941,Prices!A:C,2,0)),0,VLOOKUP(LOWER(F941)&amp;H941,Prices!A:C,2,0))</f>
        <v>47.66</v>
      </c>
      <c r="W941" s="49">
        <f t="shared" si="557"/>
        <v>-2672.0074400000003</v>
      </c>
      <c r="X941" s="24">
        <f t="shared" si="558"/>
        <v>334.00000000000034</v>
      </c>
      <c r="Y941" s="43">
        <f t="shared" si="559"/>
        <v>-0.38882529685681028</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27.96</v>
      </c>
      <c r="V944" s="16">
        <f>IF(ISNA(VLOOKUP(LOWER(F944)&amp;H944,Prices!A:C,2,0)),0,VLOOKUP(LOWER(F944)&amp;H944,Prices!A:C,2,0))</f>
        <v>28.55</v>
      </c>
      <c r="W944" s="49">
        <f t="shared" si="564"/>
        <v>-14599.923599999995</v>
      </c>
      <c r="X944" s="24">
        <f t="shared" si="565"/>
        <v>-1297.9999999999998</v>
      </c>
      <c r="Y944" s="43">
        <f t="shared" si="566"/>
        <v>-0.30247624927488181</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27.96</v>
      </c>
      <c r="V945" s="16">
        <f>IF(ISNA(VLOOKUP(LOWER(F945)&amp;H945,Prices!A:C,2,0)),0,VLOOKUP(LOWER(F945)&amp;H945,Prices!A:C,2,0))</f>
        <v>28.55</v>
      </c>
      <c r="W945" s="49">
        <f t="shared" si="564"/>
        <v>-6596.9799999999987</v>
      </c>
      <c r="X945" s="24">
        <f t="shared" si="565"/>
        <v>-589.99999999999989</v>
      </c>
      <c r="Y945" s="43">
        <f t="shared" si="566"/>
        <v>-0.3001355777979981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39.799999999999997</v>
      </c>
      <c r="V947" s="16">
        <f>IF(ISNA(VLOOKUP(LOWER(F947)&amp;H947,Prices!A:C,2,0)),0,VLOOKUP(LOWER(F947)&amp;H947,Prices!A:C,2,0))</f>
        <v>41.55</v>
      </c>
      <c r="W947" s="49">
        <f t="shared" si="564"/>
        <v>-14622.312000000004</v>
      </c>
      <c r="X947" s="24">
        <f t="shared" si="565"/>
        <v>-2625</v>
      </c>
      <c r="Y947" s="43">
        <f t="shared" si="566"/>
        <v>-0.306162311557789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9.48</v>
      </c>
      <c r="V948" s="16">
        <f>IF(ISNA(VLOOKUP(LOWER(F948)&amp;H948,Prices!A:C,2,0)),0,VLOOKUP(LOWER(F948)&amp;H948,Prices!A:C,2,0))</f>
        <v>9.42</v>
      </c>
      <c r="W948" s="49">
        <f t="shared" si="564"/>
        <v>-254.36360000000136</v>
      </c>
      <c r="X948" s="24">
        <f t="shared" si="565"/>
        <v>60.000000000000497</v>
      </c>
      <c r="Y948" s="43">
        <f t="shared" si="566"/>
        <v>-2.7708453159041541E-2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7.97</v>
      </c>
      <c r="V949" s="16">
        <f>IF(ISNA(VLOOKUP(LOWER(F949)&amp;H949,Prices!A:C,2,0)),0,VLOOKUP(LOWER(F949)&amp;H949,Prices!A:C,2,0))</f>
        <v>8.11</v>
      </c>
      <c r="W949" s="49">
        <f t="shared" si="564"/>
        <v>3591.8709999999974</v>
      </c>
      <c r="X949" s="24">
        <f>K949*(V949-U949)</f>
        <v>699.99999999999841</v>
      </c>
      <c r="Y949" s="43">
        <f t="shared" si="566"/>
        <v>9.7208958051420769E-2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101.81</v>
      </c>
      <c r="V950" s="16">
        <f>IF(ISNA(VLOOKUP(LOWER(F950)&amp;H950,Prices!A:C,2,0)),0,VLOOKUP(LOWER(F950)&amp;H950,Prices!A:C,2,0))</f>
        <v>101.32</v>
      </c>
      <c r="W950" s="49">
        <f t="shared" si="564"/>
        <v>-3254.0299999999975</v>
      </c>
      <c r="X950" s="24">
        <f t="shared" si="565"/>
        <v>98.000000000001819</v>
      </c>
      <c r="Y950" s="43">
        <f t="shared" si="566"/>
        <v>-0.19105389854391719</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74.86</v>
      </c>
      <c r="V952" s="16">
        <f>IF(ISNA(VLOOKUP(LOWER(F952)&amp;H952,Prices!A:C,2,0)),0,VLOOKUP(LOWER(F952)&amp;H952,Prices!A:C,2,0))</f>
        <v>72.930000000000007</v>
      </c>
      <c r="W952" s="49">
        <f t="shared" si="564"/>
        <v>30521.520000000004</v>
      </c>
      <c r="X952" s="24">
        <f t="shared" si="565"/>
        <v>-1929.9999999999927</v>
      </c>
      <c r="Y952" s="43">
        <f t="shared" si="566"/>
        <v>0.7198471698113208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7.97</v>
      </c>
      <c r="V953" s="16">
        <f>IF(ISNA(VLOOKUP(LOWER(F953)&amp;H953,Prices!A:C,2,0)),0,VLOOKUP(LOWER(F953)&amp;H953,Prices!A:C,2,0))</f>
        <v>8.11</v>
      </c>
      <c r="W953" s="49">
        <f t="shared" si="564"/>
        <v>3691.892999999995</v>
      </c>
      <c r="X953" s="24">
        <f>K953*(V953-U953)</f>
        <v>699.99999999999841</v>
      </c>
      <c r="Y953" s="43">
        <f t="shared" si="566"/>
        <v>0.10018705563093609</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22.18</v>
      </c>
      <c r="V954" s="16">
        <f>IF(ISNA(VLOOKUP(LOWER(F954)&amp;H954,Prices!A:C,2,0)),0,VLOOKUP(LOWER(F954)&amp;H954,Prices!A:C,2,0))</f>
        <v>21.86</v>
      </c>
      <c r="W954" s="49">
        <f t="shared" si="564"/>
        <v>-10116.394</v>
      </c>
      <c r="X954" s="24">
        <f t="shared" si="565"/>
        <v>-320.00000000000028</v>
      </c>
      <c r="Y954" s="43">
        <f t="shared" si="566"/>
        <v>-0.31643396934626211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101.81</v>
      </c>
      <c r="V955" s="16">
        <f>IF(ISNA(VLOOKUP(LOWER(F955)&amp;H955,Prices!A:C,2,0)),0,VLOOKUP(LOWER(F955)&amp;H955,Prices!A:C,2,0))</f>
        <v>101.32</v>
      </c>
      <c r="W955" s="49">
        <f t="shared" si="564"/>
        <v>4971.9161999999997</v>
      </c>
      <c r="X955" s="24">
        <f t="shared" si="565"/>
        <v>-147.00000000000273</v>
      </c>
      <c r="Y955" s="43">
        <f t="shared" si="566"/>
        <v>0.19559841850584209</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39.799999999999997</v>
      </c>
      <c r="V956" s="16">
        <f>IF(ISNA(VLOOKUP(LOWER(F956)&amp;H956,Prices!A:C,2,0)),0,VLOOKUP(LOWER(F956)&amp;H956,Prices!A:C,2,0))</f>
        <v>41.55</v>
      </c>
      <c r="W956" s="49">
        <f t="shared" si="564"/>
        <v>9633.6179999999949</v>
      </c>
      <c r="X956" s="24">
        <f t="shared" si="565"/>
        <v>1750</v>
      </c>
      <c r="Y956" s="43">
        <f t="shared" si="566"/>
        <v>0.30189965528047619</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7.97</v>
      </c>
      <c r="V957" s="16">
        <f>IF(ISNA(VLOOKUP(LOWER(F957)&amp;H957,Prices!A:C,2,0)),0,VLOOKUP(LOWER(F957)&amp;H957,Prices!A:C,2,0))</f>
        <v>8.11</v>
      </c>
      <c r="W957" s="49">
        <f t="shared" si="564"/>
        <v>1494.705599999998</v>
      </c>
      <c r="X957" s="24">
        <f>K957*(V957-U957)</f>
        <v>279.99999999999937</v>
      </c>
      <c r="Y957" s="43">
        <f t="shared" si="566"/>
        <v>0.10154249999999986</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53.65</v>
      </c>
      <c r="V958" s="16">
        <f>IF(ISNA(VLOOKUP(LOWER(F958)&amp;H958,Prices!A:C,2,0)),0,VLOOKUP(LOWER(F958)&amp;H958,Prices!A:C,2,0))</f>
        <v>54.62</v>
      </c>
      <c r="W958" s="49">
        <f t="shared" si="564"/>
        <v>32495.114999999987</v>
      </c>
      <c r="X958" s="24">
        <f t="shared" si="565"/>
        <v>1454.9999999999982</v>
      </c>
      <c r="Y958" s="43">
        <f t="shared" si="566"/>
        <v>0.65746312594840628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101.81</v>
      </c>
      <c r="V959" s="16">
        <f>IF(ISNA(VLOOKUP(LOWER(F959)&amp;H959,Prices!A:C,2,0)),0,VLOOKUP(LOWER(F959)&amp;H959,Prices!A:C,2,0))</f>
        <v>101.32</v>
      </c>
      <c r="W959" s="49">
        <f t="shared" si="564"/>
        <v>5064.9347999999964</v>
      </c>
      <c r="X959" s="24">
        <f t="shared" si="565"/>
        <v>-147.00000000000273</v>
      </c>
      <c r="Y959" s="43">
        <f t="shared" si="566"/>
        <v>0.19998952854773736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27.96</v>
      </c>
      <c r="V960" s="16">
        <f>IF(ISNA(VLOOKUP(LOWER(F960)&amp;H960,Prices!A:C,2,0)),0,VLOOKUP(LOWER(F960)&amp;H960,Prices!A:C,2,0))</f>
        <v>28.55</v>
      </c>
      <c r="W960" s="49">
        <f t="shared" si="564"/>
        <v>6585.0000000000009</v>
      </c>
      <c r="X960" s="24">
        <f t="shared" si="565"/>
        <v>589.99999999999989</v>
      </c>
      <c r="Y960" s="43">
        <f t="shared" si="566"/>
        <v>0.2998633879781421</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53.65</v>
      </c>
      <c r="V961" s="16">
        <f>IF(ISNA(VLOOKUP(LOWER(F961)&amp;H961,Prices!A:C,2,0)),0,VLOOKUP(LOWER(F961)&amp;H961,Prices!A:C,2,0))</f>
        <v>54.62</v>
      </c>
      <c r="W961" s="49">
        <f t="shared" si="564"/>
        <v>13014.999999999998</v>
      </c>
      <c r="X961" s="24">
        <f t="shared" si="565"/>
        <v>581.99999999999932</v>
      </c>
      <c r="Y961" s="43">
        <f t="shared" si="566"/>
        <v>0.65892061563385973</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7.97</v>
      </c>
      <c r="V962" s="16">
        <f>IF(ISNA(VLOOKUP(LOWER(F962)&amp;H962,Prices!A:C,2,0)),0,VLOOKUP(LOWER(F962)&amp;H962,Prices!A:C,2,0))</f>
        <v>8.11</v>
      </c>
      <c r="W962" s="49">
        <f t="shared" si="564"/>
        <v>2274.5589999999984</v>
      </c>
      <c r="X962" s="24">
        <f t="shared" si="565"/>
        <v>419.99999999999903</v>
      </c>
      <c r="Y962" s="43">
        <f t="shared" si="566"/>
        <v>0.10315460317460311</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27.96</v>
      </c>
      <c r="V963" s="16">
        <f>IF(ISNA(VLOOKUP(LOWER(F963)&amp;H963,Prices!A:C,2,0)),0,VLOOKUP(LOWER(F963)&amp;H963,Prices!A:C,2,0))</f>
        <v>28.55</v>
      </c>
      <c r="W963" s="49">
        <f t="shared" si="564"/>
        <v>9908.4180000000015</v>
      </c>
      <c r="X963" s="24">
        <f t="shared" si="565"/>
        <v>884.99999999999977</v>
      </c>
      <c r="Y963" s="43">
        <f t="shared" si="566"/>
        <v>0.30107620783956252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28.66</v>
      </c>
      <c r="V964" s="16">
        <f>IF(ISNA(VLOOKUP(LOWER(F964)&amp;H964,Prices!A:C,2,0)),0,VLOOKUP(LOWER(F964)&amp;H964,Prices!A:C,2,0))</f>
        <v>28.37</v>
      </c>
      <c r="W964" s="49">
        <f t="shared" si="564"/>
        <v>14962.691000000001</v>
      </c>
      <c r="X964" s="24">
        <f t="shared" si="565"/>
        <v>-724.99999999999784</v>
      </c>
      <c r="Y964" s="43">
        <f t="shared" si="566"/>
        <v>0.26742968722073279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17.760000000000002</v>
      </c>
      <c r="V965" s="16">
        <f>IF(ISNA(VLOOKUP(LOWER(F965)&amp;H965,Prices!A:C,2,0)),0,VLOOKUP(LOWER(F965)&amp;H965,Prices!A:C,2,0))</f>
        <v>17.62</v>
      </c>
      <c r="W965" s="49">
        <f t="shared" si="564"/>
        <v>2065.0000000000032</v>
      </c>
      <c r="X965" s="24">
        <f t="shared" si="565"/>
        <v>-210.00000000000085</v>
      </c>
      <c r="Y965" s="43">
        <f t="shared" si="566"/>
        <v>8.4770114942528882E-2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53.65</v>
      </c>
      <c r="V966" s="16">
        <f>IF(ISNA(VLOOKUP(LOWER(F966)&amp;H966,Prices!A:C,2,0)),0,VLOOKUP(LOWER(F966)&amp;H966,Prices!A:C,2,0))</f>
        <v>54.62</v>
      </c>
      <c r="W966" s="49">
        <f t="shared" si="564"/>
        <v>13027</v>
      </c>
      <c r="X966" s="24">
        <f t="shared" si="565"/>
        <v>581.99999999999932</v>
      </c>
      <c r="Y966" s="43">
        <f t="shared" si="566"/>
        <v>0.65992907801418443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39.799999999999997</v>
      </c>
      <c r="V967" s="16">
        <f>IF(ISNA(VLOOKUP(LOWER(F967)&amp;H967,Prices!A:C,2,0)),0,VLOOKUP(LOWER(F967)&amp;H967,Prices!A:C,2,0))</f>
        <v>41.55</v>
      </c>
      <c r="W967" s="49">
        <f t="shared" si="564"/>
        <v>5892.9999999999991</v>
      </c>
      <c r="X967" s="24">
        <f t="shared" si="565"/>
        <v>1050</v>
      </c>
      <c r="Y967" s="43">
        <f t="shared" si="566"/>
        <v>0.30963640184951657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27.96</v>
      </c>
      <c r="V968" s="16">
        <f>IF(ISNA(VLOOKUP(LOWER(F968)&amp;H968,Prices!A:C,2,0)),0,VLOOKUP(LOWER(F968)&amp;H968,Prices!A:C,2,0))</f>
        <v>28.55</v>
      </c>
      <c r="W968" s="49">
        <f t="shared" si="564"/>
        <v>6685.0000000000018</v>
      </c>
      <c r="X968" s="24">
        <f t="shared" si="565"/>
        <v>589.99999999999989</v>
      </c>
      <c r="Y968" s="43">
        <f t="shared" si="566"/>
        <v>0.30580969807868263</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v>
      </c>
      <c r="V969" s="16">
        <f>IF(ISNA(VLOOKUP(LOWER(F969)&amp;H969,Prices!A:C,2,0)),0,VLOOKUP(LOWER(F969)&amp;H969,Prices!A:C,2,0))</f>
        <v>28.9</v>
      </c>
      <c r="W969" s="49">
        <f t="shared" si="564"/>
        <v>8334.9999999999982</v>
      </c>
      <c r="X969" s="24">
        <f t="shared" si="565"/>
        <v>0</v>
      </c>
      <c r="Y969" s="43">
        <f t="shared" si="566"/>
        <v>0.40539883268482479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17.760000000000002</v>
      </c>
      <c r="V970" s="16">
        <f>IF(ISNA(VLOOKUP(LOWER(F970)&amp;H970,Prices!A:C,2,0)),0,VLOOKUP(LOWER(F970)&amp;H970,Prices!A:C,2,0))</f>
        <v>17.62</v>
      </c>
      <c r="W970" s="49">
        <f t="shared" si="564"/>
        <v>2050.0000000000009</v>
      </c>
      <c r="X970" s="24">
        <f t="shared" si="565"/>
        <v>-210.00000000000085</v>
      </c>
      <c r="Y970" s="43">
        <f t="shared" si="566"/>
        <v>8.4102564102564142E-2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74.86</v>
      </c>
      <c r="V971" s="16">
        <f>IF(ISNA(VLOOKUP(LOWER(F971)&amp;H971,Prices!A:C,2,0)),0,VLOOKUP(LOWER(F971)&amp;H971,Prices!A:C,2,0))</f>
        <v>72.930000000000007</v>
      </c>
      <c r="W971" s="49">
        <f t="shared" si="564"/>
        <v>-12241.950000000003</v>
      </c>
      <c r="X971" s="24">
        <f t="shared" si="565"/>
        <v>771.99999999999704</v>
      </c>
      <c r="Y971" s="43">
        <f t="shared" si="566"/>
        <v>-0.72215372817366696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53.65</v>
      </c>
      <c r="V973" s="16">
        <f>IF(ISNA(VLOOKUP(LOWER(F973)&amp;H973,Prices!A:C,2,0)),0,VLOOKUP(LOWER(F973)&amp;H973,Prices!A:C,2,0))</f>
        <v>54.62</v>
      </c>
      <c r="W973" s="49">
        <f t="shared" si="564"/>
        <v>-10691.64</v>
      </c>
      <c r="X973" s="24">
        <f t="shared" si="565"/>
        <v>-484.99999999999943</v>
      </c>
      <c r="Y973" s="43">
        <f t="shared" si="566"/>
        <v>-0.64252644230769229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39.799999999999997</v>
      </c>
      <c r="V974" s="16">
        <f>IF(ISNA(VLOOKUP(LOWER(F974)&amp;H974,Prices!A:C,2,0)),0,VLOOKUP(LOWER(F974)&amp;H974,Prices!A:C,2,0))</f>
        <v>41.55</v>
      </c>
      <c r="W974" s="49">
        <f t="shared" si="564"/>
        <v>-2870.61</v>
      </c>
      <c r="X974" s="24">
        <f t="shared" si="565"/>
        <v>-525</v>
      </c>
      <c r="Y974" s="43">
        <f t="shared" si="566"/>
        <v>-0.29874180455822669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74.86</v>
      </c>
      <c r="V976" s="16">
        <f>IF(ISNA(VLOOKUP(LOWER(F976)&amp;H976,Prices!A:C,2,0)),0,VLOOKUP(LOWER(F976)&amp;H976,Prices!A:C,2,0))</f>
        <v>72.930000000000007</v>
      </c>
      <c r="W976" s="49">
        <f t="shared" si="564"/>
        <v>-6037.56</v>
      </c>
      <c r="X976" s="24">
        <f t="shared" si="565"/>
        <v>385.99999999999852</v>
      </c>
      <c r="Y976" s="43">
        <f t="shared" si="566"/>
        <v>-0.70515767344078495</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74.86</v>
      </c>
      <c r="V977" s="16">
        <f>IF(ISNA(VLOOKUP(LOWER(F977)&amp;H977,Prices!A:C,2,0)),0,VLOOKUP(LOWER(F977)&amp;H977,Prices!A:C,2,0))</f>
        <v>72.930000000000007</v>
      </c>
      <c r="W977" s="49">
        <f t="shared" si="564"/>
        <v>-5999.6000000000022</v>
      </c>
      <c r="X977" s="24">
        <f t="shared" si="565"/>
        <v>385.99999999999852</v>
      </c>
      <c r="Y977" s="43">
        <f t="shared" si="566"/>
        <v>-0.69762790697674448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53.65</v>
      </c>
      <c r="V978" s="16">
        <f>IF(ISNA(VLOOKUP(LOWER(F978)&amp;H978,Prices!A:C,2,0)),0,VLOOKUP(LOWER(F978)&amp;H978,Prices!A:C,2,0))</f>
        <v>54.62</v>
      </c>
      <c r="W978" s="49">
        <f t="shared" si="564"/>
        <v>-10606.73</v>
      </c>
      <c r="X978" s="24">
        <f t="shared" si="565"/>
        <v>-484.99999999999943</v>
      </c>
      <c r="Y978" s="43">
        <f t="shared" si="566"/>
        <v>-0.63418415545590434</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9.48</v>
      </c>
      <c r="V979" s="16">
        <f>IF(ISNA(VLOOKUP(LOWER(F979)&amp;H979,Prices!A:C,2,0)),0,VLOOKUP(LOWER(F979)&amp;H979,Prices!A:C,2,0))</f>
        <v>9.42</v>
      </c>
      <c r="W979" s="49">
        <f t="shared" si="564"/>
        <v>534.63399999999695</v>
      </c>
      <c r="X979" s="24">
        <f t="shared" si="565"/>
        <v>-120.00000000000099</v>
      </c>
      <c r="Y979" s="43">
        <f t="shared" si="566"/>
        <v>2.9214972677595461E-2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17.760000000000002</v>
      </c>
      <c r="V980" s="16">
        <f>IF(ISNA(VLOOKUP(LOWER(F980)&amp;H980,Prices!A:C,2,0)),0,VLOOKUP(LOWER(F980)&amp;H980,Prices!A:C,2,0))</f>
        <v>17.62</v>
      </c>
      <c r="W980" s="49">
        <f t="shared" si="564"/>
        <v>2813.5160000000001</v>
      </c>
      <c r="X980" s="24">
        <f t="shared" si="565"/>
        <v>-280.00000000000114</v>
      </c>
      <c r="Y980" s="43">
        <f t="shared" si="566"/>
        <v>8.6783343615052438E-2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20.13</v>
      </c>
      <c r="V981" s="16">
        <f>IF(ISNA(VLOOKUP(LOWER(F981)&amp;H981,Prices!A:C,2,0)),0,VLOOKUP(LOWER(F981)&amp;H981,Prices!A:C,2,0))</f>
        <v>20.21</v>
      </c>
      <c r="W981" s="49">
        <f t="shared" si="564"/>
        <v>4405.0000000000009</v>
      </c>
      <c r="X981" s="24">
        <f t="shared" si="565"/>
        <v>80.000000000001847</v>
      </c>
      <c r="Y981" s="43">
        <f t="shared" si="566"/>
        <v>0.27879746835443042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22.18</v>
      </c>
      <c r="V982" s="16">
        <f>IF(ISNA(VLOOKUP(LOWER(F982)&amp;H982,Prices!A:C,2,0)),0,VLOOKUP(LOWER(F982)&amp;H982,Prices!A:C,2,0))</f>
        <v>21.86</v>
      </c>
      <c r="W982" s="49">
        <f t="shared" si="564"/>
        <v>-5035</v>
      </c>
      <c r="X982" s="24">
        <f t="shared" si="565"/>
        <v>-160.00000000000014</v>
      </c>
      <c r="Y982" s="43">
        <f t="shared" si="566"/>
        <v>-0.31547619047619047</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9.48</v>
      </c>
      <c r="V983" s="16">
        <f>IF(ISNA(VLOOKUP(LOWER(F983)&amp;H983,Prices!A:C,2,0)),0,VLOOKUP(LOWER(F983)&amp;H983,Prices!A:C,2,0))</f>
        <v>9.42</v>
      </c>
      <c r="W983" s="49">
        <f t="shared" si="564"/>
        <v>-94.722499999999599</v>
      </c>
      <c r="X983" s="24">
        <f t="shared" si="565"/>
        <v>30.000000000000249</v>
      </c>
      <c r="Y983" s="43">
        <f t="shared" si="566"/>
        <v>-2.0480540540540455E-2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7.86</v>
      </c>
      <c r="V984" s="16">
        <f>IF(ISNA(VLOOKUP(LOWER(F984)&amp;H984,Prices!A:C,2,0)),0,VLOOKUP(LOWER(F984)&amp;H984,Prices!A:C,2,0))</f>
        <v>7.97</v>
      </c>
      <c r="W984" s="49">
        <f t="shared" si="564"/>
        <v>-958.9760000000025</v>
      </c>
      <c r="X984" s="24">
        <f t="shared" si="565"/>
        <v>549.99999999999716</v>
      </c>
      <c r="Y984" s="43">
        <f t="shared" si="566"/>
        <v>-2.3504313725490257E-2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27.88</v>
      </c>
      <c r="V985" s="16">
        <f>IF(ISNA(VLOOKUP(LOWER(F985)&amp;H985,Prices!A:C,2,0)),0,VLOOKUP(LOWER(F985)&amp;H985,Prices!A:C,2,0))</f>
        <v>28.03</v>
      </c>
      <c r="W985" s="49">
        <f t="shared" si="564"/>
        <v>-5537.3831999999938</v>
      </c>
      <c r="X985" s="24">
        <f t="shared" si="565"/>
        <v>150.00000000000213</v>
      </c>
      <c r="Y985" s="43">
        <f t="shared" si="566"/>
        <v>-0.16499949940405226</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53.65</v>
      </c>
      <c r="V986" s="16">
        <f>IF(ISNA(VLOOKUP(LOWER(F986)&amp;H986,Prices!A:C,2,0)),0,VLOOKUP(LOWER(F986)&amp;H986,Prices!A:C,2,0))</f>
        <v>54.62</v>
      </c>
      <c r="W986" s="49">
        <f t="shared" si="564"/>
        <v>21503.377999999997</v>
      </c>
      <c r="X986" s="24">
        <f t="shared" si="565"/>
        <v>969.99999999999886</v>
      </c>
      <c r="Y986" s="43">
        <f t="shared" si="566"/>
        <v>0.64945267290848674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7.86</v>
      </c>
      <c r="V987" s="16">
        <f>IF(ISNA(VLOOKUP(LOWER(F987)&amp;H987,Prices!A:C,2,0)),0,VLOOKUP(LOWER(F987)&amp;H987,Prices!A:C,2,0))</f>
        <v>7.97</v>
      </c>
      <c r="W987" s="49">
        <f t="shared" si="564"/>
        <v>-200.24299999999994</v>
      </c>
      <c r="X987" s="24">
        <f t="shared" si="565"/>
        <v>164.99999999999915</v>
      </c>
      <c r="Y987" s="43">
        <f t="shared" si="566"/>
        <v>-1.6480905349794232E-2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53.65</v>
      </c>
      <c r="V988" s="16">
        <f>IF(ISNA(VLOOKUP(LOWER(F988)&amp;H988,Prices!A:C,2,0)),0,VLOOKUP(LOWER(F988)&amp;H988,Prices!A:C,2,0))</f>
        <v>54.62</v>
      </c>
      <c r="W988" s="49">
        <f t="shared" si="564"/>
        <v>8619</v>
      </c>
      <c r="X988" s="24">
        <f t="shared" si="565"/>
        <v>387.99999999999955</v>
      </c>
      <c r="Y988" s="43">
        <f t="shared" si="566"/>
        <v>0.65176950998185113</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27.96</v>
      </c>
      <c r="V989" s="16">
        <f>IF(ISNA(VLOOKUP(LOWER(F989)&amp;H989,Prices!A:C,2,0)),0,VLOOKUP(LOWER(F989)&amp;H989,Prices!A:C,2,0))</f>
        <v>28.55</v>
      </c>
      <c r="W989" s="49">
        <f t="shared" si="564"/>
        <v>-6497.0800000000036</v>
      </c>
      <c r="X989" s="24">
        <f t="shared" si="565"/>
        <v>-589.99999999999989</v>
      </c>
      <c r="Y989" s="43">
        <f t="shared" si="566"/>
        <v>-0.29425181159420305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17.760000000000002</v>
      </c>
      <c r="V990" s="16">
        <f>IF(ISNA(VLOOKUP(LOWER(F990)&amp;H990,Prices!A:C,2,0)),0,VLOOKUP(LOWER(F990)&amp;H990,Prices!A:C,2,0))</f>
        <v>17.62</v>
      </c>
      <c r="W990" s="49">
        <f t="shared" si="564"/>
        <v>-678.15000000000043</v>
      </c>
      <c r="X990" s="24">
        <f t="shared" si="565"/>
        <v>70.000000000000284</v>
      </c>
      <c r="Y990" s="43">
        <f t="shared" si="566"/>
        <v>-8.3259668508287352E-2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22.18</v>
      </c>
      <c r="V991" s="16">
        <f>IF(ISNA(VLOOKUP(LOWER(F991)&amp;H991,Prices!A:C,2,0)),0,VLOOKUP(LOWER(F991)&amp;H991,Prices!A:C,2,0))</f>
        <v>21.86</v>
      </c>
      <c r="W991" s="49">
        <f t="shared" si="564"/>
        <v>5044.0000000000009</v>
      </c>
      <c r="X991" s="24">
        <f t="shared" si="565"/>
        <v>160.00000000000014</v>
      </c>
      <c r="Y991" s="43">
        <f t="shared" si="566"/>
        <v>0.31534854642075655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9.48</v>
      </c>
      <c r="V992" s="16">
        <f>IF(ISNA(VLOOKUP(LOWER(F992)&amp;H992,Prices!A:C,2,0)),0,VLOOKUP(LOWER(F992)&amp;H992,Prices!A:C,2,0))</f>
        <v>9.42</v>
      </c>
      <c r="W992" s="49">
        <f t="shared" si="564"/>
        <v>-109.70220000000009</v>
      </c>
      <c r="X992" s="24">
        <f t="shared" si="565"/>
        <v>30.000000000000249</v>
      </c>
      <c r="Y992" s="43">
        <f t="shared" si="566"/>
        <v>-2.3796572668112817E-2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39.799999999999997</v>
      </c>
      <c r="V993" s="16">
        <f>IF(ISNA(VLOOKUP(LOWER(F993)&amp;H993,Prices!A:C,2,0)),0,VLOOKUP(LOWER(F993)&amp;H993,Prices!A:C,2,0))</f>
        <v>41.55</v>
      </c>
      <c r="W993" s="49">
        <f t="shared" si="564"/>
        <v>-2927.5499999999984</v>
      </c>
      <c r="X993" s="24">
        <f t="shared" si="565"/>
        <v>-525</v>
      </c>
      <c r="Y993" s="43">
        <f t="shared" si="566"/>
        <v>-0.30648555276381895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22.18</v>
      </c>
      <c r="V994" s="16">
        <f>IF(ISNA(VLOOKUP(LOWER(F994)&amp;H994,Prices!A:C,2,0)),0,VLOOKUP(LOWER(F994)&amp;H994,Prices!A:C,2,0))</f>
        <v>21.86</v>
      </c>
      <c r="W994" s="49">
        <f t="shared" si="564"/>
        <v>5058.9900000000016</v>
      </c>
      <c r="X994" s="24">
        <f t="shared" si="565"/>
        <v>160.00000000000014</v>
      </c>
      <c r="Y994" s="43">
        <f t="shared" si="566"/>
        <v>0.31598938163647727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39.799999999999997</v>
      </c>
      <c r="V995" s="16">
        <f>IF(ISNA(VLOOKUP(LOWER(F995)&amp;H995,Prices!A:C,2,0)),0,VLOOKUP(LOWER(F995)&amp;H995,Prices!A:C,2,0))</f>
        <v>41.55</v>
      </c>
      <c r="W995" s="49">
        <f t="shared" si="564"/>
        <v>-4840.9599999999973</v>
      </c>
      <c r="X995" s="24">
        <f t="shared" si="565"/>
        <v>-875</v>
      </c>
      <c r="Y995" s="43">
        <f t="shared" si="566"/>
        <v>-0.30341335004700704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58.24</v>
      </c>
      <c r="V998" s="16">
        <f>IF(ISNA(VLOOKUP(LOWER(F998)&amp;H998,Prices!A:C,2,0)),0,VLOOKUP(LOWER(F998)&amp;H998,Prices!A:C,2,0))</f>
        <v>58.82</v>
      </c>
      <c r="W998" s="49">
        <f t="shared" si="564"/>
        <v>-6909.6399999999985</v>
      </c>
      <c r="X998" s="24">
        <f t="shared" si="565"/>
        <v>-231.99999999999932</v>
      </c>
      <c r="Y998" s="43">
        <f t="shared" si="566"/>
        <v>-0.41524278846153839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22.18</v>
      </c>
      <c r="V1000" s="16">
        <f>IF(ISNA(VLOOKUP(LOWER(F1000)&amp;H1000,Prices!A:C,2,0)),0,VLOOKUP(LOWER(F1000)&amp;H1000,Prices!A:C,2,0))</f>
        <v>21.86</v>
      </c>
      <c r="W1000" s="49">
        <f t="shared" si="564"/>
        <v>6101.7599999999975</v>
      </c>
      <c r="X1000" s="24">
        <f t="shared" si="565"/>
        <v>192.00000000000017</v>
      </c>
      <c r="Y1000" s="43">
        <f t="shared" si="566"/>
        <v>0.31710632990333631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39.799999999999997</v>
      </c>
      <c r="V1001" s="16">
        <f>IF(ISNA(VLOOKUP(LOWER(F1001)&amp;H1001,Prices!A:C,2,0)),0,VLOOKUP(LOWER(F1001)&amp;H1001,Prices!A:C,2,0))</f>
        <v>41.55</v>
      </c>
      <c r="W1001" s="49">
        <f t="shared" si="564"/>
        <v>-1949.369999999999</v>
      </c>
      <c r="X1001" s="24">
        <f t="shared" si="565"/>
        <v>-350</v>
      </c>
      <c r="Y1001" s="43">
        <f t="shared" si="566"/>
        <v>-0.30592749529190189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101.81</v>
      </c>
      <c r="V1002" s="16">
        <f>IF(ISNA(VLOOKUP(LOWER(F1002)&amp;H1002,Prices!A:C,2,0)),0,VLOOKUP(LOWER(F1002)&amp;H1002,Prices!A:C,2,0))</f>
        <v>101.32</v>
      </c>
      <c r="W1002" s="49">
        <f t="shared" si="564"/>
        <v>-3248.0400000000004</v>
      </c>
      <c r="X1002" s="24">
        <f t="shared" si="565"/>
        <v>98.000000000001819</v>
      </c>
      <c r="Y1002" s="43">
        <f t="shared" si="566"/>
        <v>-0.19063505106233128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39.799999999999997</v>
      </c>
      <c r="V1003" s="16">
        <f>IF(ISNA(VLOOKUP(LOWER(F1003)&amp;H1003,Prices!A:C,2,0)),0,VLOOKUP(LOWER(F1003)&amp;H1003,Prices!A:C,2,0))</f>
        <v>41.55</v>
      </c>
      <c r="W1003" s="49">
        <f t="shared" si="564"/>
        <v>-1941.3799999999994</v>
      </c>
      <c r="X1003" s="24">
        <f t="shared" si="565"/>
        <v>-350</v>
      </c>
      <c r="Y1003" s="43">
        <f t="shared" si="566"/>
        <v>-0.30429153605015663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25.88</v>
      </c>
      <c r="V1004" s="16">
        <f>IF(ISNA(VLOOKUP(LOWER(F1004)&amp;H1004,Prices!A:C,2,0)),0,VLOOKUP(LOWER(F1004)&amp;H1004,Prices!A:C,2,0))</f>
        <v>25.86</v>
      </c>
      <c r="W1004" s="49">
        <f t="shared" ref="W1004:W1040" si="575">IF(I1004="B",(V1004+T1004)*K1004,(V1004+T1004)*K1004)</f>
        <v>546.90759999999943</v>
      </c>
      <c r="X1004" s="24">
        <f t="shared" ref="X1004:X1040" si="576">K1004*(V1004-U1004)</f>
        <v>-3.9999999999999147</v>
      </c>
      <c r="Y1004" s="43">
        <f t="shared" ref="Y1004:Y1040" si="577">W1004/O1004</f>
        <v>0.11837826839826827</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53.65</v>
      </c>
      <c r="V1005" s="16">
        <f>IF(ISNA(VLOOKUP(LOWER(F1005)&amp;H1005,Prices!A:C,2,0)),0,VLOOKUP(LOWER(F1005)&amp;H1005,Prices!A:C,2,0))</f>
        <v>54.62</v>
      </c>
      <c r="W1005" s="49">
        <f t="shared" si="575"/>
        <v>-8614.2499999999982</v>
      </c>
      <c r="X1005" s="24">
        <f t="shared" si="576"/>
        <v>-387.99999999999955</v>
      </c>
      <c r="Y1005" s="43">
        <f t="shared" si="577"/>
        <v>-0.65003395713854495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23.88</v>
      </c>
      <c r="V1006" s="16">
        <f>IF(ISNA(VLOOKUP(LOWER(F1006)&amp;H1006,Prices!A:C,2,0)),0,VLOOKUP(LOWER(F1006)&amp;H1006,Prices!A:C,2,0))</f>
        <v>23.71</v>
      </c>
      <c r="W1006" s="49">
        <f t="shared" si="575"/>
        <v>7793.8916999999992</v>
      </c>
      <c r="X1006" s="24">
        <f t="shared" si="576"/>
        <v>-254.99999999999721</v>
      </c>
      <c r="Y1006" s="43">
        <f t="shared" si="577"/>
        <v>0.28070922744462445</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69.010000000000005</v>
      </c>
      <c r="V1007" s="16">
        <f>IF(ISNA(VLOOKUP(LOWER(F1007)&amp;H1007,Prices!A:C,2,0)),0,VLOOKUP(LOWER(F1007)&amp;H1007,Prices!A:C,2,0))</f>
        <v>68.489999999999995</v>
      </c>
      <c r="W1007" s="49">
        <f t="shared" si="575"/>
        <v>52563.119999999981</v>
      </c>
      <c r="X1007" s="24">
        <f t="shared" si="576"/>
        <v>-1040.0000000000205</v>
      </c>
      <c r="Y1007" s="43">
        <f t="shared" si="577"/>
        <v>0.62278578199052115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23.92</v>
      </c>
      <c r="V1008" s="16">
        <f>IF(ISNA(VLOOKUP(LOWER(F1008)&amp;H1008,Prices!A:C,2,0)),0,VLOOKUP(LOWER(F1008)&amp;H1008,Prices!A:C,2,0))</f>
        <v>24.64</v>
      </c>
      <c r="W1008" s="49">
        <f t="shared" si="575"/>
        <v>-13167.559999999994</v>
      </c>
      <c r="X1008" s="24">
        <f t="shared" si="576"/>
        <v>719.99999999999886</v>
      </c>
      <c r="Y1008" s="43">
        <f t="shared" si="577"/>
        <v>-0.34834814814814802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115.56</v>
      </c>
      <c r="V1009" s="16">
        <f>IF(ISNA(VLOOKUP(LOWER(F1009)&amp;H1009,Prices!A:C,2,0)),0,VLOOKUP(LOWER(F1009)&amp;H1009,Prices!A:C,2,0))</f>
        <v>114</v>
      </c>
      <c r="W1009" s="49">
        <f t="shared" si="575"/>
        <v>10893.059999999998</v>
      </c>
      <c r="X1009" s="24">
        <f t="shared" si="576"/>
        <v>-624.00000000000091</v>
      </c>
      <c r="Y1009" s="43">
        <f t="shared" si="577"/>
        <v>0.31392103746397687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4.59</v>
      </c>
      <c r="V1010" s="16">
        <f>IF(ISNA(VLOOKUP(LOWER(F1010)&amp;H1010,Prices!A:C,2,0)),0,VLOOKUP(LOWER(F1010)&amp;H1010,Prices!A:C,2,0))</f>
        <v>4.57</v>
      </c>
      <c r="W1010" s="49">
        <f t="shared" si="575"/>
        <v>-8647.2119999999977</v>
      </c>
      <c r="X1010" s="24">
        <f t="shared" si="576"/>
        <v>-119.99999999999744</v>
      </c>
      <c r="Y1010" s="43">
        <f t="shared" si="577"/>
        <v>-0.23980066555740426</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25.88</v>
      </c>
      <c r="V1011" s="16">
        <f>IF(ISNA(VLOOKUP(LOWER(F1011)&amp;H1011,Prices!A:C,2,0)),0,VLOOKUP(LOWER(F1011)&amp;H1011,Prices!A:C,2,0))</f>
        <v>25.86</v>
      </c>
      <c r="W1011" s="49">
        <f t="shared" si="575"/>
        <v>5389.8095999999996</v>
      </c>
      <c r="X1011" s="24">
        <f t="shared" si="576"/>
        <v>-39.999999999999147</v>
      </c>
      <c r="Y1011" s="43">
        <f t="shared" si="577"/>
        <v>0.116360310880829</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41.19</v>
      </c>
      <c r="V1012" s="16">
        <f>IF(ISNA(VLOOKUP(LOWER(F1012)&amp;H1012,Prices!A:C,2,0)),0,VLOOKUP(LOWER(F1012)&amp;H1012,Prices!A:C,2,0))</f>
        <v>42.18</v>
      </c>
      <c r="W1012" s="49">
        <f t="shared" si="575"/>
        <v>21470.806199999999</v>
      </c>
      <c r="X1012" s="24">
        <f t="shared" si="576"/>
        <v>1485.000000000003</v>
      </c>
      <c r="Y1012" s="43">
        <f t="shared" si="577"/>
        <v>0.51377856424982049</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53.65</v>
      </c>
      <c r="V1013" s="16">
        <f>IF(ISNA(VLOOKUP(LOWER(F1013)&amp;H1013,Prices!A:C,2,0)),0,VLOOKUP(LOWER(F1013)&amp;H1013,Prices!A:C,2,0))</f>
        <v>54.62</v>
      </c>
      <c r="W1013" s="49">
        <f t="shared" si="575"/>
        <v>43246.803999999996</v>
      </c>
      <c r="X1013" s="24">
        <f t="shared" si="576"/>
        <v>1939.9999999999977</v>
      </c>
      <c r="Y1013" s="43">
        <f t="shared" si="577"/>
        <v>0.65545322825098506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101.81</v>
      </c>
      <c r="V1014" s="16">
        <f>IF(ISNA(VLOOKUP(LOWER(F1014)&amp;H1014,Prices!A:C,2,0)),0,VLOOKUP(LOWER(F1014)&amp;H1014,Prices!A:C,2,0))</f>
        <v>101.32</v>
      </c>
      <c r="W1014" s="49">
        <f t="shared" si="575"/>
        <v>6473.1903999999986</v>
      </c>
      <c r="X1014" s="24">
        <f t="shared" si="576"/>
        <v>-196.00000000000364</v>
      </c>
      <c r="Y1014" s="43">
        <f t="shared" si="577"/>
        <v>0.19011954887218041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39.799999999999997</v>
      </c>
      <c r="V1015" s="16">
        <f>IF(ISNA(VLOOKUP(LOWER(F1015)&amp;H1015,Prices!A:C,2,0)),0,VLOOKUP(LOWER(F1015)&amp;H1015,Prices!A:C,2,0))</f>
        <v>41.55</v>
      </c>
      <c r="W1015" s="49">
        <f t="shared" si="575"/>
        <v>9643.6199999999953</v>
      </c>
      <c r="X1015" s="24">
        <f t="shared" si="576"/>
        <v>1750</v>
      </c>
      <c r="Y1015" s="43">
        <f t="shared" si="577"/>
        <v>0.30230783699059549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101.81</v>
      </c>
      <c r="V1016" s="16">
        <f>IF(ISNA(VLOOKUP(LOWER(F1016)&amp;H1016,Prices!A:C,2,0)),0,VLOOKUP(LOWER(F1016)&amp;H1016,Prices!A:C,2,0))</f>
        <v>101.32</v>
      </c>
      <c r="W1016" s="49">
        <f t="shared" si="575"/>
        <v>6473.1903999999986</v>
      </c>
      <c r="X1016" s="24">
        <f t="shared" si="576"/>
        <v>-196.00000000000364</v>
      </c>
      <c r="Y1016" s="43">
        <f t="shared" si="577"/>
        <v>0.19011954887218041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v>
      </c>
      <c r="V1017" s="16">
        <f>IF(ISNA(VLOOKUP(LOWER(F1017)&amp;H1017,Prices!A:C,2,0)),0,VLOOKUP(LOWER(F1017)&amp;H1017,Prices!A:C,2,0))</f>
        <v>28.9</v>
      </c>
      <c r="W1017" s="49">
        <f t="shared" si="575"/>
        <v>24887.639999999992</v>
      </c>
      <c r="X1017" s="24">
        <f t="shared" si="576"/>
        <v>0</v>
      </c>
      <c r="Y1017" s="43">
        <f t="shared" si="577"/>
        <v>0.40271262135922314</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101.81</v>
      </c>
      <c r="V1018" s="16">
        <f>IF(ISNA(VLOOKUP(LOWER(F1018)&amp;H1018,Prices!A:C,2,0)),0,VLOOKUP(LOWER(F1018)&amp;H1018,Prices!A:C,2,0))</f>
        <v>101.32</v>
      </c>
      <c r="W1018" s="49">
        <f t="shared" si="575"/>
        <v>4854.8927999999987</v>
      </c>
      <c r="X1018" s="24">
        <f t="shared" si="576"/>
        <v>-147.00000000000273</v>
      </c>
      <c r="Y1018" s="43">
        <f t="shared" si="577"/>
        <v>0.19011954887218041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v>
      </c>
      <c r="V1019" s="16">
        <f>IF(ISNA(VLOOKUP(LOWER(F1019)&amp;H1019,Prices!A:C,2,0)),0,VLOOKUP(LOWER(F1019)&amp;H1019,Prices!A:C,2,0))</f>
        <v>28.9</v>
      </c>
      <c r="W1019" s="49">
        <f t="shared" si="575"/>
        <v>8204.9999999999982</v>
      </c>
      <c r="X1019" s="24">
        <f t="shared" si="576"/>
        <v>0</v>
      </c>
      <c r="Y1019" s="43">
        <f t="shared" si="577"/>
        <v>0.39656839052682447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39.799999999999997</v>
      </c>
      <c r="V1020" s="16">
        <f>IF(ISNA(VLOOKUP(LOWER(F1020)&amp;H1020,Prices!A:C,2,0)),0,VLOOKUP(LOWER(F1020)&amp;H1020,Prices!A:C,2,0))</f>
        <v>41.55</v>
      </c>
      <c r="W1020" s="49">
        <f t="shared" si="575"/>
        <v>9653.6219999999958</v>
      </c>
      <c r="X1020" s="24">
        <f t="shared" si="576"/>
        <v>1750</v>
      </c>
      <c r="Y1020" s="43">
        <f t="shared" si="577"/>
        <v>0.30271627469426138</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53.65</v>
      </c>
      <c r="V1021" s="16">
        <f>IF(ISNA(VLOOKUP(LOWER(F1021)&amp;H1021,Prices!A:C,2,0)),0,VLOOKUP(LOWER(F1021)&amp;H1021,Prices!A:C,2,0))</f>
        <v>54.62</v>
      </c>
      <c r="W1021" s="49">
        <f t="shared" si="575"/>
        <v>-8510.36</v>
      </c>
      <c r="X1021" s="24">
        <f t="shared" si="576"/>
        <v>-387.99999999999955</v>
      </c>
      <c r="Y1021" s="43">
        <f t="shared" si="577"/>
        <v>-0.63719377058999704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28.66</v>
      </c>
      <c r="V1022" s="16">
        <f>IF(ISNA(VLOOKUP(LOWER(F1022)&amp;H1022,Prices!A:C,2,0)),0,VLOOKUP(LOWER(F1022)&amp;H1022,Prices!A:C,2,0))</f>
        <v>28.37</v>
      </c>
      <c r="W1022" s="49">
        <f t="shared" si="575"/>
        <v>-3474.84132</v>
      </c>
      <c r="X1022" s="24">
        <f t="shared" si="576"/>
        <v>173.99999999999949</v>
      </c>
      <c r="Y1022" s="43">
        <f t="shared" si="577"/>
        <v>-0.25614339672711189</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27.88</v>
      </c>
      <c r="V1023" s="16">
        <f>IF(ISNA(VLOOKUP(LOWER(F1023)&amp;H1023,Prices!A:C,2,0)),0,VLOOKUP(LOWER(F1023)&amp;H1023,Prices!A:C,2,0))</f>
        <v>28.03</v>
      </c>
      <c r="W1023" s="49">
        <f t="shared" si="575"/>
        <v>5708.7883999999958</v>
      </c>
      <c r="X1023" s="24">
        <f t="shared" si="576"/>
        <v>-150.00000000000213</v>
      </c>
      <c r="Y1023" s="43">
        <f t="shared" si="577"/>
        <v>0.16899906453522781</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53.65</v>
      </c>
      <c r="V1024" s="16">
        <f>IF(ISNA(VLOOKUP(LOWER(F1024)&amp;H1024,Prices!A:C,2,0)),0,VLOOKUP(LOWER(F1024)&amp;H1024,Prices!A:C,2,0))</f>
        <v>54.62</v>
      </c>
      <c r="W1024" s="49">
        <f t="shared" si="575"/>
        <v>-32174.782999999999</v>
      </c>
      <c r="X1024" s="24">
        <f t="shared" si="576"/>
        <v>-1454.9999999999982</v>
      </c>
      <c r="Y1024" s="43">
        <f t="shared" si="577"/>
        <v>-0.64588543611362037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39.799999999999997</v>
      </c>
      <c r="V1025" s="16">
        <f>IF(ISNA(VLOOKUP(LOWER(F1025)&amp;H1025,Prices!A:C,2,0)),0,VLOOKUP(LOWER(F1025)&amp;H1025,Prices!A:C,2,0))</f>
        <v>41.55</v>
      </c>
      <c r="W1025" s="49">
        <f t="shared" si="575"/>
        <v>-2663.8199999999993</v>
      </c>
      <c r="X1025" s="24">
        <f t="shared" si="576"/>
        <v>-525</v>
      </c>
      <c r="Y1025" s="43">
        <f t="shared" si="577"/>
        <v>-0.27137530562347179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27.96</v>
      </c>
      <c r="V1026" s="16">
        <f>IF(ISNA(VLOOKUP(LOWER(F1026)&amp;H1026,Prices!A:C,2,0)),0,VLOOKUP(LOWER(F1026)&amp;H1026,Prices!A:C,2,0))</f>
        <v>28.55</v>
      </c>
      <c r="W1026" s="49">
        <f t="shared" si="575"/>
        <v>-5587.13</v>
      </c>
      <c r="X1026" s="24">
        <f t="shared" si="576"/>
        <v>-530.99999999999989</v>
      </c>
      <c r="Y1026" s="43">
        <f t="shared" si="577"/>
        <v>-0.27751105150747529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17.760000000000002</v>
      </c>
      <c r="V1027" s="16">
        <f>IF(ISNA(VLOOKUP(LOWER(F1027)&amp;H1027,Prices!A:C,2,0)),0,VLOOKUP(LOWER(F1027)&amp;H1027,Prices!A:C,2,0))</f>
        <v>17.62</v>
      </c>
      <c r="W1027" s="49">
        <f t="shared" si="575"/>
        <v>-526.82379999999966</v>
      </c>
      <c r="X1027" s="24">
        <f t="shared" si="576"/>
        <v>294.00000000000119</v>
      </c>
      <c r="Y1027" s="43">
        <f t="shared" si="577"/>
        <v>-1.4426019332402302E-2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22.18</v>
      </c>
      <c r="V1028" s="16">
        <f>IF(ISNA(VLOOKUP(LOWER(F1028)&amp;H1028,Prices!A:C,2,0)),0,VLOOKUP(LOWER(F1028)&amp;H1028,Prices!A:C,2,0))</f>
        <v>21.86</v>
      </c>
      <c r="W1028" s="49">
        <f t="shared" si="575"/>
        <v>4150.09</v>
      </c>
      <c r="X1028" s="24">
        <f t="shared" si="576"/>
        <v>128.00000000000011</v>
      </c>
      <c r="Y1028" s="43">
        <f t="shared" si="577"/>
        <v>0.32141341387856259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101.81</v>
      </c>
      <c r="V1029" s="16">
        <f>IF(ISNA(VLOOKUP(LOWER(F1029)&amp;H1029,Prices!A:C,2,0)),0,VLOOKUP(LOWER(F1029)&amp;H1029,Prices!A:C,2,0))</f>
        <v>101.32</v>
      </c>
      <c r="W1029" s="49">
        <f t="shared" si="575"/>
        <v>-4336.3081999999977</v>
      </c>
      <c r="X1029" s="24">
        <f t="shared" si="576"/>
        <v>147.00000000000273</v>
      </c>
      <c r="Y1029" s="43">
        <f t="shared" si="577"/>
        <v>-0.1661993867617185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7.86</v>
      </c>
      <c r="V1030" s="16">
        <f>IF(ISNA(VLOOKUP(LOWER(F1030)&amp;H1030,Prices!A:C,2,0)),0,VLOOKUP(LOWER(F1030)&amp;H1030,Prices!A:C,2,0))</f>
        <v>7.97</v>
      </c>
      <c r="W1030" s="49">
        <f t="shared" si="575"/>
        <v>640.06128000000047</v>
      </c>
      <c r="X1030" s="24">
        <f t="shared" si="576"/>
        <v>-351.99999999999818</v>
      </c>
      <c r="Y1030" s="43">
        <f t="shared" si="577"/>
        <v>2.4452218826405886E-2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28.66</v>
      </c>
      <c r="V1031" s="16">
        <f>IF(ISNA(VLOOKUP(LOWER(F1031)&amp;H1031,Prices!A:C,2,0)),0,VLOOKUP(LOWER(F1031)&amp;H1031,Prices!A:C,2,0))</f>
        <v>28.37</v>
      </c>
      <c r="W1031" s="49">
        <f t="shared" si="575"/>
        <v>-7666.6849999999986</v>
      </c>
      <c r="X1031" s="24">
        <f t="shared" si="576"/>
        <v>376.99999999999886</v>
      </c>
      <c r="Y1031" s="43">
        <f t="shared" si="577"/>
        <v>-0.26210888888888884</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27.96</v>
      </c>
      <c r="V1032" s="16">
        <f>IF(ISNA(VLOOKUP(LOWER(F1032)&amp;H1032,Prices!A:C,2,0)),0,VLOOKUP(LOWER(F1032)&amp;H1032,Prices!A:C,2,0))</f>
        <v>28.55</v>
      </c>
      <c r="W1032" s="49">
        <f t="shared" si="575"/>
        <v>-12229.483200000006</v>
      </c>
      <c r="X1032" s="24">
        <f t="shared" si="576"/>
        <v>-1120.9999999999998</v>
      </c>
      <c r="Y1032" s="43">
        <f t="shared" si="577"/>
        <v>-0.2907213236342891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53.65</v>
      </c>
      <c r="V1033" s="16">
        <f>IF(ISNA(VLOOKUP(LOWER(F1033)&amp;H1033,Prices!A:C,2,0)),0,VLOOKUP(LOWER(F1033)&amp;H1033,Prices!A:C,2,0))</f>
        <v>54.62</v>
      </c>
      <c r="W1033" s="49">
        <f t="shared" si="575"/>
        <v>-21619.647999999997</v>
      </c>
      <c r="X1033" s="24">
        <f t="shared" si="576"/>
        <v>-969.99999999999886</v>
      </c>
      <c r="Y1033" s="43">
        <f t="shared" si="577"/>
        <v>-0.65434769975786922</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17.760000000000002</v>
      </c>
      <c r="V1034" s="16">
        <f>IF(ISNA(VLOOKUP(LOWER(F1034)&amp;H1034,Prices!A:C,2,0)),0,VLOOKUP(LOWER(F1034)&amp;H1034,Prices!A:C,2,0))</f>
        <v>17.62</v>
      </c>
      <c r="W1034" s="49">
        <f t="shared" si="575"/>
        <v>-101.25000000000135</v>
      </c>
      <c r="X1034" s="24">
        <f t="shared" si="576"/>
        <v>98.000000000000398</v>
      </c>
      <c r="Y1034" s="43">
        <f t="shared" si="577"/>
        <v>-8.2653061224490891E-3</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74.86</v>
      </c>
      <c r="V1035" s="16">
        <f>IF(ISNA(VLOOKUP(LOWER(F1035)&amp;H1035,Prices!A:C,2,0)),0,VLOOKUP(LOWER(F1035)&amp;H1035,Prices!A:C,2,0))</f>
        <v>72.930000000000007</v>
      </c>
      <c r="W1035" s="49">
        <f t="shared" si="575"/>
        <v>-14971.520000000006</v>
      </c>
      <c r="X1035" s="24">
        <f t="shared" si="576"/>
        <v>964.99999999999636</v>
      </c>
      <c r="Y1035" s="43">
        <f t="shared" si="577"/>
        <v>-0.69570260223048352</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v>
      </c>
      <c r="V1036" s="16">
        <f>IF(ISNA(VLOOKUP(LOWER(F1036)&amp;H1036,Prices!A:C,2,0)),0,VLOOKUP(LOWER(F1036)&amp;H1036,Prices!A:C,2,0))</f>
        <v>28.9</v>
      </c>
      <c r="W1036" s="49">
        <f t="shared" si="575"/>
        <v>-4035.43</v>
      </c>
      <c r="X1036" s="24">
        <f t="shared" si="576"/>
        <v>0</v>
      </c>
      <c r="Y1036" s="43">
        <f t="shared" si="577"/>
        <v>-0.38690604026845637</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39.799999999999997</v>
      </c>
      <c r="V1037" s="16">
        <f>IF(ISNA(VLOOKUP(LOWER(F1037)&amp;H1037,Prices!A:C,2,0)),0,VLOOKUP(LOWER(F1037)&amp;H1037,Prices!A:C,2,0))</f>
        <v>41.55</v>
      </c>
      <c r="W1037" s="49">
        <f t="shared" si="575"/>
        <v>-3610.0300000000007</v>
      </c>
      <c r="X1037" s="24">
        <f t="shared" si="576"/>
        <v>-700</v>
      </c>
      <c r="Y1037" s="43">
        <f t="shared" si="577"/>
        <v>-0.27709778937672708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17.760000000000002</v>
      </c>
      <c r="V1038" s="16">
        <f>IF(ISNA(VLOOKUP(LOWER(F1038)&amp;H1038,Prices!A:C,2,0)),0,VLOOKUP(LOWER(F1038)&amp;H1038,Prices!A:C,2,0))</f>
        <v>17.62</v>
      </c>
      <c r="W1038" s="49">
        <f t="shared" si="575"/>
        <v>-552.25999999999328</v>
      </c>
      <c r="X1038" s="24">
        <f t="shared" si="576"/>
        <v>350.00000000000142</v>
      </c>
      <c r="Y1038" s="43">
        <f t="shared" si="577"/>
        <v>-1.2681056257175504E-2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9.48</v>
      </c>
      <c r="V1039" s="16">
        <f>IF(ISNA(VLOOKUP(LOWER(F1039)&amp;H1039,Prices!A:C,2,0)),0,VLOOKUP(LOWER(F1039)&amp;H1039,Prices!A:C,2,0))</f>
        <v>9.42</v>
      </c>
      <c r="W1039" s="49">
        <f t="shared" si="575"/>
        <v>407.64885000000282</v>
      </c>
      <c r="X1039" s="24">
        <f t="shared" si="576"/>
        <v>90.000000000000739</v>
      </c>
      <c r="Y1039" s="43">
        <f t="shared" si="577"/>
        <v>2.8002668727460267E-2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20.13</v>
      </c>
      <c r="V1040" s="16">
        <f>IF(ISNA(VLOOKUP(LOWER(F1040)&amp;H1040,Prices!A:C,2,0)),0,VLOOKUP(LOWER(F1040)&amp;H1040,Prices!A:C,2,0))</f>
        <v>20.21</v>
      </c>
      <c r="W1040" s="49">
        <f t="shared" si="575"/>
        <v>-1333.7900000000004</v>
      </c>
      <c r="X1040" s="24">
        <f t="shared" si="576"/>
        <v>-40.000000000000924</v>
      </c>
      <c r="Y1040" s="43">
        <f t="shared" si="577"/>
        <v>-0.15182583949914633</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v>
      </c>
      <c r="V1041" s="16">
        <f>IF(ISNA(VLOOKUP(LOWER(F1041)&amp;H1041,Prices!A:C,2,0)),0,VLOOKUP(LOWER(F1041)&amp;H1041,Prices!A:C,2,0))</f>
        <v>28.9</v>
      </c>
      <c r="W1041" s="49">
        <f t="shared" ref="W1041:W1090" si="586">IF(I1041="B",(V1041+T1041)*K1041,(V1041+T1041)*K1041)</f>
        <v>-20711.919999999991</v>
      </c>
      <c r="X1041" s="24">
        <f t="shared" ref="X1041:X1090" si="587">K1041*(V1041-U1041)</f>
        <v>0</v>
      </c>
      <c r="Y1041" s="43">
        <f t="shared" ref="Y1041:Y1090" si="588">W1041/O1041</f>
        <v>-0.4013937984496122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20.13</v>
      </c>
      <c r="V1042" s="16">
        <f>IF(ISNA(VLOOKUP(LOWER(F1042)&amp;H1042,Prices!A:C,2,0)),0,VLOOKUP(LOWER(F1042)&amp;H1042,Prices!A:C,2,0))</f>
        <v>20.21</v>
      </c>
      <c r="W1042" s="49">
        <f t="shared" si="586"/>
        <v>-1118.9999999999998</v>
      </c>
      <c r="X1042" s="24">
        <f t="shared" si="587"/>
        <v>-40.000000000000924</v>
      </c>
      <c r="Y1042" s="43">
        <f t="shared" si="588"/>
        <v>-0.12433333333333331</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53.65</v>
      </c>
      <c r="V1043" s="16">
        <f>IF(ISNA(VLOOKUP(LOWER(F1043)&amp;H1043,Prices!A:C,2,0)),0,VLOOKUP(LOWER(F1043)&amp;H1043,Prices!A:C,2,0))</f>
        <v>54.62</v>
      </c>
      <c r="W1043" s="49">
        <f t="shared" si="586"/>
        <v>-29959.872799999997</v>
      </c>
      <c r="X1043" s="24">
        <f t="shared" si="587"/>
        <v>-1357.9999999999984</v>
      </c>
      <c r="Y1043" s="43">
        <f t="shared" si="588"/>
        <v>-0.64341278240700961</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39.799999999999997</v>
      </c>
      <c r="V1044" s="16">
        <f>IF(ISNA(VLOOKUP(LOWER(F1044)&amp;H1044,Prices!A:C,2,0)),0,VLOOKUP(LOWER(F1044)&amp;H1044,Prices!A:C,2,0))</f>
        <v>41.55</v>
      </c>
      <c r="W1044" s="49">
        <f t="shared" si="586"/>
        <v>-13493.676000000005</v>
      </c>
      <c r="X1044" s="24">
        <f t="shared" si="587"/>
        <v>-2450</v>
      </c>
      <c r="Y1044" s="43">
        <f t="shared" si="588"/>
        <v>-0.30166948356807521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74.86</v>
      </c>
      <c r="V1045" s="16">
        <f>IF(ISNA(VLOOKUP(LOWER(F1045)&amp;H1045,Prices!A:C,2,0)),0,VLOOKUP(LOWER(F1045)&amp;H1045,Prices!A:C,2,0))</f>
        <v>72.930000000000007</v>
      </c>
      <c r="W1045" s="49">
        <f t="shared" si="586"/>
        <v>-8927.970000000003</v>
      </c>
      <c r="X1045" s="24">
        <f t="shared" si="587"/>
        <v>578.99999999999773</v>
      </c>
      <c r="Y1045" s="43">
        <f t="shared" si="588"/>
        <v>-0.68840851260698621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7.86</v>
      </c>
      <c r="V1046" s="16">
        <f>IF(ISNA(VLOOKUP(LOWER(F1046)&amp;H1046,Prices!A:C,2,0)),0,VLOOKUP(LOWER(F1046)&amp;H1046,Prices!A:C,2,0))</f>
        <v>7.97</v>
      </c>
      <c r="W1046" s="49">
        <f t="shared" si="586"/>
        <v>642.1276999999983</v>
      </c>
      <c r="X1046" s="24">
        <f t="shared" si="587"/>
        <v>-164.99999999999915</v>
      </c>
      <c r="Y1046" s="43">
        <f t="shared" si="588"/>
        <v>5.0901918351169105E-2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28.66</v>
      </c>
      <c r="V1047" s="16">
        <f>IF(ISNA(VLOOKUP(LOWER(F1047)&amp;H1047,Prices!A:C,2,0)),0,VLOOKUP(LOWER(F1047)&amp;H1047,Prices!A:C,2,0))</f>
        <v>28.37</v>
      </c>
      <c r="W1047" s="49">
        <f t="shared" si="586"/>
        <v>-1724.9359600000005</v>
      </c>
      <c r="X1047" s="24">
        <f t="shared" si="587"/>
        <v>86.999999999999744</v>
      </c>
      <c r="Y1047" s="43">
        <f t="shared" si="588"/>
        <v>-0.2537416828478965</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101.81</v>
      </c>
      <c r="V1048" s="16">
        <f>IF(ISNA(VLOOKUP(LOWER(F1048)&amp;H1048,Prices!A:C,2,0)),0,VLOOKUP(LOWER(F1048)&amp;H1048,Prices!A:C,2,0))</f>
        <v>101.32</v>
      </c>
      <c r="W1048" s="49">
        <f t="shared" si="586"/>
        <v>-11635.231999999996</v>
      </c>
      <c r="X1048" s="24">
        <f t="shared" si="587"/>
        <v>343.00000000000637</v>
      </c>
      <c r="Y1048" s="43">
        <f t="shared" si="588"/>
        <v>-0.19601132075471692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4.59</v>
      </c>
      <c r="V1049" s="16">
        <f>IF(ISNA(VLOOKUP(LOWER(F1049)&amp;H1049,Prices!A:C,2,0)),0,VLOOKUP(LOWER(F1049)&amp;H1049,Prices!A:C,2,0))</f>
        <v>4.57</v>
      </c>
      <c r="W1049" s="49">
        <f t="shared" si="586"/>
        <v>4416.8499999999976</v>
      </c>
      <c r="X1049" s="24">
        <f t="shared" si="587"/>
        <v>59.999999999998721</v>
      </c>
      <c r="Y1049" s="43">
        <f t="shared" si="588"/>
        <v>0.24335261707988967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22.18</v>
      </c>
      <c r="V1050" s="16">
        <f>IF(ISNA(VLOOKUP(LOWER(F1050)&amp;H1050,Prices!A:C,2,0)),0,VLOOKUP(LOWER(F1050)&amp;H1050,Prices!A:C,2,0))</f>
        <v>21.86</v>
      </c>
      <c r="W1050" s="49">
        <f t="shared" si="586"/>
        <v>5438.6100000000006</v>
      </c>
      <c r="X1050" s="24">
        <f t="shared" si="587"/>
        <v>160.00000000000014</v>
      </c>
      <c r="Y1050" s="43">
        <f t="shared" si="588"/>
        <v>0.3318248932275778</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115.56</v>
      </c>
      <c r="V1051" s="16">
        <f>IF(ISNA(VLOOKUP(LOWER(F1051)&amp;H1051,Prices!A:C,2,0)),0,VLOOKUP(LOWER(F1051)&amp;H1051,Prices!A:C,2,0))</f>
        <v>114</v>
      </c>
      <c r="W1051" s="49">
        <f t="shared" si="586"/>
        <v>-5328.4900000000025</v>
      </c>
      <c r="X1051" s="24">
        <f t="shared" si="587"/>
        <v>312.00000000000045</v>
      </c>
      <c r="Y1051" s="43">
        <f t="shared" si="588"/>
        <v>-0.30458957356808064</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23.88</v>
      </c>
      <c r="V1052" s="16">
        <f>IF(ISNA(VLOOKUP(LOWER(F1052)&amp;H1052,Prices!A:C,2,0)),0,VLOOKUP(LOWER(F1052)&amp;H1052,Prices!A:C,2,0))</f>
        <v>23.71</v>
      </c>
      <c r="W1052" s="49">
        <f t="shared" si="586"/>
        <v>-3623.2498400000018</v>
      </c>
      <c r="X1052" s="24">
        <f t="shared" si="587"/>
        <v>118.99999999999871</v>
      </c>
      <c r="Y1052" s="43">
        <f t="shared" si="588"/>
        <v>-0.27888314655172425</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9.48</v>
      </c>
      <c r="V1053" s="16">
        <f>IF(ISNA(VLOOKUP(LOWER(F1053)&amp;H1053,Prices!A:C,2,0)),0,VLOOKUP(LOWER(F1053)&amp;H1053,Prices!A:C,2,0))</f>
        <v>9.42</v>
      </c>
      <c r="W1053" s="49">
        <f t="shared" si="586"/>
        <v>16.093000000000579</v>
      </c>
      <c r="X1053" s="24">
        <f t="shared" si="587"/>
        <v>18.000000000000149</v>
      </c>
      <c r="Y1053" s="43">
        <f t="shared" si="588"/>
        <v>5.64666666666687E-3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27.96</v>
      </c>
      <c r="V1054" s="16">
        <f>IF(ISNA(VLOOKUP(LOWER(F1054)&amp;H1054,Prices!A:C,2,0)),0,VLOOKUP(LOWER(F1054)&amp;H1054,Prices!A:C,2,0))</f>
        <v>28.55</v>
      </c>
      <c r="W1054" s="49">
        <f t="shared" si="586"/>
        <v>-5997.5800000000027</v>
      </c>
      <c r="X1054" s="24">
        <f t="shared" si="587"/>
        <v>-589.99999999999989</v>
      </c>
      <c r="Y1054" s="43">
        <f t="shared" si="588"/>
        <v>-0.26561470327723663</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41.19</v>
      </c>
      <c r="V1055" s="16">
        <f>IF(ISNA(VLOOKUP(LOWER(F1055)&amp;H1055,Prices!A:C,2,0)),0,VLOOKUP(LOWER(F1055)&amp;H1055,Prices!A:C,2,0))</f>
        <v>42.18</v>
      </c>
      <c r="W1055" s="49">
        <f t="shared" si="586"/>
        <v>-9692.2571800000005</v>
      </c>
      <c r="X1055" s="24">
        <f t="shared" si="587"/>
        <v>-693.00000000000136</v>
      </c>
      <c r="Y1055" s="43">
        <f t="shared" si="588"/>
        <v>-0.48805363714185007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22.18</v>
      </c>
      <c r="V1056" s="16">
        <f>IF(ISNA(VLOOKUP(LOWER(F1056)&amp;H1056,Prices!A:C,2,0)),0,VLOOKUP(LOWER(F1056)&amp;H1056,Prices!A:C,2,0))</f>
        <v>21.86</v>
      </c>
      <c r="W1056" s="49">
        <f t="shared" si="586"/>
        <v>3330.0999999999995</v>
      </c>
      <c r="X1056" s="24">
        <f t="shared" si="587"/>
        <v>96.000000000000085</v>
      </c>
      <c r="Y1056" s="43">
        <f t="shared" si="588"/>
        <v>0.33627183681712608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101.81</v>
      </c>
      <c r="V1057" s="16">
        <f>IF(ISNA(VLOOKUP(LOWER(F1057)&amp;H1057,Prices!A:C,2,0)),0,VLOOKUP(LOWER(F1057)&amp;H1057,Prices!A:C,2,0))</f>
        <v>101.32</v>
      </c>
      <c r="W1057" s="49">
        <f t="shared" si="586"/>
        <v>12161.249799999983</v>
      </c>
      <c r="X1057" s="24">
        <f t="shared" si="587"/>
        <v>-343.00000000000637</v>
      </c>
      <c r="Y1057" s="43">
        <f t="shared" si="588"/>
        <v>0.20699647325151882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101.81</v>
      </c>
      <c r="V1058" s="16">
        <f>IF(ISNA(VLOOKUP(LOWER(F1058)&amp;H1058,Prices!A:C,2,0)),0,VLOOKUP(LOWER(F1058)&amp;H1058,Prices!A:C,2,0))</f>
        <v>101.32</v>
      </c>
      <c r="W1058" s="49">
        <f t="shared" si="586"/>
        <v>-4929.5993999999982</v>
      </c>
      <c r="X1058" s="24">
        <f t="shared" si="587"/>
        <v>147.00000000000273</v>
      </c>
      <c r="Y1058" s="43">
        <f t="shared" si="588"/>
        <v>-0.19334036945522995</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v>
      </c>
      <c r="V1059" s="16">
        <f>IF(ISNA(VLOOKUP(LOWER(F1059)&amp;H1059,Prices!A:C,2,0)),0,VLOOKUP(LOWER(F1059)&amp;H1059,Prices!A:C,2,0))</f>
        <v>28.9</v>
      </c>
      <c r="W1059" s="49">
        <f t="shared" si="586"/>
        <v>-4120.3500000000004</v>
      </c>
      <c r="X1059" s="24">
        <f t="shared" si="587"/>
        <v>0</v>
      </c>
      <c r="Y1059" s="43">
        <f t="shared" si="588"/>
        <v>-0.39829386176897053</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22.18</v>
      </c>
      <c r="V1060" s="16">
        <f>IF(ISNA(VLOOKUP(LOWER(F1060)&amp;H1060,Prices!A:C,2,0)),0,VLOOKUP(LOWER(F1060)&amp;H1060,Prices!A:C,2,0))</f>
        <v>21.86</v>
      </c>
      <c r="W1060" s="49">
        <f t="shared" si="586"/>
        <v>3402.0199999999995</v>
      </c>
      <c r="X1060" s="24">
        <f t="shared" si="587"/>
        <v>96.000000000000085</v>
      </c>
      <c r="Y1060" s="43">
        <f t="shared" si="588"/>
        <v>0.34105463659147867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74.86</v>
      </c>
      <c r="V1061" s="16">
        <f>IF(ISNA(VLOOKUP(LOWER(F1061)&amp;H1061,Prices!A:C,2,0)),0,VLOOKUP(LOWER(F1061)&amp;H1061,Prices!A:C,2,0))</f>
        <v>72.930000000000007</v>
      </c>
      <c r="W1061" s="49">
        <f t="shared" si="586"/>
        <v>9070.0000000000018</v>
      </c>
      <c r="X1061" s="24">
        <f t="shared" si="587"/>
        <v>-578.99999999999773</v>
      </c>
      <c r="Y1061" s="43">
        <f t="shared" si="588"/>
        <v>0.70837238363011568</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23.88</v>
      </c>
      <c r="V1062" s="16">
        <f>IF(ISNA(VLOOKUP(LOWER(F1062)&amp;H1062,Prices!A:C,2,0)),0,VLOOKUP(LOWER(F1062)&amp;H1062,Prices!A:C,2,0))</f>
        <v>23.71</v>
      </c>
      <c r="W1062" s="49">
        <f t="shared" si="586"/>
        <v>-4172.116320000001</v>
      </c>
      <c r="X1062" s="24">
        <f t="shared" si="587"/>
        <v>135.99999999999852</v>
      </c>
      <c r="Y1062" s="43">
        <f t="shared" si="588"/>
        <v>-0.28159532397408216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4.59</v>
      </c>
      <c r="V1063" s="16">
        <f>IF(ISNA(VLOOKUP(LOWER(F1063)&amp;H1063,Prices!A:C,2,0)),0,VLOOKUP(LOWER(F1063)&amp;H1063,Prices!A:C,2,0))</f>
        <v>4.57</v>
      </c>
      <c r="W1063" s="49">
        <f t="shared" si="586"/>
        <v>2131</v>
      </c>
      <c r="X1063" s="24">
        <f t="shared" si="587"/>
        <v>29.999999999999361</v>
      </c>
      <c r="Y1063" s="43">
        <f t="shared" si="588"/>
        <v>0.23677777777777778</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53.65</v>
      </c>
      <c r="V1064" s="16">
        <f>IF(ISNA(VLOOKUP(LOWER(F1064)&amp;H1064,Prices!A:C,2,0)),0,VLOOKUP(LOWER(F1064)&amp;H1064,Prices!A:C,2,0))</f>
        <v>54.62</v>
      </c>
      <c r="W1064" s="49">
        <f t="shared" si="586"/>
        <v>-14924.339999999997</v>
      </c>
      <c r="X1064" s="24">
        <f t="shared" si="587"/>
        <v>-678.9999999999992</v>
      </c>
      <c r="Y1064" s="43">
        <f t="shared" si="588"/>
        <v>-0.63948667409375248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v>
      </c>
      <c r="V1065" s="16">
        <f>IF(ISNA(VLOOKUP(LOWER(F1065)&amp;H1065,Prices!A:C,2,0)),0,VLOOKUP(LOWER(F1065)&amp;H1065,Prices!A:C,2,0))</f>
        <v>28.9</v>
      </c>
      <c r="W1065" s="49">
        <f t="shared" si="586"/>
        <v>-5752.4999999999991</v>
      </c>
      <c r="X1065" s="24">
        <f t="shared" si="587"/>
        <v>0</v>
      </c>
      <c r="Y1065" s="43">
        <f t="shared" si="588"/>
        <v>-0.39680623577291846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101.81</v>
      </c>
      <c r="V1066" s="16">
        <f>IF(ISNA(VLOOKUP(LOWER(F1066)&amp;H1066,Prices!A:C,2,0)),0,VLOOKUP(LOWER(F1066)&amp;H1066,Prices!A:C,2,0))</f>
        <v>101.32</v>
      </c>
      <c r="W1066" s="49">
        <f t="shared" si="586"/>
        <v>-3287.9999999999995</v>
      </c>
      <c r="X1066" s="24">
        <f t="shared" si="587"/>
        <v>98.000000000001819</v>
      </c>
      <c r="Y1066" s="43">
        <f t="shared" si="588"/>
        <v>-0.19343452170843625</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23.92</v>
      </c>
      <c r="V1067" s="16">
        <f>IF(ISNA(VLOOKUP(LOWER(F1067)&amp;H1067,Prices!A:C,2,0)),0,VLOOKUP(LOWER(F1067)&amp;H1067,Prices!A:C,2,0))</f>
        <v>24.64</v>
      </c>
      <c r="W1067" s="49">
        <f t="shared" si="586"/>
        <v>3790.7999999999988</v>
      </c>
      <c r="X1067" s="24">
        <f t="shared" si="587"/>
        <v>-215.99999999999966</v>
      </c>
      <c r="Y1067" s="43">
        <f t="shared" si="588"/>
        <v>0.33849450843825329</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53.65</v>
      </c>
      <c r="V1068" s="16">
        <f>IF(ISNA(VLOOKUP(LOWER(F1068)&amp;H1068,Prices!A:C,2,0)),0,VLOOKUP(LOWER(F1068)&amp;H1068,Prices!A:C,2,0))</f>
        <v>54.62</v>
      </c>
      <c r="W1068" s="49">
        <f t="shared" si="586"/>
        <v>-8534.33</v>
      </c>
      <c r="X1068" s="24">
        <f t="shared" si="587"/>
        <v>-387.99999999999955</v>
      </c>
      <c r="Y1068" s="43">
        <f t="shared" si="588"/>
        <v>-0.64013876387638768</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41.19</v>
      </c>
      <c r="V1069" s="16">
        <f>IF(ISNA(VLOOKUP(LOWER(F1069)&amp;H1069,Prices!A:C,2,0)),0,VLOOKUP(LOWER(F1069)&amp;H1069,Prices!A:C,2,0))</f>
        <v>42.18</v>
      </c>
      <c r="W1069" s="49">
        <f t="shared" si="586"/>
        <v>-5408.7096000000001</v>
      </c>
      <c r="X1069" s="24">
        <f t="shared" si="587"/>
        <v>-396.0000000000008</v>
      </c>
      <c r="Y1069" s="43">
        <f t="shared" si="588"/>
        <v>-0.47114195121951219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36.85</v>
      </c>
      <c r="V1070" s="16">
        <f>IF(ISNA(VLOOKUP(LOWER(F1070)&amp;H1070,Prices!A:C,2,0)),0,VLOOKUP(LOWER(F1070)&amp;H1070,Prices!A:C,2,0))</f>
        <v>37.090000000000003</v>
      </c>
      <c r="W1070" s="49">
        <f t="shared" si="586"/>
        <v>-15351.777999999997</v>
      </c>
      <c r="X1070" s="24">
        <f t="shared" si="587"/>
        <v>120.00000000000099</v>
      </c>
      <c r="Y1070" s="43">
        <f t="shared" si="588"/>
        <v>-0.45298843316612558</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27.06</v>
      </c>
      <c r="V1071" s="16">
        <f>IF(ISNA(VLOOKUP(LOWER(F1071)&amp;H1071,Prices!A:C,2,0)),0,VLOOKUP(LOWER(F1071)&amp;H1071,Prices!A:C,2,0))</f>
        <v>28.16</v>
      </c>
      <c r="W1071" s="49">
        <f t="shared" si="586"/>
        <v>8929.5763999999945</v>
      </c>
      <c r="X1071" s="24">
        <f t="shared" si="587"/>
        <v>2200.0000000000027</v>
      </c>
      <c r="Y1071" s="43">
        <f t="shared" si="588"/>
        <v>0.18846720979316156</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27.06</v>
      </c>
      <c r="V1072" s="16">
        <f>IF(ISNA(VLOOKUP(LOWER(F1072)&amp;H1072,Prices!A:C,2,0)),0,VLOOKUP(LOWER(F1072)&amp;H1072,Prices!A:C,2,0))</f>
        <v>28.16</v>
      </c>
      <c r="W1072" s="49">
        <f t="shared" si="586"/>
        <v>6697.1822999999904</v>
      </c>
      <c r="X1072" s="24">
        <f t="shared" si="587"/>
        <v>1650.000000000002</v>
      </c>
      <c r="Y1072" s="43">
        <f t="shared" si="588"/>
        <v>0.18846720979316139</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36.85</v>
      </c>
      <c r="V1073" s="16">
        <f>IF(ISNA(VLOOKUP(LOWER(F1073)&amp;H1073,Prices!A:C,2,0)),0,VLOOKUP(LOWER(F1073)&amp;H1073,Prices!A:C,2,0))</f>
        <v>37.090000000000003</v>
      </c>
      <c r="W1073" s="49">
        <f t="shared" si="586"/>
        <v>-6143.0000000000009</v>
      </c>
      <c r="X1073" s="24">
        <f t="shared" si="587"/>
        <v>48.000000000000398</v>
      </c>
      <c r="Y1073" s="43">
        <f t="shared" si="588"/>
        <v>-0.4531572735320154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53.65</v>
      </c>
      <c r="V1074" s="16">
        <f>IF(ISNA(VLOOKUP(LOWER(F1074)&amp;H1074,Prices!A:C,2,0)),0,VLOOKUP(LOWER(F1074)&amp;H1074,Prices!A:C,2,0))</f>
        <v>54.62</v>
      </c>
      <c r="W1074" s="49">
        <f t="shared" si="586"/>
        <v>-4213.7199999999993</v>
      </c>
      <c r="X1074" s="24">
        <f t="shared" si="587"/>
        <v>-193.99999999999977</v>
      </c>
      <c r="Y1074" s="43">
        <f t="shared" si="588"/>
        <v>-0.62685510264802136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v>
      </c>
      <c r="V1075" s="16">
        <f>IF(ISNA(VLOOKUP(LOWER(F1075)&amp;H1075,Prices!A:C,2,0)),0,VLOOKUP(LOWER(F1075)&amp;H1075,Prices!A:C,2,0))</f>
        <v>28.9</v>
      </c>
      <c r="W1075" s="49">
        <f t="shared" si="586"/>
        <v>-3241.329999999999</v>
      </c>
      <c r="X1075" s="24">
        <f t="shared" si="587"/>
        <v>0</v>
      </c>
      <c r="Y1075" s="43">
        <f t="shared" si="588"/>
        <v>-0.38902184349495905</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41.19</v>
      </c>
      <c r="V1076" s="16">
        <f>IF(ISNA(VLOOKUP(LOWER(F1076)&amp;H1076,Prices!A:C,2,0)),0,VLOOKUP(LOWER(F1076)&amp;H1076,Prices!A:C,2,0))</f>
        <v>42.18</v>
      </c>
      <c r="W1076" s="49">
        <f t="shared" si="586"/>
        <v>-5384.7300800000003</v>
      </c>
      <c r="X1076" s="24">
        <f t="shared" si="587"/>
        <v>-396.0000000000008</v>
      </c>
      <c r="Y1076" s="43">
        <f t="shared" si="588"/>
        <v>-0.4680745897079277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28.66</v>
      </c>
      <c r="V1077" s="16">
        <f>IF(ISNA(VLOOKUP(LOWER(F1077)&amp;H1077,Prices!A:C,2,0)),0,VLOOKUP(LOWER(F1077)&amp;H1077,Prices!A:C,2,0))</f>
        <v>28.37</v>
      </c>
      <c r="W1077" s="49">
        <f t="shared" si="586"/>
        <v>1821.8663200000005</v>
      </c>
      <c r="X1077" s="24">
        <f t="shared" si="587"/>
        <v>-86.999999999999744</v>
      </c>
      <c r="Y1077" s="43">
        <f t="shared" si="588"/>
        <v>0.27257126271693605</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53.65</v>
      </c>
      <c r="V1080" s="16">
        <f>IF(ISNA(VLOOKUP(LOWER(F1080)&amp;H1080,Prices!A:C,2,0)),0,VLOOKUP(LOWER(F1080)&amp;H1080,Prices!A:C,2,0))</f>
        <v>54.62</v>
      </c>
      <c r="W1080" s="49">
        <f t="shared" si="586"/>
        <v>-2089.38</v>
      </c>
      <c r="X1080" s="24">
        <f t="shared" si="587"/>
        <v>-96.999999999999886</v>
      </c>
      <c r="Y1080" s="43">
        <f t="shared" si="588"/>
        <v>-0.61797692990239572</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101.81</v>
      </c>
      <c r="V1081" s="16">
        <f>IF(ISNA(VLOOKUP(LOWER(F1081)&amp;H1081,Prices!A:C,2,0)),0,VLOOKUP(LOWER(F1081)&amp;H1081,Prices!A:C,2,0))</f>
        <v>101.32</v>
      </c>
      <c r="W1081" s="49">
        <f t="shared" si="586"/>
        <v>-3178.1099999999979</v>
      </c>
      <c r="X1081" s="24">
        <f t="shared" si="587"/>
        <v>98.000000000001819</v>
      </c>
      <c r="Y1081" s="43">
        <f t="shared" si="588"/>
        <v>-0.18576747720364728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25.88</v>
      </c>
      <c r="V1082" s="16">
        <f>IF(ISNA(VLOOKUP(LOWER(F1082)&amp;H1082,Prices!A:C,2,0)),0,VLOOKUP(LOWER(F1082)&amp;H1082,Prices!A:C,2,0))</f>
        <v>25.86</v>
      </c>
      <c r="W1082" s="49">
        <f t="shared" si="586"/>
        <v>-5980.1842799999959</v>
      </c>
      <c r="X1082" s="24">
        <f t="shared" si="587"/>
        <v>43.999999999999062</v>
      </c>
      <c r="Y1082" s="43">
        <f t="shared" si="588"/>
        <v>-0.11731832463608889</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23.92</v>
      </c>
      <c r="V1083" s="16">
        <f>IF(ISNA(VLOOKUP(LOWER(F1083)&amp;H1083,Prices!A:C,2,0)),0,VLOOKUP(LOWER(F1083)&amp;H1083,Prices!A:C,2,0))</f>
        <v>24.64</v>
      </c>
      <c r="W1083" s="49">
        <f t="shared" si="586"/>
        <v>7538.65</v>
      </c>
      <c r="X1083" s="24">
        <f t="shared" si="587"/>
        <v>-431.99999999999932</v>
      </c>
      <c r="Y1083" s="43">
        <f t="shared" si="588"/>
        <v>0.33729977628635344</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7.86</v>
      </c>
      <c r="V1084" s="16">
        <f>IF(ISNA(VLOOKUP(LOWER(F1084)&amp;H1084,Prices!A:C,2,0)),0,VLOOKUP(LOWER(F1084)&amp;H1084,Prices!A:C,2,0))</f>
        <v>7.97</v>
      </c>
      <c r="W1084" s="49">
        <f t="shared" si="586"/>
        <v>753.57759999999962</v>
      </c>
      <c r="X1084" s="24">
        <f t="shared" si="587"/>
        <v>-197.99999999999898</v>
      </c>
      <c r="Y1084" s="43">
        <f t="shared" si="588"/>
        <v>4.9839788359788334E-2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9.48</v>
      </c>
      <c r="V1085" s="16">
        <f>IF(ISNA(VLOOKUP(LOWER(F1085)&amp;H1085,Prices!A:C,2,0)),0,VLOOKUP(LOWER(F1085)&amp;H1085,Prices!A:C,2,0))</f>
        <v>9.42</v>
      </c>
      <c r="W1085" s="49">
        <f t="shared" si="586"/>
        <v>108.96000000000008</v>
      </c>
      <c r="X1085" s="24">
        <f t="shared" si="587"/>
        <v>12.000000000000099</v>
      </c>
      <c r="Y1085" s="43">
        <f t="shared" si="588"/>
        <v>5.4480000000000042E-2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69.010000000000005</v>
      </c>
      <c r="V1086" s="16">
        <f>IF(ISNA(VLOOKUP(LOWER(F1086)&amp;H1086,Prices!A:C,2,0)),0,VLOOKUP(LOWER(F1086)&amp;H1086,Prices!A:C,2,0))</f>
        <v>68.489999999999995</v>
      </c>
      <c r="W1086" s="49">
        <f t="shared" si="586"/>
        <v>-26740.159999999996</v>
      </c>
      <c r="X1086" s="24">
        <f t="shared" si="587"/>
        <v>520.00000000001023</v>
      </c>
      <c r="Y1086" s="43">
        <f t="shared" si="588"/>
        <v>-0.63971674641148313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39.799999999999997</v>
      </c>
      <c r="V1087" s="16">
        <f>IF(ISNA(VLOOKUP(LOWER(F1087)&amp;H1087,Prices!A:C,2,0)),0,VLOOKUP(LOWER(F1087)&amp;H1087,Prices!A:C,2,0))</f>
        <v>41.55</v>
      </c>
      <c r="W1087" s="49">
        <f t="shared" si="586"/>
        <v>-7670.7199999999939</v>
      </c>
      <c r="X1087" s="24">
        <f t="shared" si="587"/>
        <v>-1400</v>
      </c>
      <c r="Y1087" s="43">
        <f t="shared" si="588"/>
        <v>-0.29963749999999978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39.799999999999997</v>
      </c>
      <c r="V1088" s="16">
        <f>IF(ISNA(VLOOKUP(LOWER(F1088)&amp;H1088,Prices!A:C,2,0)),0,VLOOKUP(LOWER(F1088)&amp;H1088,Prices!A:C,2,0))</f>
        <v>41.55</v>
      </c>
      <c r="W1088" s="49">
        <f t="shared" si="586"/>
        <v>-3845.7899999999995</v>
      </c>
      <c r="X1088" s="24">
        <f t="shared" si="587"/>
        <v>-700</v>
      </c>
      <c r="Y1088" s="43">
        <f t="shared" si="588"/>
        <v>-0.30064024390243899</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v>
      </c>
      <c r="V1089" s="16">
        <f>IF(ISNA(VLOOKUP(LOWER(F1089)&amp;H1089,Prices!A:C,2,0)),0,VLOOKUP(LOWER(F1089)&amp;H1089,Prices!A:C,2,0))</f>
        <v>28.9</v>
      </c>
      <c r="W1089" s="49">
        <f t="shared" si="586"/>
        <v>-3261.309999999999</v>
      </c>
      <c r="X1089" s="24">
        <f t="shared" si="587"/>
        <v>0</v>
      </c>
      <c r="Y1089" s="43">
        <f t="shared" si="588"/>
        <v>-0.39236164581328187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28.66</v>
      </c>
      <c r="V1090" s="16">
        <f>IF(ISNA(VLOOKUP(LOWER(F1090)&amp;H1090,Prices!A:C,2,0)),0,VLOOKUP(LOWER(F1090)&amp;H1090,Prices!A:C,2,0))</f>
        <v>28.37</v>
      </c>
      <c r="W1090" s="49">
        <f t="shared" si="586"/>
        <v>-1790.8646400000005</v>
      </c>
      <c r="X1090" s="24">
        <f t="shared" si="587"/>
        <v>86.999999999999744</v>
      </c>
      <c r="Y1090" s="43">
        <f t="shared" si="588"/>
        <v>-0.26602267379679151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27.06</v>
      </c>
      <c r="V1091" s="16">
        <f>IF(ISNA(VLOOKUP(LOWER(F1091)&amp;H1091,Prices!A:C,2,0)),0,VLOOKUP(LOWER(F1091)&amp;H1091,Prices!A:C,2,0))</f>
        <v>28.16</v>
      </c>
      <c r="W1091" s="49">
        <f t="shared" ref="W1091:W1121" si="596">IF(I1091="B",(V1091+T1091)*K1091,(V1091+T1091)*K1091)</f>
        <v>-6478.6870999999983</v>
      </c>
      <c r="X1091" s="24">
        <f t="shared" ref="X1091:X1121" si="597">K1091*(V1091-U1091)</f>
        <v>-1650.000000000002</v>
      </c>
      <c r="Y1091" s="43">
        <f t="shared" ref="Y1091:Y1121" si="598">W1091/O1091</f>
        <v>-0.18094364194944834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101.81</v>
      </c>
      <c r="V1092" s="16">
        <f>IF(ISNA(VLOOKUP(LOWER(F1092)&amp;H1092,Prices!A:C,2,0)),0,VLOOKUP(LOWER(F1092)&amp;H1092,Prices!A:C,2,0))</f>
        <v>101.32</v>
      </c>
      <c r="W1092" s="49">
        <f t="shared" si="596"/>
        <v>-11369.555199999984</v>
      </c>
      <c r="X1092" s="24">
        <f t="shared" si="597"/>
        <v>343.00000000000637</v>
      </c>
      <c r="Y1092" s="43">
        <f t="shared" si="598"/>
        <v>-0.19068116593432366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27.06</v>
      </c>
      <c r="V1093" s="16">
        <f>IF(ISNA(VLOOKUP(LOWER(F1093)&amp;H1093,Prices!A:C,2,0)),0,VLOOKUP(LOWER(F1093)&amp;H1093,Prices!A:C,2,0))</f>
        <v>28.16</v>
      </c>
      <c r="W1093" s="49">
        <f t="shared" si="596"/>
        <v>-4349.3168000000005</v>
      </c>
      <c r="X1093" s="24">
        <f t="shared" si="597"/>
        <v>-1100.0000000000014</v>
      </c>
      <c r="Y1093" s="43">
        <f t="shared" si="598"/>
        <v>-0.18243778523489934</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36.85</v>
      </c>
      <c r="V1094" s="16">
        <f>IF(ISNA(VLOOKUP(LOWER(F1094)&amp;H1094,Prices!A:C,2,0)),0,VLOOKUP(LOWER(F1094)&amp;H1094,Prices!A:C,2,0))</f>
        <v>37.090000000000003</v>
      </c>
      <c r="W1094" s="49">
        <f t="shared" si="596"/>
        <v>12219.492399999996</v>
      </c>
      <c r="X1094" s="24">
        <f t="shared" si="597"/>
        <v>-96.000000000000796</v>
      </c>
      <c r="Y1094" s="43">
        <f t="shared" si="598"/>
        <v>0.45110352923803881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74.86</v>
      </c>
      <c r="V1095" s="16">
        <f>IF(ISNA(VLOOKUP(LOWER(F1095)&amp;H1095,Prices!A:C,2,0)),0,VLOOKUP(LOWER(F1095)&amp;H1095,Prices!A:C,2,0))</f>
        <v>72.930000000000007</v>
      </c>
      <c r="W1095" s="49">
        <f t="shared" si="596"/>
        <v>-9005.8900000000012</v>
      </c>
      <c r="X1095" s="24">
        <f t="shared" si="597"/>
        <v>578.99999999999773</v>
      </c>
      <c r="Y1095" s="43">
        <f t="shared" si="598"/>
        <v>-0.69861841594911189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36.85</v>
      </c>
      <c r="V1096" s="16">
        <f>IF(ISNA(VLOOKUP(LOWER(F1096)&amp;H1096,Prices!A:C,2,0)),0,VLOOKUP(LOWER(F1096)&amp;H1096,Prices!A:C,2,0))</f>
        <v>37.090000000000003</v>
      </c>
      <c r="W1096" s="49">
        <f t="shared" si="596"/>
        <v>6327.239999999998</v>
      </c>
      <c r="X1096" s="24">
        <f t="shared" si="597"/>
        <v>-48.000000000000398</v>
      </c>
      <c r="Y1096" s="43">
        <f t="shared" si="598"/>
        <v>0.45969485614646899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39.6</v>
      </c>
      <c r="V1098" s="16">
        <f>IF(ISNA(VLOOKUP(LOWER(F1098)&amp;H1098,Prices!A:C,2,0)),0,VLOOKUP(LOWER(F1098)&amp;H1098,Prices!A:C,2,0))</f>
        <v>39.729999999999997</v>
      </c>
      <c r="W1098" s="49">
        <f t="shared" si="596"/>
        <v>4882.3351999999995</v>
      </c>
      <c r="X1098" s="24">
        <f t="shared" si="597"/>
        <v>129.99999999999545</v>
      </c>
      <c r="Y1098" s="43">
        <f t="shared" si="598"/>
        <v>0.14013591274397244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39.6</v>
      </c>
      <c r="V1100" s="16">
        <f>IF(ISNA(VLOOKUP(LOWER(F1100)&amp;H1100,Prices!A:C,2,0)),0,VLOOKUP(LOWER(F1100)&amp;H1100,Prices!A:C,2,0))</f>
        <v>39.729999999999997</v>
      </c>
      <c r="W1100" s="49">
        <f t="shared" si="596"/>
        <v>4902.3395999999975</v>
      </c>
      <c r="X1100" s="24">
        <f t="shared" si="597"/>
        <v>129.99999999999545</v>
      </c>
      <c r="Y1100" s="43">
        <f t="shared" si="598"/>
        <v>0.14079091326823656</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10.59</v>
      </c>
      <c r="V1101" s="16">
        <f>IF(ISNA(VLOOKUP(LOWER(F1101)&amp;H1101,Prices!A:C,2,0)),0,VLOOKUP(LOWER(F1101)&amp;H1101,Prices!A:C,2,0))</f>
        <v>10.73</v>
      </c>
      <c r="W1101" s="49">
        <f t="shared" si="596"/>
        <v>-2970.0935999999983</v>
      </c>
      <c r="X1101" s="24">
        <f t="shared" si="597"/>
        <v>560.00000000000227</v>
      </c>
      <c r="Y1101" s="43">
        <f t="shared" si="598"/>
        <v>-6.4736129032258033E-2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67.150000000000006</v>
      </c>
      <c r="V1103" s="16">
        <f>IF(ISNA(VLOOKUP(LOWER(F1103)&amp;H1103,Prices!A:C,2,0)),0,VLOOKUP(LOWER(F1103)&amp;H1103,Prices!A:C,2,0))</f>
        <v>70.260000000000005</v>
      </c>
      <c r="W1103" s="49">
        <f t="shared" si="596"/>
        <v>34982.946000000004</v>
      </c>
      <c r="X1103" s="24">
        <f t="shared" si="597"/>
        <v>3109.9999999999995</v>
      </c>
      <c r="Y1103" s="43">
        <f t="shared" si="598"/>
        <v>0.99186124184859659</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12.27</v>
      </c>
      <c r="V1105" s="16">
        <f>IF(ISNA(VLOOKUP(LOWER(F1105)&amp;H1105,Prices!A:C,2,0)),0,VLOOKUP(LOWER(F1105)&amp;H1105,Prices!A:C,2,0))</f>
        <v>12.2</v>
      </c>
      <c r="W1105" s="49">
        <f t="shared" si="596"/>
        <v>-21110.010000000002</v>
      </c>
      <c r="X1105" s="24">
        <f t="shared" si="597"/>
        <v>-140.00000000000057</v>
      </c>
      <c r="Y1105" s="43">
        <f t="shared" si="598"/>
        <v>-0.46395626373626381</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17.98</v>
      </c>
      <c r="V1107" s="16">
        <f>IF(ISNA(VLOOKUP(LOWER(F1107)&amp;H1107,Prices!A:C,2,0)),0,VLOOKUP(LOWER(F1107)&amp;H1107,Prices!A:C,2,0))</f>
        <v>18.39</v>
      </c>
      <c r="W1107" s="49">
        <f t="shared" si="596"/>
        <v>-12322.980000000003</v>
      </c>
      <c r="X1107" s="24">
        <f t="shared" si="597"/>
        <v>615.00000000000023</v>
      </c>
      <c r="Y1107" s="43">
        <f t="shared" si="598"/>
        <v>-0.30884661654135348</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6.04</v>
      </c>
      <c r="V1108" s="16">
        <f>IF(ISNA(VLOOKUP(LOWER(F1108)&amp;H1108,Prices!A:C,2,0)),0,VLOOKUP(LOWER(F1108)&amp;H1108,Prices!A:C,2,0))</f>
        <v>6.22</v>
      </c>
      <c r="W1108" s="49">
        <f t="shared" si="596"/>
        <v>7902.1614000000018</v>
      </c>
      <c r="X1108" s="24">
        <f t="shared" si="597"/>
        <v>1259.999999999998</v>
      </c>
      <c r="Y1108" s="43">
        <f t="shared" si="598"/>
        <v>0.22178392927308452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15.18</v>
      </c>
      <c r="V1109" s="16">
        <f>IF(ISNA(VLOOKUP(LOWER(F1109)&amp;H1109,Prices!A:C,2,0)),0,VLOOKUP(LOWER(F1109)&amp;H1109,Prices!A:C,2,0))</f>
        <v>15.09</v>
      </c>
      <c r="W1109" s="49">
        <f t="shared" si="596"/>
        <v>-9211.4859199999973</v>
      </c>
      <c r="X1109" s="24">
        <f t="shared" si="597"/>
        <v>-89.999999999999858</v>
      </c>
      <c r="Y1109" s="43">
        <f t="shared" si="598"/>
        <v>-0.37913590385248591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4.3499999999999996</v>
      </c>
      <c r="V1110" s="16">
        <f>IF(ISNA(VLOOKUP(LOWER(F1110)&amp;H1110,Prices!A:C,2,0)),0,VLOOKUP(LOWER(F1110)&amp;H1110,Prices!A:C,2,0))</f>
        <v>4.33</v>
      </c>
      <c r="W1110" s="49">
        <f t="shared" si="596"/>
        <v>-3505.5330000000008</v>
      </c>
      <c r="X1110" s="24">
        <f t="shared" si="597"/>
        <v>-99.999999999997868</v>
      </c>
      <c r="Y1110" s="43">
        <f t="shared" si="598"/>
        <v>-0.13938500994035788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41.45</v>
      </c>
      <c r="V1111" s="16">
        <f>IF(ISNA(VLOOKUP(LOWER(F1111)&amp;H1111,Prices!A:C,2,0)),0,VLOOKUP(LOWER(F1111)&amp;H1111,Prices!A:C,2,0))</f>
        <v>41.99</v>
      </c>
      <c r="W1111" s="49">
        <f t="shared" si="596"/>
        <v>931.78999999999951</v>
      </c>
      <c r="X1111" s="24">
        <f t="shared" si="597"/>
        <v>539.99999999999909</v>
      </c>
      <c r="Y1111" s="43">
        <f t="shared" si="598"/>
        <v>2.2698903775883059E-2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69.010000000000005</v>
      </c>
      <c r="V1112" s="16">
        <f>IF(ISNA(VLOOKUP(LOWER(F1112)&amp;H1112,Prices!A:C,2,0)),0,VLOOKUP(LOWER(F1112)&amp;H1112,Prices!A:C,2,0))</f>
        <v>68.489999999999995</v>
      </c>
      <c r="W1112" s="49">
        <f t="shared" si="596"/>
        <v>13540</v>
      </c>
      <c r="X1112" s="24">
        <f t="shared" si="597"/>
        <v>-260.00000000000512</v>
      </c>
      <c r="Y1112" s="43">
        <f t="shared" si="598"/>
        <v>0.65410628019323669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115.56</v>
      </c>
      <c r="V1113" s="16">
        <f>IF(ISNA(VLOOKUP(LOWER(F1113)&amp;H1113,Prices!A:C,2,0)),0,VLOOKUP(LOWER(F1113)&amp;H1113,Prices!A:C,2,0))</f>
        <v>114</v>
      </c>
      <c r="W1113" s="49">
        <f t="shared" si="596"/>
        <v>11485.178399999995</v>
      </c>
      <c r="X1113" s="24">
        <f t="shared" si="597"/>
        <v>-624.00000000000091</v>
      </c>
      <c r="Y1113" s="43">
        <f t="shared" si="598"/>
        <v>0.33672975255072107</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115.56</v>
      </c>
      <c r="V1114" s="16">
        <f>IF(ISNA(VLOOKUP(LOWER(F1114)&amp;H1114,Prices!A:C,2,0)),0,VLOOKUP(LOWER(F1114)&amp;H1114,Prices!A:C,2,0))</f>
        <v>114</v>
      </c>
      <c r="W1114" s="49">
        <f t="shared" si="596"/>
        <v>8640.889199999996</v>
      </c>
      <c r="X1114" s="24">
        <f t="shared" si="597"/>
        <v>-468.00000000000068</v>
      </c>
      <c r="Y1114" s="43">
        <f t="shared" si="598"/>
        <v>0.33814233388119258</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115.56</v>
      </c>
      <c r="V1115" s="16">
        <f>IF(ISNA(VLOOKUP(LOWER(F1115)&amp;H1115,Prices!A:C,2,0)),0,VLOOKUP(LOWER(F1115)&amp;H1115,Prices!A:C,2,0))</f>
        <v>114</v>
      </c>
      <c r="W1115" s="49">
        <f t="shared" si="596"/>
        <v>8637.8885999999966</v>
      </c>
      <c r="X1115" s="24">
        <f t="shared" si="597"/>
        <v>-468.00000000000068</v>
      </c>
      <c r="Y1115" s="43">
        <f t="shared" si="598"/>
        <v>0.33798523300856897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39.6</v>
      </c>
      <c r="V1116" s="16">
        <f>IF(ISNA(VLOOKUP(LOWER(F1116)&amp;H1116,Prices!A:C,2,0)),0,VLOOKUP(LOWER(F1116)&amp;H1116,Prices!A:C,2,0))</f>
        <v>39.729999999999997</v>
      </c>
      <c r="W1116" s="49">
        <f t="shared" si="596"/>
        <v>4962.3527999999978</v>
      </c>
      <c r="X1116" s="24">
        <f t="shared" si="597"/>
        <v>129.99999999999545</v>
      </c>
      <c r="Y1116" s="43">
        <f t="shared" si="598"/>
        <v>0.14276043728423468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10.59</v>
      </c>
      <c r="V1117" s="16">
        <f>IF(ISNA(VLOOKUP(LOWER(F1117)&amp;H1117,Prices!A:C,2,0)),0,VLOOKUP(LOWER(F1117)&amp;H1117,Prices!A:C,2,0))</f>
        <v>10.73</v>
      </c>
      <c r="W1117" s="49">
        <f t="shared" si="596"/>
        <v>-2137.5503999999987</v>
      </c>
      <c r="X1117" s="24">
        <f t="shared" si="597"/>
        <v>420.00000000000171</v>
      </c>
      <c r="Y1117" s="43">
        <f t="shared" si="598"/>
        <v>-6.2282937062937027E-2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42.89</v>
      </c>
      <c r="V1118" s="16">
        <f>IF(ISNA(VLOOKUP(LOWER(F1118)&amp;H1118,Prices!A:C,2,0)),0,VLOOKUP(LOWER(F1118)&amp;H1118,Prices!A:C,2,0))</f>
        <v>45.31</v>
      </c>
      <c r="W1118" s="49">
        <f t="shared" si="596"/>
        <v>29226.479400000011</v>
      </c>
      <c r="X1118" s="24">
        <f t="shared" si="597"/>
        <v>3630.0000000000027</v>
      </c>
      <c r="Y1118" s="43">
        <f t="shared" si="598"/>
        <v>0.75462120836560831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9.89</v>
      </c>
      <c r="V1119" s="16">
        <f>IF(ISNA(VLOOKUP(LOWER(F1119)&amp;H1119,Prices!A:C,2,0)),0,VLOOKUP(LOWER(F1119)&amp;H1119,Prices!A:C,2,0))</f>
        <v>10.14</v>
      </c>
      <c r="W1119" s="49">
        <f t="shared" si="596"/>
        <v>-5347.152000000001</v>
      </c>
      <c r="X1119" s="24">
        <f t="shared" si="597"/>
        <v>750</v>
      </c>
      <c r="Y1119" s="43">
        <f t="shared" si="598"/>
        <v>-0.14952885906040272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39.799999999999997</v>
      </c>
      <c r="V1120" s="16">
        <f>IF(ISNA(VLOOKUP(LOWER(F1120)&amp;H1120,Prices!A:C,2,0)),0,VLOOKUP(LOWER(F1120)&amp;H1120,Prices!A:C,2,0))</f>
        <v>41.55</v>
      </c>
      <c r="W1120" s="49">
        <f t="shared" si="596"/>
        <v>-1853.4699999999987</v>
      </c>
      <c r="X1120" s="24">
        <f t="shared" si="597"/>
        <v>-350</v>
      </c>
      <c r="Y1120" s="43">
        <f t="shared" si="598"/>
        <v>-0.28655998763141594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39.6</v>
      </c>
      <c r="V1122" s="16">
        <f>IF(ISNA(VLOOKUP(LOWER(F1122)&amp;H1122,Prices!A:C,2,0)),0,VLOOKUP(LOWER(F1122)&amp;H1122,Prices!A:C,2,0))</f>
        <v>39.729999999999997</v>
      </c>
      <c r="W1122" s="49">
        <f t="shared" ref="W1122:W1164" si="604">IF(I1122="B",(V1122+T1122)*K1122,(V1122+T1122)*K1122)</f>
        <v>-994.09928000000036</v>
      </c>
      <c r="X1122" s="24">
        <f t="shared" ref="X1122:X1164" si="605">K1122*(V1122-U1122)</f>
        <v>-25.999999999999091</v>
      </c>
      <c r="Y1122" s="43">
        <f t="shared" ref="Y1122:Y1164" si="606">W1122/O1122</f>
        <v>-0.14274831705916147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39.6</v>
      </c>
      <c r="V1123" s="16">
        <f>IF(ISNA(VLOOKUP(LOWER(F1123)&amp;H1123,Prices!A:C,2,0)),0,VLOOKUP(LOWER(F1123)&amp;H1123,Prices!A:C,2,0))</f>
        <v>39.729999999999997</v>
      </c>
      <c r="W1123" s="49">
        <f t="shared" si="604"/>
        <v>-7458.684000000002</v>
      </c>
      <c r="X1123" s="24">
        <f t="shared" si="605"/>
        <v>-194.99999999999318</v>
      </c>
      <c r="Y1123" s="43">
        <f t="shared" si="606"/>
        <v>-0.14288666666666672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4.3499999999999996</v>
      </c>
      <c r="V1124" s="16">
        <f>IF(ISNA(VLOOKUP(LOWER(F1124)&amp;H1124,Prices!A:C,2,0)),0,VLOOKUP(LOWER(F1124)&amp;H1124,Prices!A:C,2,0))</f>
        <v>4.33</v>
      </c>
      <c r="W1124" s="49">
        <f t="shared" si="604"/>
        <v>3214.0288000000014</v>
      </c>
      <c r="X1124" s="24">
        <f t="shared" si="605"/>
        <v>79.999999999998295</v>
      </c>
      <c r="Y1124" s="43">
        <f t="shared" si="606"/>
        <v>0.15632435797665375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9.89</v>
      </c>
      <c r="V1127" s="16">
        <f>IF(ISNA(VLOOKUP(LOWER(F1127)&amp;H1127,Prices!A:C,2,0)),0,VLOOKUP(LOWER(F1127)&amp;H1127,Prices!A:C,2,0))</f>
        <v>10.14</v>
      </c>
      <c r="W1127" s="49">
        <f t="shared" si="604"/>
        <v>3730.9599999999996</v>
      </c>
      <c r="X1127" s="24">
        <f t="shared" si="605"/>
        <v>-500</v>
      </c>
      <c r="Y1127" s="43">
        <f t="shared" si="606"/>
        <v>0.15519800332778699</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39.799999999999997</v>
      </c>
      <c r="V1128" s="16">
        <f>IF(ISNA(VLOOKUP(LOWER(F1128)&amp;H1128,Prices!A:C,2,0)),0,VLOOKUP(LOWER(F1128)&amp;H1128,Prices!A:C,2,0))</f>
        <v>41.55</v>
      </c>
      <c r="W1128" s="49">
        <f t="shared" si="604"/>
        <v>-906.25999999999965</v>
      </c>
      <c r="X1128" s="24">
        <f t="shared" si="605"/>
        <v>-175</v>
      </c>
      <c r="Y1128" s="43">
        <f t="shared" si="606"/>
        <v>-0.27824992324224734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12.27</v>
      </c>
      <c r="V1129" s="16">
        <f>IF(ISNA(VLOOKUP(LOWER(F1129)&amp;H1129,Prices!A:C,2,0)),0,VLOOKUP(LOWER(F1129)&amp;H1129,Prices!A:C,2,0))</f>
        <v>12.2</v>
      </c>
      <c r="W1129" s="49">
        <f t="shared" si="604"/>
        <v>8875.7223799999992</v>
      </c>
      <c r="X1129" s="24">
        <f t="shared" si="605"/>
        <v>63.000000000000256</v>
      </c>
      <c r="Y1129" s="43">
        <f t="shared" si="606"/>
        <v>0.44644245158694229</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12.27</v>
      </c>
      <c r="V1130" s="16">
        <f>IF(ISNA(VLOOKUP(LOWER(F1130)&amp;H1130,Prices!A:C,2,0)),0,VLOOKUP(LOWER(F1130)&amp;H1130,Prices!A:C,2,0))</f>
        <v>12.2</v>
      </c>
      <c r="W1130" s="49">
        <f t="shared" si="604"/>
        <v>9872.4580000000024</v>
      </c>
      <c r="X1130" s="24">
        <f t="shared" si="605"/>
        <v>70.000000000000284</v>
      </c>
      <c r="Y1130" s="43">
        <f t="shared" si="606"/>
        <v>0.44671755656108608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42.89</v>
      </c>
      <c r="V1131" s="16">
        <f>IF(ISNA(VLOOKUP(LOWER(F1131)&amp;H1131,Prices!A:C,2,0)),0,VLOOKUP(LOWER(F1131)&amp;H1131,Prices!A:C,2,0))</f>
        <v>45.31</v>
      </c>
      <c r="W1131" s="49">
        <f t="shared" si="604"/>
        <v>-22814.551120000004</v>
      </c>
      <c r="X1131" s="24">
        <f t="shared" si="605"/>
        <v>-2904.0000000000018</v>
      </c>
      <c r="Y1131" s="43">
        <f t="shared" si="606"/>
        <v>-0.72207086719837976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5.69</v>
      </c>
      <c r="V1132" s="16">
        <f>IF(ISNA(VLOOKUP(LOWER(F1132)&amp;H1132,Prices!A:C,2,0)),0,VLOOKUP(LOWER(F1132)&amp;H1132,Prices!A:C,2,0))</f>
        <v>5.76</v>
      </c>
      <c r="W1132" s="49">
        <f t="shared" si="604"/>
        <v>-11349.180000000002</v>
      </c>
      <c r="X1132" s="24">
        <f t="shared" si="605"/>
        <v>419.99999999999636</v>
      </c>
      <c r="Y1132" s="43">
        <f t="shared" si="606"/>
        <v>-0.24725882352941181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4.59</v>
      </c>
      <c r="V1133" s="16">
        <f>IF(ISNA(VLOOKUP(LOWER(F1133)&amp;H1133,Prices!A:C,2,0)),0,VLOOKUP(LOWER(F1133)&amp;H1133,Prices!A:C,2,0))</f>
        <v>4.57</v>
      </c>
      <c r="W1133" s="49">
        <f t="shared" si="604"/>
        <v>1448.97</v>
      </c>
      <c r="X1133" s="24">
        <f t="shared" si="605"/>
        <v>19.999999999999574</v>
      </c>
      <c r="Y1133" s="43">
        <f t="shared" si="606"/>
        <v>0.24029353233830847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67.150000000000006</v>
      </c>
      <c r="V1134" s="16">
        <f>IF(ISNA(VLOOKUP(LOWER(F1134)&amp;H1134,Prices!A:C,2,0)),0,VLOOKUP(LOWER(F1134)&amp;H1134,Prices!A:C,2,0))</f>
        <v>70.260000000000005</v>
      </c>
      <c r="W1134" s="49">
        <f t="shared" si="604"/>
        <v>-37299.600000000006</v>
      </c>
      <c r="X1134" s="24">
        <f t="shared" si="605"/>
        <v>-3109.9999999999995</v>
      </c>
      <c r="Y1134" s="43">
        <f t="shared" si="606"/>
        <v>-1.1302909090909092</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22.36</v>
      </c>
      <c r="V1138" s="16">
        <f>IF(ISNA(VLOOKUP(LOWER(F1138)&amp;H1138,Prices!A:C,2,0)),0,VLOOKUP(LOWER(F1138)&amp;H1138,Prices!A:C,2,0))</f>
        <v>22.23</v>
      </c>
      <c r="W1138" s="49">
        <f t="shared" si="604"/>
        <v>18667.620000000006</v>
      </c>
      <c r="X1138" s="24">
        <f t="shared" si="605"/>
        <v>-324.9999999999975</v>
      </c>
      <c r="Y1138" s="43">
        <f t="shared" si="606"/>
        <v>0.50589756097560989</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41.45</v>
      </c>
      <c r="V1139" s="16">
        <f>IF(ISNA(VLOOKUP(LOWER(F1139)&amp;H1139,Prices!A:C,2,0)),0,VLOOKUP(LOWER(F1139)&amp;H1139,Prices!A:C,2,0))</f>
        <v>41.99</v>
      </c>
      <c r="W1139" s="49">
        <f t="shared" si="604"/>
        <v>-470.54999999999939</v>
      </c>
      <c r="X1139" s="24">
        <f t="shared" si="605"/>
        <v>-269.99999999999955</v>
      </c>
      <c r="Y1139" s="43">
        <f t="shared" si="606"/>
        <v>-2.2897810218978073E-2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10.59</v>
      </c>
      <c r="V1140" s="16">
        <f>IF(ISNA(VLOOKUP(LOWER(F1140)&amp;H1140,Prices!A:C,2,0)),0,VLOOKUP(LOWER(F1140)&amp;H1140,Prices!A:C,2,0))</f>
        <v>10.73</v>
      </c>
      <c r="W1140" s="49">
        <f t="shared" si="604"/>
        <v>1029.3140999999991</v>
      </c>
      <c r="X1140" s="24">
        <f t="shared" si="605"/>
        <v>-238.00000000000097</v>
      </c>
      <c r="Y1140" s="43">
        <f t="shared" si="606"/>
        <v>5.3346157035501378E-2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10.59</v>
      </c>
      <c r="V1141" s="16">
        <f>IF(ISNA(VLOOKUP(LOWER(F1141)&amp;H1141,Prices!A:C,2,0)),0,VLOOKUP(LOWER(F1141)&amp;H1141,Prices!A:C,2,0))</f>
        <v>10.73</v>
      </c>
      <c r="W1141" s="49">
        <f t="shared" si="604"/>
        <v>2086.5781999999926</v>
      </c>
      <c r="X1141" s="24">
        <f t="shared" si="605"/>
        <v>-490.00000000000199</v>
      </c>
      <c r="Y1141" s="43">
        <f t="shared" si="606"/>
        <v>5.2571887125220276E-2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39.32</v>
      </c>
      <c r="V1142" s="16">
        <f>IF(ISNA(VLOOKUP(LOWER(F1142)&amp;H1142,Prices!A:C,2,0)),0,VLOOKUP(LOWER(F1142)&amp;H1142,Prices!A:C,2,0))</f>
        <v>39.08</v>
      </c>
      <c r="W1142" s="49">
        <f t="shared" si="604"/>
        <v>15080.423399999996</v>
      </c>
      <c r="X1142" s="24">
        <f t="shared" si="605"/>
        <v>-360.00000000000296</v>
      </c>
      <c r="Y1142" s="43">
        <f t="shared" si="606"/>
        <v>0.34643747760165394</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71.72</v>
      </c>
      <c r="V1143" s="16">
        <f>IF(ISNA(VLOOKUP(LOWER(F1143)&amp;H1143,Prices!A:C,2,0)),0,VLOOKUP(LOWER(F1143)&amp;H1143,Prices!A:C,2,0))</f>
        <v>70.819999999999993</v>
      </c>
      <c r="W1143" s="49">
        <f t="shared" si="604"/>
        <v>28690.733599999996</v>
      </c>
      <c r="X1143" s="24">
        <f t="shared" si="605"/>
        <v>-900.00000000000568</v>
      </c>
      <c r="Y1143" s="43">
        <f t="shared" si="606"/>
        <v>0.6811665147198479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71.72</v>
      </c>
      <c r="V1144" s="16">
        <f>IF(ISNA(VLOOKUP(LOWER(F1144)&amp;H1144,Prices!A:C,2,0)),0,VLOOKUP(LOWER(F1144)&amp;H1144,Prices!A:C,2,0))</f>
        <v>70.819999999999993</v>
      </c>
      <c r="W1144" s="49">
        <f t="shared" si="604"/>
        <v>28510.693999999992</v>
      </c>
      <c r="X1144" s="24">
        <f t="shared" si="605"/>
        <v>-900.00000000000568</v>
      </c>
      <c r="Y1144" s="43">
        <f t="shared" si="606"/>
        <v>0.6740116784869975</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115.56</v>
      </c>
      <c r="V1145" s="16">
        <f>IF(ISNA(VLOOKUP(LOWER(F1145)&amp;H1145,Prices!A:C,2,0)),0,VLOOKUP(LOWER(F1145)&amp;H1145,Prices!A:C,2,0))</f>
        <v>114</v>
      </c>
      <c r="W1145" s="49">
        <f t="shared" si="604"/>
        <v>-19163.159199999998</v>
      </c>
      <c r="X1145" s="24">
        <f t="shared" si="605"/>
        <v>936.00000000000136</v>
      </c>
      <c r="Y1145" s="43">
        <f t="shared" si="606"/>
        <v>-0.38873659526127879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115.56</v>
      </c>
      <c r="V1146" s="16">
        <f>IF(ISNA(VLOOKUP(LOWER(F1146)&amp;H1146,Prices!A:C,2,0)),0,VLOOKUP(LOWER(F1146)&amp;H1146,Prices!A:C,2,0))</f>
        <v>114</v>
      </c>
      <c r="W1146" s="49">
        <f t="shared" si="604"/>
        <v>-19139.184000000001</v>
      </c>
      <c r="X1146" s="24">
        <f t="shared" si="605"/>
        <v>936.00000000000136</v>
      </c>
      <c r="Y1146" s="43">
        <f t="shared" si="606"/>
        <v>-0.38806131386861314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17.98</v>
      </c>
      <c r="V1149" s="16">
        <f>IF(ISNA(VLOOKUP(LOWER(F1149)&amp;H1149,Prices!A:C,2,0)),0,VLOOKUP(LOWER(F1149)&amp;H1149,Prices!A:C,2,0))</f>
        <v>18.39</v>
      </c>
      <c r="W1149" s="49">
        <f t="shared" si="604"/>
        <v>6669.5899999999992</v>
      </c>
      <c r="X1149" s="24">
        <f t="shared" si="605"/>
        <v>-328.00000000000011</v>
      </c>
      <c r="Y1149" s="43">
        <f t="shared" si="606"/>
        <v>0.31154661808669654</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17.98</v>
      </c>
      <c r="V1150" s="16">
        <f>IF(ISNA(VLOOKUP(LOWER(F1150)&amp;H1150,Prices!A:C,2,0)),0,VLOOKUP(LOWER(F1150)&amp;H1150,Prices!A:C,2,0))</f>
        <v>18.39</v>
      </c>
      <c r="W1150" s="49">
        <f t="shared" si="604"/>
        <v>5765.34</v>
      </c>
      <c r="X1150" s="24">
        <f t="shared" si="605"/>
        <v>-287.00000000000011</v>
      </c>
      <c r="Y1150" s="43">
        <f t="shared" si="606"/>
        <v>0.30893473368342084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15.18</v>
      </c>
      <c r="V1153" s="16">
        <f>IF(ISNA(VLOOKUP(LOWER(F1153)&amp;H1153,Prices!A:C,2,0)),0,VLOOKUP(LOWER(F1153)&amp;H1153,Prices!A:C,2,0))</f>
        <v>15.09</v>
      </c>
      <c r="W1153" s="49">
        <f t="shared" si="604"/>
        <v>4222.9743000000008</v>
      </c>
      <c r="X1153" s="24">
        <f t="shared" si="605"/>
        <v>44.999999999999929</v>
      </c>
      <c r="Y1153" s="43">
        <f t="shared" si="606"/>
        <v>0.35833468816291902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9.48</v>
      </c>
      <c r="V1154" s="16">
        <f>IF(ISNA(VLOOKUP(LOWER(F1154)&amp;H1154,Prices!A:C,2,0)),0,VLOOKUP(LOWER(F1154)&amp;H1154,Prices!A:C,2,0))</f>
        <v>9.42</v>
      </c>
      <c r="W1154" s="49">
        <f t="shared" si="604"/>
        <v>-1716.5933999999988</v>
      </c>
      <c r="X1154" s="24">
        <f t="shared" si="605"/>
        <v>-180.00000000000148</v>
      </c>
      <c r="Y1154" s="43">
        <f t="shared" si="606"/>
        <v>-5.7277057057057018E-2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9.48</v>
      </c>
      <c r="V1155" s="16">
        <f>IF(ISNA(VLOOKUP(LOWER(F1155)&amp;H1155,Prices!A:C,2,0)),0,VLOOKUP(LOWER(F1155)&amp;H1155,Prices!A:C,2,0))</f>
        <v>9.42</v>
      </c>
      <c r="W1155" s="49">
        <f t="shared" si="604"/>
        <v>-1746.6000000000008</v>
      </c>
      <c r="X1155" s="24">
        <f t="shared" si="605"/>
        <v>-180.00000000000148</v>
      </c>
      <c r="Y1155" s="43">
        <f t="shared" si="606"/>
        <v>-5.8220000000000029E-2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14.33</v>
      </c>
      <c r="V1156" s="16">
        <f>IF(ISNA(VLOOKUP(LOWER(F1156)&amp;H1156,Prices!A:C,2,0)),0,VLOOKUP(LOWER(F1156)&amp;H1156,Prices!A:C,2,0))</f>
        <v>14.12</v>
      </c>
      <c r="W1156" s="49">
        <f t="shared" si="604"/>
        <v>-9308.2588000000087</v>
      </c>
      <c r="X1156" s="24">
        <f t="shared" si="605"/>
        <v>-420.00000000000171</v>
      </c>
      <c r="Y1156" s="43">
        <f t="shared" si="606"/>
        <v>-0.24795574853489635</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14.33</v>
      </c>
      <c r="V1157" s="16">
        <f>IF(ISNA(VLOOKUP(LOWER(F1157)&amp;H1157,Prices!A:C,2,0)),0,VLOOKUP(LOWER(F1157)&amp;H1157,Prices!A:C,2,0))</f>
        <v>14.12</v>
      </c>
      <c r="W1157" s="49">
        <f t="shared" si="604"/>
        <v>-4675.3758000000025</v>
      </c>
      <c r="X1157" s="24">
        <f t="shared" si="605"/>
        <v>-210.00000000000085</v>
      </c>
      <c r="Y1157" s="43">
        <f t="shared" si="606"/>
        <v>-0.24882255455029284</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14.33</v>
      </c>
      <c r="V1158" s="16">
        <f>IF(ISNA(VLOOKUP(LOWER(F1158)&amp;H1158,Prices!A:C,2,0)),0,VLOOKUP(LOWER(F1158)&amp;H1158,Prices!A:C,2,0))</f>
        <v>14.12</v>
      </c>
      <c r="W1158" s="49">
        <f t="shared" si="604"/>
        <v>-9448.2895999999982</v>
      </c>
      <c r="X1158" s="24">
        <f t="shared" si="605"/>
        <v>-420.00000000000171</v>
      </c>
      <c r="Y1158" s="43">
        <f t="shared" si="606"/>
        <v>-0.25075078556263264</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14.33</v>
      </c>
      <c r="V1159" s="16">
        <f>IF(ISNA(VLOOKUP(LOWER(F1159)&amp;H1159,Prices!A:C,2,0)),0,VLOOKUP(LOWER(F1159)&amp;H1159,Prices!A:C,2,0))</f>
        <v>14.12</v>
      </c>
      <c r="W1159" s="49">
        <f t="shared" si="604"/>
        <v>-9548.3115999999955</v>
      </c>
      <c r="X1159" s="24">
        <f t="shared" si="605"/>
        <v>-420.00000000000171</v>
      </c>
      <c r="Y1159" s="43">
        <f t="shared" si="606"/>
        <v>-0.25273455796717831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34.53</v>
      </c>
      <c r="V1160" s="16">
        <f>IF(ISNA(VLOOKUP(LOWER(F1160)&amp;H1160,Prices!A:C,2,0)),0,VLOOKUP(LOWER(F1160)&amp;H1160,Prices!A:C,2,0))</f>
        <v>34.08</v>
      </c>
      <c r="W1160" s="49">
        <f t="shared" si="604"/>
        <v>18437.063359999996</v>
      </c>
      <c r="X1160" s="24">
        <f t="shared" si="605"/>
        <v>-900.00000000000568</v>
      </c>
      <c r="Y1160" s="43">
        <f t="shared" si="606"/>
        <v>0.37087752172513672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34.53</v>
      </c>
      <c r="V1161" s="16">
        <f>IF(ISNA(VLOOKUP(LOWER(F1161)&amp;H1161,Prices!A:C,2,0)),0,VLOOKUP(LOWER(F1161)&amp;H1161,Prices!A:C,2,0))</f>
        <v>34.08</v>
      </c>
      <c r="W1161" s="49">
        <f t="shared" si="604"/>
        <v>18289.0308</v>
      </c>
      <c r="X1161" s="24">
        <f t="shared" si="605"/>
        <v>-900.00000000000568</v>
      </c>
      <c r="Y1161" s="43">
        <f t="shared" si="606"/>
        <v>0.36680767749699161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27.06</v>
      </c>
      <c r="V1162" s="16">
        <f>IF(ISNA(VLOOKUP(LOWER(F1162)&amp;H1162,Prices!A:C,2,0)),0,VLOOKUP(LOWER(F1162)&amp;H1162,Prices!A:C,2,0))</f>
        <v>28.16</v>
      </c>
      <c r="W1162" s="49">
        <f t="shared" si="604"/>
        <v>-2566.7606000000019</v>
      </c>
      <c r="X1162" s="24">
        <f t="shared" si="605"/>
        <v>-550.00000000000068</v>
      </c>
      <c r="Y1162" s="43">
        <f t="shared" si="606"/>
        <v>-0.22261583694709469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69.010000000000005</v>
      </c>
      <c r="V1163" s="16">
        <f>IF(ISNA(VLOOKUP(LOWER(F1163)&amp;H1163,Prices!A:C,2,0)),0,VLOOKUP(LOWER(F1163)&amp;H1163,Prices!A:C,2,0))</f>
        <v>68.489999999999995</v>
      </c>
      <c r="W1163" s="49">
        <f t="shared" si="604"/>
        <v>-19703.924599999998</v>
      </c>
      <c r="X1163" s="24">
        <f t="shared" si="605"/>
        <v>364.00000000000716</v>
      </c>
      <c r="Y1163" s="43">
        <f t="shared" si="606"/>
        <v>-0.69691665546634596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69.010000000000005</v>
      </c>
      <c r="V1164" s="16">
        <f>IF(ISNA(VLOOKUP(LOWER(F1164)&amp;H1164,Prices!A:C,2,0)),0,VLOOKUP(LOWER(F1164)&amp;H1164,Prices!A:C,2,0))</f>
        <v>68.489999999999995</v>
      </c>
      <c r="W1164" s="49">
        <f t="shared" si="604"/>
        <v>-22510.783999999996</v>
      </c>
      <c r="X1164" s="24">
        <f t="shared" si="605"/>
        <v>416.00000000000819</v>
      </c>
      <c r="Y1164" s="43">
        <f t="shared" si="606"/>
        <v>-0.69649702970297023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27.06</v>
      </c>
      <c r="V1165" s="13">
        <f>IF(ISNA(VLOOKUP(LOWER(F1165)&amp;H1165,Prices!A:C,2,0)),0,VLOOKUP(LOWER(F1165)&amp;H1165,Prices!A:C,2,0))</f>
        <v>28.16</v>
      </c>
      <c r="W1165" s="13">
        <f t="shared" ref="W1165" si="615">IF(I1165="B",(V1165+T1165)*K1165,(V1165+T1165)*K1165)</f>
        <v>-2451.882900000001</v>
      </c>
      <c r="X1165" s="13">
        <f t="shared" ref="X1165" si="616">K1165*(V1165-U1165)</f>
        <v>-550.00000000000068</v>
      </c>
      <c r="Y1165" s="43">
        <f t="shared" ref="Y1165" si="617">W1165/O1165</f>
        <v>-0.21055241734650074</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34.53</v>
      </c>
      <c r="V1166" s="13">
        <f>IF(ISNA(VLOOKUP(LOWER(F1166)&amp;H1166,Prices!A:C,2,0)),0,VLOOKUP(LOWER(F1166)&amp;H1166,Prices!A:C,2,0))</f>
        <v>34.08</v>
      </c>
      <c r="W1166" s="13">
        <f t="shared" ref="W1166:W1201" si="622">IF(I1166="B",(V1166+T1166)*K1166,(V1166+T1166)*K1166)</f>
        <v>-9350.2551999999996</v>
      </c>
      <c r="X1166" s="13">
        <f t="shared" ref="X1166:X1201" si="623">K1166*(V1166-U1166)</f>
        <v>450.00000000000284</v>
      </c>
      <c r="Y1166" s="43">
        <f t="shared" ref="Y1166:Y1201" si="624">W1166/O1166</f>
        <v>-0.37763550888529884</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74.86</v>
      </c>
      <c r="V1167" s="13">
        <f>IF(ISNA(VLOOKUP(LOWER(F1167)&amp;H1167,Prices!A:C,2,0)),0,VLOOKUP(LOWER(F1167)&amp;H1167,Prices!A:C,2,0))</f>
        <v>72.930000000000007</v>
      </c>
      <c r="W1167" s="13">
        <f t="shared" si="622"/>
        <v>-6409.19</v>
      </c>
      <c r="X1167" s="13">
        <f t="shared" si="623"/>
        <v>385.99999999999852</v>
      </c>
      <c r="Y1167" s="43">
        <f t="shared" si="624"/>
        <v>-0.78256288156288145</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42.89</v>
      </c>
      <c r="V1168" s="13">
        <f>IF(ISNA(VLOOKUP(LOWER(F1168)&amp;H1168,Prices!A:C,2,0)),0,VLOOKUP(LOWER(F1168)&amp;H1168,Prices!A:C,2,0))</f>
        <v>45.31</v>
      </c>
      <c r="W1168" s="13">
        <f t="shared" si="622"/>
        <v>-6021.7316799999999</v>
      </c>
      <c r="X1168" s="13">
        <f t="shared" si="623"/>
        <v>-726.00000000000045</v>
      </c>
      <c r="Y1168" s="43">
        <f t="shared" si="624"/>
        <v>-0.7940047046413502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39.32</v>
      </c>
      <c r="V1169" s="13">
        <f>IF(ISNA(VLOOKUP(LOWER(F1169)&amp;H1169,Prices!A:C,2,0)),0,VLOOKUP(LOWER(F1169)&amp;H1169,Prices!A:C,2,0))</f>
        <v>39.08</v>
      </c>
      <c r="W1169" s="13">
        <f t="shared" si="622"/>
        <v>-7088.6958599999989</v>
      </c>
      <c r="X1169" s="13">
        <f t="shared" si="623"/>
        <v>168.00000000000139</v>
      </c>
      <c r="Y1169" s="43">
        <f t="shared" si="624"/>
        <v>-0.34931729463361744</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71.72</v>
      </c>
      <c r="V1171" s="13">
        <f>IF(ISNA(VLOOKUP(LOWER(F1171)&amp;H1171,Prices!A:C,2,0)),0,VLOOKUP(LOWER(F1171)&amp;H1171,Prices!A:C,2,0))</f>
        <v>70.819999999999993</v>
      </c>
      <c r="W1171" s="13">
        <f t="shared" si="622"/>
        <v>-57582.675199999983</v>
      </c>
      <c r="X1171" s="13">
        <f t="shared" si="623"/>
        <v>1800.0000000000114</v>
      </c>
      <c r="Y1171" s="43">
        <f t="shared" si="624"/>
        <v>-0.68420479087452457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6.04</v>
      </c>
      <c r="V1172" s="13">
        <f>IF(ISNA(VLOOKUP(LOWER(F1172)&amp;H1172,Prices!A:C,2,0)),0,VLOOKUP(LOWER(F1172)&amp;H1172,Prices!A:C,2,0))</f>
        <v>6.22</v>
      </c>
      <c r="W1172" s="13">
        <f t="shared" si="622"/>
        <v>-4432.7071999999998</v>
      </c>
      <c r="X1172" s="13">
        <f t="shared" si="623"/>
        <v>-629.99999999999898</v>
      </c>
      <c r="Y1172" s="43">
        <f t="shared" si="624"/>
        <v>-0.25534027649769586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9.48</v>
      </c>
      <c r="V1174" s="13">
        <f>IF(ISNA(VLOOKUP(LOWER(F1174)&amp;H1174,Prices!A:C,2,0)),0,VLOOKUP(LOWER(F1174)&amp;H1174,Prices!A:C,2,0))</f>
        <v>9.42</v>
      </c>
      <c r="W1174" s="13">
        <f t="shared" si="622"/>
        <v>1419.1186000000018</v>
      </c>
      <c r="X1174" s="13">
        <f t="shared" si="623"/>
        <v>90.000000000000739</v>
      </c>
      <c r="Y1174" s="43">
        <f t="shared" si="624"/>
        <v>9.1144418754014231E-2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4.3499999999999996</v>
      </c>
      <c r="V1175" s="13">
        <f>IF(ISNA(VLOOKUP(LOWER(F1175)&amp;H1175,Prices!A:C,2,0)),0,VLOOKUP(LOWER(F1175)&amp;H1175,Prices!A:C,2,0))</f>
        <v>4.33</v>
      </c>
      <c r="W1175" s="13">
        <f t="shared" si="622"/>
        <v>729.82860000000028</v>
      </c>
      <c r="X1175" s="13">
        <f t="shared" si="623"/>
        <v>19.999999999999574</v>
      </c>
      <c r="Y1175" s="43">
        <f t="shared" si="624"/>
        <v>0.14395041420118349</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22.36</v>
      </c>
      <c r="V1176" s="13">
        <f>IF(ISNA(VLOOKUP(LOWER(F1176)&amp;H1176,Prices!A:C,2,0)),0,VLOOKUP(LOWER(F1176)&amp;H1176,Prices!A:C,2,0))</f>
        <v>22.23</v>
      </c>
      <c r="W1176" s="13">
        <f t="shared" si="622"/>
        <v>-11441.93</v>
      </c>
      <c r="X1176" s="13">
        <f t="shared" si="623"/>
        <v>194.99999999999852</v>
      </c>
      <c r="Y1176" s="43">
        <f t="shared" si="624"/>
        <v>-0.52174783401732783</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14.33</v>
      </c>
      <c r="V1177" s="13">
        <f>IF(ISNA(VLOOKUP(LOWER(F1177)&amp;H1177,Prices!A:C,2,0)),0,VLOOKUP(LOWER(F1177)&amp;H1177,Prices!A:C,2,0))</f>
        <v>14.12</v>
      </c>
      <c r="W1177" s="13">
        <f t="shared" si="622"/>
        <v>11917.3195</v>
      </c>
      <c r="X1177" s="13">
        <f t="shared" si="623"/>
        <v>525.00000000000216</v>
      </c>
      <c r="Y1177" s="43">
        <f t="shared" si="624"/>
        <v>0.25208502379693282</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39.6</v>
      </c>
      <c r="V1178" s="13">
        <f>IF(ISNA(VLOOKUP(LOWER(F1178)&amp;H1178,Prices!A:C,2,0)),0,VLOOKUP(LOWER(F1178)&amp;H1178,Prices!A:C,2,0))</f>
        <v>39.729999999999997</v>
      </c>
      <c r="W1178" s="13">
        <f t="shared" si="622"/>
        <v>-3921.3983799999965</v>
      </c>
      <c r="X1178" s="13">
        <f t="shared" si="623"/>
        <v>-90.999999999996817</v>
      </c>
      <c r="Y1178" s="43">
        <f t="shared" si="624"/>
        <v>-0.1639449132488815</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6.04</v>
      </c>
      <c r="V1179" s="13">
        <f>IF(ISNA(VLOOKUP(LOWER(F1179)&amp;H1179,Prices!A:C,2,0)),0,VLOOKUP(LOWER(F1179)&amp;H1179,Prices!A:C,2,0))</f>
        <v>6.22</v>
      </c>
      <c r="W1179" s="13">
        <f t="shared" si="622"/>
        <v>-4432.7071999999998</v>
      </c>
      <c r="X1179" s="13">
        <f t="shared" si="623"/>
        <v>-629.99999999999898</v>
      </c>
      <c r="Y1179" s="43">
        <f t="shared" si="624"/>
        <v>-0.25534027649769586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12.27</v>
      </c>
      <c r="V1180" s="13">
        <f>IF(ISNA(VLOOKUP(LOWER(F1180)&amp;H1180,Prices!A:C,2,0)),0,VLOOKUP(LOWER(F1180)&amp;H1180,Prices!A:C,2,0))</f>
        <v>12.2</v>
      </c>
      <c r="W1180" s="13">
        <f t="shared" si="622"/>
        <v>1047.6744999999999</v>
      </c>
      <c r="X1180" s="13">
        <f t="shared" si="623"/>
        <v>7.0000000000000284</v>
      </c>
      <c r="Y1180" s="43">
        <f t="shared" si="624"/>
        <v>0.4605162637362637</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34.53</v>
      </c>
      <c r="V1181" s="13">
        <f>IF(ISNA(VLOOKUP(LOWER(F1181)&amp;H1181,Prices!A:C,2,0)),0,VLOOKUP(LOWER(F1181)&amp;H1181,Prices!A:C,2,0))</f>
        <v>34.08</v>
      </c>
      <c r="W1181" s="13">
        <f t="shared" si="622"/>
        <v>-9350.2551999999996</v>
      </c>
      <c r="X1181" s="13">
        <f t="shared" si="623"/>
        <v>450.00000000000284</v>
      </c>
      <c r="Y1181" s="43">
        <f t="shared" si="624"/>
        <v>-0.37763550888529884</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34.53</v>
      </c>
      <c r="V1182" s="13">
        <f>IF(ISNA(VLOOKUP(LOWER(F1182)&amp;H1182,Prices!A:C,2,0)),0,VLOOKUP(LOWER(F1182)&amp;H1182,Prices!A:C,2,0))</f>
        <v>34.08</v>
      </c>
      <c r="W1182" s="13">
        <f t="shared" si="622"/>
        <v>-18710.402199999997</v>
      </c>
      <c r="X1182" s="13">
        <f t="shared" si="623"/>
        <v>900.00000000000568</v>
      </c>
      <c r="Y1182" s="43">
        <f t="shared" si="624"/>
        <v>-0.37791157745909909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14.33</v>
      </c>
      <c r="V1183" s="13">
        <f>IF(ISNA(VLOOKUP(LOWER(F1183)&amp;H1183,Prices!A:C,2,0)),0,VLOOKUP(LOWER(F1183)&amp;H1183,Prices!A:C,2,0))</f>
        <v>14.12</v>
      </c>
      <c r="W1183" s="13">
        <f t="shared" si="622"/>
        <v>16963.907699999992</v>
      </c>
      <c r="X1183" s="13">
        <f t="shared" si="623"/>
        <v>735.00000000000296</v>
      </c>
      <c r="Y1183" s="43">
        <f t="shared" si="624"/>
        <v>0.2552306883322048</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10.59</v>
      </c>
      <c r="V1184" s="13">
        <f>IF(ISNA(VLOOKUP(LOWER(F1184)&amp;H1184,Prices!A:C,2,0)),0,VLOOKUP(LOWER(F1184)&amp;H1184,Prices!A:C,2,0))</f>
        <v>10.73</v>
      </c>
      <c r="W1184" s="13">
        <f t="shared" si="622"/>
        <v>783.23939999999754</v>
      </c>
      <c r="X1184" s="13">
        <f t="shared" si="623"/>
        <v>-140.00000000000057</v>
      </c>
      <c r="Y1184" s="43">
        <f t="shared" si="624"/>
        <v>6.7930563746747399E-2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6.04</v>
      </c>
      <c r="V1185" s="13">
        <f>IF(ISNA(VLOOKUP(LOWER(F1185)&amp;H1185,Prices!A:C,2,0)),0,VLOOKUP(LOWER(F1185)&amp;H1185,Prices!A:C,2,0))</f>
        <v>6.22</v>
      </c>
      <c r="W1185" s="13">
        <f t="shared" si="622"/>
        <v>2594.8031999999994</v>
      </c>
      <c r="X1185" s="13">
        <f t="shared" si="623"/>
        <v>359.99999999999943</v>
      </c>
      <c r="Y1185" s="43">
        <f t="shared" si="624"/>
        <v>0.26369951219512189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12.27</v>
      </c>
      <c r="V1186" s="13">
        <f>IF(ISNA(VLOOKUP(LOWER(F1186)&amp;H1186,Prices!A:C,2,0)),0,VLOOKUP(LOWER(F1186)&amp;H1186,Prices!A:C,2,0))</f>
        <v>12.2</v>
      </c>
      <c r="W1186" s="13">
        <f t="shared" si="622"/>
        <v>-19709.702000000001</v>
      </c>
      <c r="X1186" s="13">
        <f t="shared" si="623"/>
        <v>-140.00000000000057</v>
      </c>
      <c r="Y1186" s="43">
        <f t="shared" si="624"/>
        <v>-0.44693201814058958</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9.0299999999999994</v>
      </c>
      <c r="V1187" s="13">
        <f>IF(ISNA(VLOOKUP(LOWER(F1187)&amp;H1187,Prices!A:C,2,0)),0,VLOOKUP(LOWER(F1187)&amp;H1187,Prices!A:C,2,0))</f>
        <v>9.0299999999999994</v>
      </c>
      <c r="W1187" s="13">
        <f t="shared" si="622"/>
        <v>7069.6379999999945</v>
      </c>
      <c r="X1187" s="13">
        <f t="shared" si="623"/>
        <v>0</v>
      </c>
      <c r="Y1187" s="43">
        <f t="shared" si="624"/>
        <v>0.1500984713375795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10.1</v>
      </c>
      <c r="V1188" s="13">
        <f>IF(ISNA(VLOOKUP(LOWER(F1188)&amp;H1188,Prices!A:C,2,0)),0,VLOOKUP(LOWER(F1188)&amp;H1188,Prices!A:C,2,0))</f>
        <v>9.9700000000000006</v>
      </c>
      <c r="W1188" s="13">
        <f t="shared" si="622"/>
        <v>-3306.6420000000003</v>
      </c>
      <c r="X1188" s="13">
        <f t="shared" si="623"/>
        <v>-389.99999999999704</v>
      </c>
      <c r="Y1188" s="43">
        <f t="shared" si="624"/>
        <v>-9.9567660343270109E-2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14.46</v>
      </c>
      <c r="V1189" s="13">
        <f>IF(ISNA(VLOOKUP(LOWER(F1189)&amp;H1189,Prices!A:C,2,0)),0,VLOOKUP(LOWER(F1189)&amp;H1189,Prices!A:C,2,0))</f>
        <v>14.19</v>
      </c>
      <c r="W1189" s="13">
        <f t="shared" si="622"/>
        <v>-275.43110000000229</v>
      </c>
      <c r="X1189" s="13">
        <f t="shared" si="623"/>
        <v>-405.00000000000205</v>
      </c>
      <c r="Y1189" s="43">
        <f t="shared" si="624"/>
        <v>-1.2778060774762342E-2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13.02</v>
      </c>
      <c r="V1190" s="13">
        <f>IF(ISNA(VLOOKUP(LOWER(F1190)&amp;H1190,Prices!A:C,2,0)),0,VLOOKUP(LOWER(F1190)&amp;H1190,Prices!A:C,2,0))</f>
        <v>13.35</v>
      </c>
      <c r="W1190" s="13">
        <f t="shared" si="622"/>
        <v>-338.07600000000269</v>
      </c>
      <c r="X1190" s="13">
        <f t="shared" si="623"/>
        <v>990.00000000000023</v>
      </c>
      <c r="Y1190" s="43">
        <f t="shared" si="624"/>
        <v>-8.3723625557207207E-3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14.46</v>
      </c>
      <c r="V1191" s="13">
        <f>IF(ISNA(VLOOKUP(LOWER(F1191)&amp;H1191,Prices!A:C,2,0)),0,VLOOKUP(LOWER(F1191)&amp;H1191,Prices!A:C,2,0))</f>
        <v>14.19</v>
      </c>
      <c r="W1191" s="13">
        <f t="shared" si="622"/>
        <v>-1165.8619999999953</v>
      </c>
      <c r="X1191" s="13">
        <f t="shared" si="623"/>
        <v>-1350.0000000000068</v>
      </c>
      <c r="Y1191" s="43">
        <f t="shared" si="624"/>
        <v>-1.6170069348127536E-2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12.84</v>
      </c>
      <c r="V1192" s="13">
        <f>IF(ISNA(VLOOKUP(LOWER(F1192)&amp;H1192,Prices!A:C,2,0)),0,VLOOKUP(LOWER(F1192)&amp;H1192,Prices!A:C,2,0))</f>
        <v>12.89</v>
      </c>
      <c r="W1192" s="13">
        <f t="shared" si="622"/>
        <v>-5306.2159999999994</v>
      </c>
      <c r="X1192" s="13">
        <f t="shared" si="623"/>
        <v>100.00000000000142</v>
      </c>
      <c r="Y1192" s="43">
        <f t="shared" si="624"/>
        <v>-0.17072767052767052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26.07</v>
      </c>
      <c r="V1193" s="13">
        <f>IF(ISNA(VLOOKUP(LOWER(F1193)&amp;H1193,Prices!A:C,2,0)),0,VLOOKUP(LOWER(F1193)&amp;H1193,Prices!A:C,2,0))</f>
        <v>25.11</v>
      </c>
      <c r="W1193" s="13">
        <f t="shared" si="622"/>
        <v>9391.0195999999996</v>
      </c>
      <c r="X1193" s="13">
        <f t="shared" si="623"/>
        <v>-1920.0000000000018</v>
      </c>
      <c r="Y1193" s="43">
        <f t="shared" si="624"/>
        <v>0.23005927486526212</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66.69</v>
      </c>
      <c r="V1194" s="13">
        <f>IF(ISNA(VLOOKUP(LOWER(F1194)&amp;H1194,Prices!A:C,2,0)),0,VLOOKUP(LOWER(F1194)&amp;H1194,Prices!A:C,2,0))</f>
        <v>66.930000000000007</v>
      </c>
      <c r="W1194" s="13">
        <f t="shared" si="622"/>
        <v>12367.999000000005</v>
      </c>
      <c r="X1194" s="13">
        <f t="shared" si="623"/>
        <v>240.00000000000909</v>
      </c>
      <c r="Y1194" s="43">
        <f t="shared" si="624"/>
        <v>0.22672775435380393</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66.38</v>
      </c>
      <c r="V1195" s="13">
        <f>IF(ISNA(VLOOKUP(LOWER(F1195)&amp;H1195,Prices!A:C,2,0)),0,VLOOKUP(LOWER(F1195)&amp;H1195,Prices!A:C,2,0))</f>
        <v>65.8</v>
      </c>
      <c r="W1195" s="13">
        <f t="shared" si="622"/>
        <v>15790</v>
      </c>
      <c r="X1195" s="13">
        <f t="shared" si="623"/>
        <v>-579.99999999999829</v>
      </c>
      <c r="Y1195" s="43">
        <f t="shared" si="624"/>
        <v>0.31580000000000003</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39.32</v>
      </c>
      <c r="V1196" s="13">
        <f>IF(ISNA(VLOOKUP(LOWER(F1196)&amp;H1196,Prices!A:C,2,0)),0,VLOOKUP(LOWER(F1196)&amp;H1196,Prices!A:C,2,0))</f>
        <v>39.08</v>
      </c>
      <c r="W1196" s="13">
        <f t="shared" si="622"/>
        <v>-7964.7965600000025</v>
      </c>
      <c r="X1196" s="13">
        <f t="shared" si="623"/>
        <v>192.00000000000159</v>
      </c>
      <c r="Y1196" s="43">
        <f t="shared" si="624"/>
        <v>-0.34142646433470519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9.89</v>
      </c>
      <c r="V1197" s="13">
        <f>IF(ISNA(VLOOKUP(LOWER(F1197)&amp;H1197,Prices!A:C,2,0)),0,VLOOKUP(LOWER(F1197)&amp;H1197,Prices!A:C,2,0))</f>
        <v>10.14</v>
      </c>
      <c r="W1197" s="13">
        <f t="shared" si="622"/>
        <v>1753.0900000000001</v>
      </c>
      <c r="X1197" s="13">
        <f t="shared" si="623"/>
        <v>-250</v>
      </c>
      <c r="Y1197" s="43">
        <f t="shared" si="624"/>
        <v>0.14719479429051219</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36.85</v>
      </c>
      <c r="V1198" s="13">
        <f>IF(ISNA(VLOOKUP(LOWER(F1198)&amp;H1198,Prices!A:C,2,0)),0,VLOOKUP(LOWER(F1198)&amp;H1198,Prices!A:C,2,0))</f>
        <v>37.090000000000003</v>
      </c>
      <c r="W1198" s="13">
        <f t="shared" si="622"/>
        <v>3115.1600000000003</v>
      </c>
      <c r="X1198" s="13">
        <f t="shared" si="623"/>
        <v>-24.000000000000199</v>
      </c>
      <c r="Y1198" s="43">
        <f t="shared" si="624"/>
        <v>0.45569923932124051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9.48</v>
      </c>
      <c r="V1199" s="13">
        <f>IF(ISNA(VLOOKUP(LOWER(F1199)&amp;H1199,Prices!A:C,2,0)),0,VLOOKUP(LOWER(F1199)&amp;H1199,Prices!A:C,2,0))</f>
        <v>9.42</v>
      </c>
      <c r="W1199" s="13">
        <f t="shared" si="622"/>
        <v>2632.2653999999961</v>
      </c>
      <c r="X1199" s="13">
        <f t="shared" si="623"/>
        <v>180.00000000000148</v>
      </c>
      <c r="Y1199" s="43">
        <f t="shared" si="624"/>
        <v>8.510395732298727E-2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5.69</v>
      </c>
      <c r="V1200" s="13">
        <f>IF(ISNA(VLOOKUP(LOWER(F1200)&amp;H1200,Prices!A:C,2,0)),0,VLOOKUP(LOWER(F1200)&amp;H1200,Prices!A:C,2,0))</f>
        <v>5.76</v>
      </c>
      <c r="W1200" s="13">
        <f t="shared" si="622"/>
        <v>3642.7000000000003</v>
      </c>
      <c r="X1200" s="13">
        <f t="shared" si="623"/>
        <v>-104.99999999999909</v>
      </c>
      <c r="Y1200" s="43">
        <f t="shared" si="624"/>
        <v>0.29615447154471553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5.69</v>
      </c>
      <c r="V1201" s="13">
        <f>IF(ISNA(VLOOKUP(LOWER(F1201)&amp;H1201,Prices!A:C,2,0)),0,VLOOKUP(LOWER(F1201)&amp;H1201,Prices!A:C,2,0))</f>
        <v>5.76</v>
      </c>
      <c r="W1201" s="13">
        <f t="shared" si="622"/>
        <v>6511.1800000000021</v>
      </c>
      <c r="X1201" s="13">
        <f t="shared" si="623"/>
        <v>-209.99999999999818</v>
      </c>
      <c r="Y1201" s="43">
        <f t="shared" si="624"/>
        <v>0.27334928631402194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23.92</v>
      </c>
      <c r="V1202" s="13">
        <f>IF(ISNA(VLOOKUP(LOWER(F1202)&amp;H1202,Prices!A:C,2,0)),0,VLOOKUP(LOWER(F1202)&amp;H1202,Prices!A:C,2,0))</f>
        <v>24.64</v>
      </c>
      <c r="W1202" s="13">
        <f t="shared" ref="W1202:W1248" si="629">IF(I1202="B",(V1202+T1202)*K1202,(V1202+T1202)*K1202)</f>
        <v>1104.4200000000003</v>
      </c>
      <c r="X1202" s="13">
        <f t="shared" ref="X1202:X1248" si="630">K1202*(V1202-U1202)</f>
        <v>-71.999999999999886</v>
      </c>
      <c r="Y1202" s="43">
        <f t="shared" ref="Y1202:Y1248" si="631">W1202/O1202</f>
        <v>0.30875594073245743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6.04</v>
      </c>
      <c r="V1203" s="13">
        <f>IF(ISNA(VLOOKUP(LOWER(F1203)&amp;H1203,Prices!A:C,2,0)),0,VLOOKUP(LOWER(F1203)&amp;H1203,Prices!A:C,2,0))</f>
        <v>6.22</v>
      </c>
      <c r="W1203" s="13">
        <f t="shared" si="629"/>
        <v>-1210.1204</v>
      </c>
      <c r="X1203" s="13">
        <f t="shared" si="630"/>
        <v>-179.99999999999972</v>
      </c>
      <c r="Y1203" s="43">
        <f t="shared" si="631"/>
        <v>-0.2410598406374502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9.0299999999999994</v>
      </c>
      <c r="V1204" s="13">
        <f>IF(ISNA(VLOOKUP(LOWER(F1204)&amp;H1204,Prices!A:C,2,0)),0,VLOOKUP(LOWER(F1204)&amp;H1204,Prices!A:C,2,0))</f>
        <v>9.0299999999999994</v>
      </c>
      <c r="W1204" s="13">
        <f t="shared" si="629"/>
        <v>-808.63045999999974</v>
      </c>
      <c r="X1204" s="13">
        <f t="shared" si="630"/>
        <v>0</v>
      </c>
      <c r="Y1204" s="43">
        <f t="shared" si="631"/>
        <v>-0.14641145391997099</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15.18</v>
      </c>
      <c r="V1205" s="13">
        <f>IF(ISNA(VLOOKUP(LOWER(F1205)&amp;H1205,Prices!A:C,2,0)),0,VLOOKUP(LOWER(F1205)&amp;H1205,Prices!A:C,2,0))</f>
        <v>15.09</v>
      </c>
      <c r="W1205" s="13">
        <f t="shared" si="629"/>
        <v>4217.9843999999985</v>
      </c>
      <c r="X1205" s="13">
        <f t="shared" si="630"/>
        <v>44.999999999999929</v>
      </c>
      <c r="Y1205" s="43">
        <f t="shared" si="631"/>
        <v>0.3580631918505941</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9.48</v>
      </c>
      <c r="V1206" s="13">
        <f>IF(ISNA(VLOOKUP(LOWER(F1206)&amp;H1206,Prices!A:C,2,0)),0,VLOOKUP(LOWER(F1206)&amp;H1206,Prices!A:C,2,0))</f>
        <v>9.42</v>
      </c>
      <c r="W1206" s="13">
        <f t="shared" si="629"/>
        <v>1209.3327999999995</v>
      </c>
      <c r="X1206" s="13">
        <f t="shared" si="630"/>
        <v>90.000000000000739</v>
      </c>
      <c r="Y1206" s="43">
        <f t="shared" si="631"/>
        <v>7.8732604166666637E-2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14.33</v>
      </c>
      <c r="V1207" s="13">
        <f>IF(ISNA(VLOOKUP(LOWER(F1207)&amp;H1207,Prices!A:C,2,0)),0,VLOOKUP(LOWER(F1207)&amp;H1207,Prices!A:C,2,0))</f>
        <v>14.12</v>
      </c>
      <c r="W1207" s="13">
        <f t="shared" si="629"/>
        <v>4286.2013999999981</v>
      </c>
      <c r="X1207" s="13">
        <f t="shared" si="630"/>
        <v>210.00000000000085</v>
      </c>
      <c r="Y1207" s="43">
        <f t="shared" si="631"/>
        <v>0.23256654367878449</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13.02</v>
      </c>
      <c r="V1208" s="13">
        <f>IF(ISNA(VLOOKUP(LOWER(F1208)&amp;H1208,Prices!A:C,2,0)),0,VLOOKUP(LOWER(F1208)&amp;H1208,Prices!A:C,2,0))</f>
        <v>13.35</v>
      </c>
      <c r="W1208" s="13">
        <f t="shared" si="629"/>
        <v>-174.87999999999994</v>
      </c>
      <c r="X1208" s="13">
        <f t="shared" si="630"/>
        <v>-495.00000000000011</v>
      </c>
      <c r="Y1208" s="43">
        <f t="shared" si="631"/>
        <v>-8.7989937106918211E-3</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28.66</v>
      </c>
      <c r="V1209" s="13">
        <f>IF(ISNA(VLOOKUP(LOWER(F1209)&amp;H1209,Prices!A:C,2,0)),0,VLOOKUP(LOWER(F1209)&amp;H1209,Prices!A:C,2,0))</f>
        <v>28.37</v>
      </c>
      <c r="W1209" s="13">
        <f t="shared" si="629"/>
        <v>-1982.6707999999996</v>
      </c>
      <c r="X1209" s="13">
        <f t="shared" si="630"/>
        <v>86.999999999999744</v>
      </c>
      <c r="Y1209" s="43">
        <f t="shared" si="631"/>
        <v>-0.30316067278287456</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44.98</v>
      </c>
      <c r="V1210" s="13">
        <f>IF(ISNA(VLOOKUP(LOWER(F1210)&amp;H1210,Prices!A:C,2,0)),0,VLOOKUP(LOWER(F1210)&amp;H1210,Prices!A:C,2,0))</f>
        <v>44.62</v>
      </c>
      <c r="W1210" s="13">
        <f t="shared" si="629"/>
        <v>-7381.4563799999987</v>
      </c>
      <c r="X1210" s="13">
        <f t="shared" si="630"/>
        <v>-323.99999999999949</v>
      </c>
      <c r="Y1210" s="43">
        <f t="shared" si="631"/>
        <v>-0.15530426434387423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4.8099999999999996</v>
      </c>
      <c r="V1211" s="13">
        <f>IF(ISNA(VLOOKUP(LOWER(F1211)&amp;H1211,Prices!A:C,2,0)),0,VLOOKUP(LOWER(F1211)&amp;H1211,Prices!A:C,2,0))</f>
        <v>4.8499999999999996</v>
      </c>
      <c r="W1211" s="13">
        <f t="shared" si="629"/>
        <v>-6596.9452200000014</v>
      </c>
      <c r="X1211" s="13">
        <f t="shared" si="630"/>
        <v>356.00000000000034</v>
      </c>
      <c r="Y1211" s="43">
        <f t="shared" si="631"/>
        <v>-0.13259924865831846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10.64</v>
      </c>
      <c r="V1213" s="13">
        <f>IF(ISNA(VLOOKUP(LOWER(F1213)&amp;H1213,Prices!A:C,2,0)),0,VLOOKUP(LOWER(F1213)&amp;H1213,Prices!A:C,2,0))</f>
        <v>10.89</v>
      </c>
      <c r="W1213" s="13">
        <f t="shared" si="629"/>
        <v>-20627.786400000001</v>
      </c>
      <c r="X1213" s="13">
        <f t="shared" si="630"/>
        <v>650</v>
      </c>
      <c r="Y1213" s="43">
        <f t="shared" si="631"/>
        <v>-0.42156025504782146</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4.8099999999999996</v>
      </c>
      <c r="V1214" s="13">
        <f>IF(ISNA(VLOOKUP(LOWER(F1214)&amp;H1214,Prices!A:C,2,0)),0,VLOOKUP(LOWER(F1214)&amp;H1214,Prices!A:C,2,0))</f>
        <v>4.8499999999999996</v>
      </c>
      <c r="W1214" s="13">
        <f t="shared" si="629"/>
        <v>-3045.4487999999992</v>
      </c>
      <c r="X1214" s="13">
        <f t="shared" si="630"/>
        <v>160.00000000000014</v>
      </c>
      <c r="Y1214" s="43">
        <f t="shared" si="631"/>
        <v>-0.13571518716577535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36.85</v>
      </c>
      <c r="V1215" s="13">
        <f>IF(ISNA(VLOOKUP(LOWER(F1215)&amp;H1215,Prices!A:C,2,0)),0,VLOOKUP(LOWER(F1215)&amp;H1215,Prices!A:C,2,0))</f>
        <v>37.090000000000003</v>
      </c>
      <c r="W1215" s="13">
        <f t="shared" si="629"/>
        <v>-11841.3344</v>
      </c>
      <c r="X1215" s="13">
        <f t="shared" si="630"/>
        <v>96.000000000000796</v>
      </c>
      <c r="Y1215" s="43">
        <f t="shared" si="631"/>
        <v>-0.44396124775044982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4.8099999999999996</v>
      </c>
      <c r="V1216" s="13">
        <f>IF(ISNA(VLOOKUP(LOWER(F1216)&amp;H1216,Prices!A:C,2,0)),0,VLOOKUP(LOWER(F1216)&amp;H1216,Prices!A:C,2,0))</f>
        <v>4.8499999999999996</v>
      </c>
      <c r="W1216" s="13">
        <f t="shared" si="629"/>
        <v>-3437.4954399999988</v>
      </c>
      <c r="X1216" s="13">
        <f t="shared" si="630"/>
        <v>176.00000000000017</v>
      </c>
      <c r="Y1216" s="43">
        <f t="shared" si="631"/>
        <v>-0.13876535766187625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36.85</v>
      </c>
      <c r="V1217" s="13">
        <f>IF(ISNA(VLOOKUP(LOWER(F1217)&amp;H1217,Prices!A:C,2,0)),0,VLOOKUP(LOWER(F1217)&amp;H1217,Prices!A:C,2,0))</f>
        <v>37.090000000000003</v>
      </c>
      <c r="W1217" s="13">
        <f t="shared" si="629"/>
        <v>-11809.327999999994</v>
      </c>
      <c r="X1217" s="13">
        <f t="shared" si="630"/>
        <v>96.000000000000796</v>
      </c>
      <c r="Y1217" s="43">
        <f t="shared" si="631"/>
        <v>-0.44329309309309295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36.85</v>
      </c>
      <c r="V1219" s="13">
        <f>IF(ISNA(VLOOKUP(LOWER(F1219)&amp;H1219,Prices!A:C,2,0)),0,VLOOKUP(LOWER(F1219)&amp;H1219,Prices!A:C,2,0))</f>
        <v>37.090000000000003</v>
      </c>
      <c r="W1219" s="13">
        <f t="shared" si="629"/>
        <v>-20813.3534</v>
      </c>
      <c r="X1219" s="13">
        <f t="shared" si="630"/>
        <v>168.00000000000139</v>
      </c>
      <c r="Y1219" s="43">
        <f t="shared" si="631"/>
        <v>-0.4450435862894776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44.98</v>
      </c>
      <c r="V1220" s="13">
        <f>IF(ISNA(VLOOKUP(LOWER(F1220)&amp;H1220,Prices!A:C,2,0)),0,VLOOKUP(LOWER(F1220)&amp;H1220,Prices!A:C,2,0))</f>
        <v>44.62</v>
      </c>
      <c r="W1220" s="13">
        <f t="shared" si="629"/>
        <v>-7651.5157800000061</v>
      </c>
      <c r="X1220" s="13">
        <f t="shared" si="630"/>
        <v>-323.99999999999949</v>
      </c>
      <c r="Y1220" s="43">
        <f t="shared" si="631"/>
        <v>-0.16007690077198281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4.8099999999999996</v>
      </c>
      <c r="V1221" s="13">
        <f>IF(ISNA(VLOOKUP(LOWER(F1221)&amp;H1221,Prices!A:C,2,0)),0,VLOOKUP(LOWER(F1221)&amp;H1221,Prices!A:C,2,0))</f>
        <v>4.8499999999999996</v>
      </c>
      <c r="W1221" s="13">
        <f t="shared" si="629"/>
        <v>-491.06792000000024</v>
      </c>
      <c r="X1221" s="13">
        <f t="shared" si="630"/>
        <v>24.000000000000021</v>
      </c>
      <c r="Y1221" s="43">
        <f t="shared" si="631"/>
        <v>-0.1446018610129565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11.43</v>
      </c>
      <c r="V1222" s="13">
        <f>IF(ISNA(VLOOKUP(LOWER(F1222)&amp;H1222,Prices!A:C,2,0)),0,VLOOKUP(LOWER(F1222)&amp;H1222,Prices!A:C,2,0))</f>
        <v>11.19</v>
      </c>
      <c r="W1222" s="13">
        <f t="shared" si="629"/>
        <v>-13866.709199999999</v>
      </c>
      <c r="X1222" s="13">
        <f t="shared" si="630"/>
        <v>-744.00000000000068</v>
      </c>
      <c r="Y1222" s="43">
        <f t="shared" si="631"/>
        <v>-0.28564061302681992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36.85</v>
      </c>
      <c r="V1223" s="13">
        <f>IF(ISNA(VLOOKUP(LOWER(F1223)&amp;H1223,Prices!A:C,2,0)),0,VLOOKUP(LOWER(F1223)&amp;H1223,Prices!A:C,2,0))</f>
        <v>37.090000000000003</v>
      </c>
      <c r="W1223" s="13">
        <f t="shared" si="629"/>
        <v>-20918.37439999999</v>
      </c>
      <c r="X1223" s="13">
        <f t="shared" si="630"/>
        <v>168.00000000000139</v>
      </c>
      <c r="Y1223" s="43">
        <f t="shared" si="631"/>
        <v>-0.44628721624850642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39.6</v>
      </c>
      <c r="V1224" s="13">
        <f>IF(ISNA(VLOOKUP(LOWER(F1224)&amp;H1224,Prices!A:C,2,0)),0,VLOOKUP(LOWER(F1224)&amp;H1224,Prices!A:C,2,0))</f>
        <v>39.729999999999997</v>
      </c>
      <c r="W1224" s="13">
        <f t="shared" si="629"/>
        <v>-3607.665119999996</v>
      </c>
      <c r="X1224" s="13">
        <f t="shared" si="630"/>
        <v>-77.999999999997272</v>
      </c>
      <c r="Y1224" s="43">
        <f t="shared" si="631"/>
        <v>-0.178103530805687</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66.69</v>
      </c>
      <c r="V1225" s="13">
        <f>IF(ISNA(VLOOKUP(LOWER(F1225)&amp;H1225,Prices!A:C,2,0)),0,VLOOKUP(LOWER(F1225)&amp;H1225,Prices!A:C,2,0))</f>
        <v>66.930000000000007</v>
      </c>
      <c r="W1225" s="13">
        <f t="shared" si="629"/>
        <v>-6497.9400000000069</v>
      </c>
      <c r="X1225" s="13">
        <f t="shared" si="630"/>
        <v>-120.00000000000455</v>
      </c>
      <c r="Y1225" s="43">
        <f t="shared" si="631"/>
        <v>-0.24066444444444471</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6.04</v>
      </c>
      <c r="V1226" s="13">
        <f>IF(ISNA(VLOOKUP(LOWER(F1226)&amp;H1226,Prices!A:C,2,0)),0,VLOOKUP(LOWER(F1226)&amp;H1226,Prices!A:C,2,0))</f>
        <v>6.22</v>
      </c>
      <c r="W1226" s="13">
        <f t="shared" si="629"/>
        <v>-1200.1305999999995</v>
      </c>
      <c r="X1226" s="13">
        <f t="shared" si="630"/>
        <v>-179.99999999999972</v>
      </c>
      <c r="Y1226" s="43">
        <f t="shared" si="631"/>
        <v>-0.23859455268389651</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9.0299999999999994</v>
      </c>
      <c r="V1227" s="13">
        <f>IF(ISNA(VLOOKUP(LOWER(F1227)&amp;H1227,Prices!A:C,2,0)),0,VLOOKUP(LOWER(F1227)&amp;H1227,Prices!A:C,2,0))</f>
        <v>9.0299999999999994</v>
      </c>
      <c r="W1227" s="13">
        <f t="shared" si="629"/>
        <v>-939.42592000000002</v>
      </c>
      <c r="X1227" s="13">
        <f t="shared" si="630"/>
        <v>0</v>
      </c>
      <c r="Y1227" s="43">
        <f t="shared" si="631"/>
        <v>-0.1492099618805591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22.36</v>
      </c>
      <c r="V1228" s="13">
        <f>IF(ISNA(VLOOKUP(LOWER(F1228)&amp;H1228,Prices!A:C,2,0)),0,VLOOKUP(LOWER(F1228)&amp;H1228,Prices!A:C,2,0))</f>
        <v>22.23</v>
      </c>
      <c r="W1228" s="13">
        <f t="shared" si="629"/>
        <v>-7220.0300000000016</v>
      </c>
      <c r="X1228" s="13">
        <f t="shared" si="630"/>
        <v>129.99999999999901</v>
      </c>
      <c r="Y1228" s="43">
        <f t="shared" si="631"/>
        <v>-0.48037458416500345</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9.0299999999999994</v>
      </c>
      <c r="V1230" s="13">
        <f>IF(ISNA(VLOOKUP(LOWER(F1230)&amp;H1230,Prices!A:C,2,0)),0,VLOOKUP(LOWER(F1230)&amp;H1230,Prices!A:C,2,0))</f>
        <v>9.0299999999999994</v>
      </c>
      <c r="W1230" s="13">
        <f t="shared" si="629"/>
        <v>-1757.0460999999984</v>
      </c>
      <c r="X1230" s="13">
        <f t="shared" si="630"/>
        <v>0</v>
      </c>
      <c r="Y1230" s="43">
        <f t="shared" si="631"/>
        <v>-0.148839144430326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66.38</v>
      </c>
      <c r="V1231" s="13">
        <f>IF(ISNA(VLOOKUP(LOWER(F1231)&amp;H1231,Prices!A:C,2,0)),0,VLOOKUP(LOWER(F1231)&amp;H1231,Prices!A:C,2,0))</f>
        <v>65.8</v>
      </c>
      <c r="W1231" s="13">
        <f t="shared" si="629"/>
        <v>-7655.3349999999973</v>
      </c>
      <c r="X1231" s="13">
        <f t="shared" si="630"/>
        <v>289.99999999999915</v>
      </c>
      <c r="Y1231" s="43">
        <f t="shared" si="631"/>
        <v>-0.30288170128585551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14.46</v>
      </c>
      <c r="V1232" s="13">
        <f>IF(ISNA(VLOOKUP(LOWER(F1232)&amp;H1232,Prices!A:C,2,0)),0,VLOOKUP(LOWER(F1232)&amp;H1232,Prices!A:C,2,0))</f>
        <v>14.19</v>
      </c>
      <c r="W1232" s="13">
        <f t="shared" si="629"/>
        <v>454.2438400000002</v>
      </c>
      <c r="X1232" s="13">
        <f t="shared" si="630"/>
        <v>486.00000000000244</v>
      </c>
      <c r="Y1232" s="43">
        <f t="shared" si="631"/>
        <v>1.7452122329798685E-2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13.02</v>
      </c>
      <c r="V1233" s="13">
        <f>IF(ISNA(VLOOKUP(LOWER(F1233)&amp;H1233,Prices!A:C,2,0)),0,VLOOKUP(LOWER(F1233)&amp;H1233,Prices!A:C,2,0))</f>
        <v>13.35</v>
      </c>
      <c r="W1233" s="13">
        <f t="shared" si="629"/>
        <v>64.880000000001388</v>
      </c>
      <c r="X1233" s="13">
        <f t="shared" si="630"/>
        <v>-495.00000000000011</v>
      </c>
      <c r="Y1233" s="43">
        <f t="shared" si="631"/>
        <v>3.225453641561093E-3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66.69</v>
      </c>
      <c r="V1234" s="13">
        <f>IF(ISNA(VLOOKUP(LOWER(F1234)&amp;H1234,Prices!A:C,2,0)),0,VLOOKUP(LOWER(F1234)&amp;H1234,Prices!A:C,2,0))</f>
        <v>66.930000000000007</v>
      </c>
      <c r="W1234" s="13">
        <f t="shared" si="629"/>
        <v>-6497.9400000000069</v>
      </c>
      <c r="X1234" s="13">
        <f t="shared" si="630"/>
        <v>-120.00000000000455</v>
      </c>
      <c r="Y1234" s="43">
        <f t="shared" si="631"/>
        <v>-0.24066444444444471</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10.1</v>
      </c>
      <c r="V1235" s="13">
        <f>IF(ISNA(VLOOKUP(LOWER(F1235)&amp;H1235,Prices!A:C,2,0)),0,VLOOKUP(LOWER(F1235)&amp;H1235,Prices!A:C,2,0))</f>
        <v>9.9700000000000006</v>
      </c>
      <c r="W1235" s="13">
        <f t="shared" si="629"/>
        <v>1733.2900000000002</v>
      </c>
      <c r="X1235" s="13">
        <f t="shared" si="630"/>
        <v>194.99999999999852</v>
      </c>
      <c r="Y1235" s="43">
        <f t="shared" si="631"/>
        <v>0.10372770795930582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5.69</v>
      </c>
      <c r="V1236" s="13">
        <f>IF(ISNA(VLOOKUP(LOWER(F1236)&amp;H1236,Prices!A:C,2,0)),0,VLOOKUP(LOWER(F1236)&amp;H1236,Prices!A:C,2,0))</f>
        <v>5.76</v>
      </c>
      <c r="W1236" s="13">
        <f t="shared" si="629"/>
        <v>2638.7000000000003</v>
      </c>
      <c r="X1236" s="13">
        <f t="shared" si="630"/>
        <v>-104.99999999999909</v>
      </c>
      <c r="Y1236" s="43">
        <f t="shared" si="631"/>
        <v>0.23361664453297923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9.0299999999999994</v>
      </c>
      <c r="V1237" s="13">
        <f>IF(ISNA(VLOOKUP(LOWER(F1237)&amp;H1237,Prices!A:C,2,0)),0,VLOOKUP(LOWER(F1237)&amp;H1237,Prices!A:C,2,0))</f>
        <v>9.0299999999999994</v>
      </c>
      <c r="W1237" s="13">
        <f t="shared" si="629"/>
        <v>-3628.9597999999978</v>
      </c>
      <c r="X1237" s="13">
        <f t="shared" si="630"/>
        <v>0</v>
      </c>
      <c r="Y1237" s="43">
        <f t="shared" si="631"/>
        <v>-0.15448956151553844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14.46</v>
      </c>
      <c r="V1238" s="13">
        <f>IF(ISNA(VLOOKUP(LOWER(F1238)&amp;H1238,Prices!A:C,2,0)),0,VLOOKUP(LOWER(F1238)&amp;H1238,Prices!A:C,2,0))</f>
        <v>14.19</v>
      </c>
      <c r="W1238" s="13">
        <f t="shared" si="629"/>
        <v>392.85590000000423</v>
      </c>
      <c r="X1238" s="13">
        <f t="shared" si="630"/>
        <v>405.00000000000205</v>
      </c>
      <c r="Y1238" s="43">
        <f t="shared" si="631"/>
        <v>1.8099788067265803E-2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12.27</v>
      </c>
      <c r="V1240" s="13">
        <f>IF(ISNA(VLOOKUP(LOWER(F1240)&amp;H1240,Prices!A:C,2,0)),0,VLOOKUP(LOWER(F1240)&amp;H1240,Prices!A:C,2,0))</f>
        <v>12.2</v>
      </c>
      <c r="W1240" s="13">
        <f t="shared" si="629"/>
        <v>10292.0296</v>
      </c>
      <c r="X1240" s="13">
        <f t="shared" si="630"/>
        <v>70.000000000000284</v>
      </c>
      <c r="Y1240" s="43">
        <f t="shared" si="631"/>
        <v>0.45701730017761988</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66.38</v>
      </c>
      <c r="V1241" s="13">
        <f>IF(ISNA(VLOOKUP(LOWER(F1241)&amp;H1241,Prices!A:C,2,0)),0,VLOOKUP(LOWER(F1241)&amp;H1241,Prices!A:C,2,0))</f>
        <v>65.8</v>
      </c>
      <c r="W1241" s="13">
        <f t="shared" si="629"/>
        <v>-8264.6699999999946</v>
      </c>
      <c r="X1241" s="13">
        <f t="shared" si="630"/>
        <v>289.99999999999915</v>
      </c>
      <c r="Y1241" s="43">
        <f t="shared" si="631"/>
        <v>-0.3350768295155076</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41.45</v>
      </c>
      <c r="V1242" s="13">
        <f>IF(ISNA(VLOOKUP(LOWER(F1242)&amp;H1242,Prices!A:C,2,0)),0,VLOOKUP(LOWER(F1242)&amp;H1242,Prices!A:C,2,0))</f>
        <v>41.99</v>
      </c>
      <c r="W1242" s="13">
        <f t="shared" si="629"/>
        <v>-645.38000000000295</v>
      </c>
      <c r="X1242" s="13">
        <f t="shared" si="630"/>
        <v>-269.99999999999955</v>
      </c>
      <c r="Y1242" s="43">
        <f t="shared" si="631"/>
        <v>-3.1675092024540025E-2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26.07</v>
      </c>
      <c r="V1243" s="13">
        <f>IF(ISNA(VLOOKUP(LOWER(F1243)&amp;H1243,Prices!A:C,2,0)),0,VLOOKUP(LOWER(F1243)&amp;H1243,Prices!A:C,2,0))</f>
        <v>25.11</v>
      </c>
      <c r="W1243" s="13">
        <f t="shared" si="629"/>
        <v>-4645.899800000002</v>
      </c>
      <c r="X1243" s="13">
        <f t="shared" si="630"/>
        <v>960.00000000000091</v>
      </c>
      <c r="Y1243" s="43">
        <f t="shared" si="631"/>
        <v>-0.22673986334797472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12.84</v>
      </c>
      <c r="V1244" s="13">
        <f>IF(ISNA(VLOOKUP(LOWER(F1244)&amp;H1244,Prices!A:C,2,0)),0,VLOOKUP(LOWER(F1244)&amp;H1244,Prices!A:C,2,0))</f>
        <v>12.89</v>
      </c>
      <c r="W1244" s="13">
        <f t="shared" si="629"/>
        <v>5562.3439999999955</v>
      </c>
      <c r="X1244" s="13">
        <f t="shared" si="630"/>
        <v>-100.00000000000142</v>
      </c>
      <c r="Y1244" s="43">
        <f t="shared" si="631"/>
        <v>0.17725761631612477</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10.1</v>
      </c>
      <c r="V1245" s="13">
        <f>IF(ISNA(VLOOKUP(LOWER(F1245)&amp;H1245,Prices!A:C,2,0)),0,VLOOKUP(LOWER(F1245)&amp;H1245,Prices!A:C,2,0))</f>
        <v>9.9700000000000006</v>
      </c>
      <c r="W1245" s="13">
        <f t="shared" si="629"/>
        <v>1808.209999999998</v>
      </c>
      <c r="X1245" s="13">
        <f t="shared" si="630"/>
        <v>194.99999999999852</v>
      </c>
      <c r="Y1245" s="43">
        <f t="shared" si="631"/>
        <v>0.1077277330950252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26.07</v>
      </c>
      <c r="V1246" s="13">
        <f>IF(ISNA(VLOOKUP(LOWER(F1246)&amp;H1246,Prices!A:C,2,0)),0,VLOOKUP(LOWER(F1246)&amp;H1246,Prices!A:C,2,0))</f>
        <v>25.11</v>
      </c>
      <c r="W1246" s="13">
        <f t="shared" si="629"/>
        <v>-4695.8488000000007</v>
      </c>
      <c r="X1246" s="13">
        <f t="shared" si="630"/>
        <v>960.00000000000091</v>
      </c>
      <c r="Y1246" s="43">
        <f t="shared" si="631"/>
        <v>-0.22973819960861061</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14.46</v>
      </c>
      <c r="V1247" s="13">
        <f>IF(ISNA(VLOOKUP(LOWER(F1247)&amp;H1247,Prices!A:C,2,0)),0,VLOOKUP(LOWER(F1247)&amp;H1247,Prices!A:C,2,0))</f>
        <v>14.19</v>
      </c>
      <c r="W1247" s="13">
        <f t="shared" si="629"/>
        <v>839.51312000000371</v>
      </c>
      <c r="X1247" s="13">
        <f t="shared" si="630"/>
        <v>864.00000000000432</v>
      </c>
      <c r="Y1247" s="43">
        <f t="shared" si="631"/>
        <v>1.8130466482377414E-2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10.59</v>
      </c>
      <c r="V1248" s="13">
        <f>IF(ISNA(VLOOKUP(LOWER(F1248)&amp;H1248,Prices!A:C,2,0)),0,VLOOKUP(LOWER(F1248)&amp;H1248,Prices!A:C,2,0))</f>
        <v>10.73</v>
      </c>
      <c r="W1248" s="13">
        <f t="shared" si="629"/>
        <v>617.59567999999945</v>
      </c>
      <c r="X1248" s="13">
        <f t="shared" si="630"/>
        <v>-112.00000000000045</v>
      </c>
      <c r="Y1248" s="43">
        <f t="shared" si="631"/>
        <v>6.7013420138888835E-2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44.98</v>
      </c>
      <c r="V1249" s="13">
        <f>IF(ISNA(VLOOKUP(LOWER(F1249)&amp;H1249,Prices!A:C,2,0)),0,VLOOKUP(LOWER(F1249)&amp;H1249,Prices!A:C,2,0))</f>
        <v>44.62</v>
      </c>
      <c r="W1249" s="13">
        <f t="shared" ref="W1249" si="640">IF(I1249="B",(V1249+T1249)*K1249,(V1249+T1249)*K1249)</f>
        <v>6171.4050800000095</v>
      </c>
      <c r="X1249" s="13">
        <f t="shared" ref="X1249" si="641">K1249*(V1249-U1249)</f>
        <v>323.99999999999949</v>
      </c>
      <c r="Y1249" s="43">
        <f t="shared" ref="Y1249" si="642">W1249/O1249</f>
        <v>0.13304456258353833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4.8099999999999996</v>
      </c>
      <c r="V1250" s="13">
        <f>IF(ISNA(VLOOKUP(LOWER(F1250)&amp;H1250,Prices!A:C,2,0)),0,VLOOKUP(LOWER(F1250)&amp;H1250,Prices!A:C,2,0))</f>
        <v>4.8499999999999996</v>
      </c>
      <c r="W1250" s="13">
        <f t="shared" ref="W1250:W1273" si="647">IF(I1250="B",(V1250+T1250)*K1250,(V1250+T1250)*K1250)</f>
        <v>3366.2670000000007</v>
      </c>
      <c r="X1250" s="13">
        <f t="shared" ref="X1250:X1273" si="648">K1250*(V1250-U1250)</f>
        <v>-200.00000000000017</v>
      </c>
      <c r="Y1250" s="43">
        <f t="shared" ref="Y1250:Y1273" si="649">W1250/O1250</f>
        <v>0.12174564195298375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38.35</v>
      </c>
      <c r="V1251" s="13">
        <f>IF(ISNA(VLOOKUP(LOWER(F1251)&amp;H1251,Prices!A:C,2,0)),0,VLOOKUP(LOWER(F1251)&amp;H1251,Prices!A:C,2,0))</f>
        <v>37.85</v>
      </c>
      <c r="W1251" s="13">
        <f t="shared" si="647"/>
        <v>18278.031600000006</v>
      </c>
      <c r="X1251" s="13">
        <f t="shared" si="648"/>
        <v>-900</v>
      </c>
      <c r="Y1251" s="43">
        <f t="shared" si="649"/>
        <v>0.36671946551101492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20.13</v>
      </c>
      <c r="V1252" s="13">
        <f>IF(ISNA(VLOOKUP(LOWER(F1252)&amp;H1252,Prices!A:C,2,0)),0,VLOOKUP(LOWER(F1252)&amp;H1252,Prices!A:C,2,0))</f>
        <v>20.21</v>
      </c>
      <c r="W1252" s="13">
        <f t="shared" si="647"/>
        <v>5525.1936000000032</v>
      </c>
      <c r="X1252" s="13">
        <f t="shared" si="648"/>
        <v>216.000000000005</v>
      </c>
      <c r="Y1252" s="43">
        <f t="shared" si="649"/>
        <v>0.11268546255506615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20.13</v>
      </c>
      <c r="V1253" s="13">
        <f>IF(ISNA(VLOOKUP(LOWER(F1253)&amp;H1253,Prices!A:C,2,0)),0,VLOOKUP(LOWER(F1253)&amp;H1253,Prices!A:C,2,0))</f>
        <v>20.21</v>
      </c>
      <c r="W1253" s="13">
        <f t="shared" si="647"/>
        <v>5633.2152000000033</v>
      </c>
      <c r="X1253" s="13">
        <f t="shared" si="648"/>
        <v>216.000000000005</v>
      </c>
      <c r="Y1253" s="43">
        <f t="shared" si="649"/>
        <v>0.11514216335540846</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4.8099999999999996</v>
      </c>
      <c r="V1255" s="13">
        <f>IF(ISNA(VLOOKUP(LOWER(F1255)&amp;H1255,Prices!A:C,2,0)),0,VLOOKUP(LOWER(F1255)&amp;H1255,Prices!A:C,2,0))</f>
        <v>4.8499999999999996</v>
      </c>
      <c r="W1255" s="13">
        <f t="shared" si="647"/>
        <v>3347.8778800000005</v>
      </c>
      <c r="X1255" s="13">
        <f t="shared" si="648"/>
        <v>-196.00000000000017</v>
      </c>
      <c r="Y1255" s="43">
        <f t="shared" si="649"/>
        <v>0.12332858911073456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10.64</v>
      </c>
      <c r="V1256" s="13">
        <f>IF(ISNA(VLOOKUP(LOWER(F1256)&amp;H1256,Prices!A:C,2,0)),0,VLOOKUP(LOWER(F1256)&amp;H1256,Prices!A:C,2,0))</f>
        <v>10.89</v>
      </c>
      <c r="W1256" s="13">
        <f t="shared" si="647"/>
        <v>4621.8300000000008</v>
      </c>
      <c r="X1256" s="13">
        <f t="shared" si="648"/>
        <v>-150</v>
      </c>
      <c r="Y1256" s="43">
        <f t="shared" si="649"/>
        <v>0.41369763694951672</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44.98</v>
      </c>
      <c r="V1257" s="13">
        <f>IF(ISNA(VLOOKUP(LOWER(F1257)&amp;H1257,Prices!A:C,2,0)),0,VLOOKUP(LOWER(F1257)&amp;H1257,Prices!A:C,2,0))</f>
        <v>44.62</v>
      </c>
      <c r="W1257" s="13">
        <f t="shared" si="647"/>
        <v>2729.987920000005</v>
      </c>
      <c r="X1257" s="13">
        <f t="shared" si="648"/>
        <v>143.99999999999977</v>
      </c>
      <c r="Y1257" s="43">
        <f t="shared" si="649"/>
        <v>0.132497957678121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11.43</v>
      </c>
      <c r="V1258" s="13">
        <f>IF(ISNA(VLOOKUP(LOWER(F1258)&amp;H1258,Prices!A:C,2,0)),0,VLOOKUP(LOWER(F1258)&amp;H1258,Prices!A:C,2,0))</f>
        <v>11.19</v>
      </c>
      <c r="W1258" s="13">
        <f t="shared" si="647"/>
        <v>425.45000000000005</v>
      </c>
      <c r="X1258" s="13">
        <f t="shared" si="648"/>
        <v>24.000000000000021</v>
      </c>
      <c r="Y1258" s="43">
        <f t="shared" si="649"/>
        <v>0.27430689877498393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38.35</v>
      </c>
      <c r="V1259" s="13">
        <f>IF(ISNA(VLOOKUP(LOWER(F1259)&amp;H1259,Prices!A:C,2,0)),0,VLOOKUP(LOWER(F1259)&amp;H1259,Prices!A:C,2,0))</f>
        <v>37.85</v>
      </c>
      <c r="W1259" s="13">
        <f t="shared" si="647"/>
        <v>18386.053200000006</v>
      </c>
      <c r="X1259" s="13">
        <f t="shared" si="648"/>
        <v>-900</v>
      </c>
      <c r="Y1259" s="43">
        <f t="shared" si="649"/>
        <v>0.36968780311255894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12.27</v>
      </c>
      <c r="V1260" s="13">
        <f>IF(ISNA(VLOOKUP(LOWER(F1260)&amp;H1260,Prices!A:C,2,0)),0,VLOOKUP(LOWER(F1260)&amp;H1260,Prices!A:C,2,0))</f>
        <v>12.2</v>
      </c>
      <c r="W1260" s="13">
        <f t="shared" si="647"/>
        <v>4793.8718000000017</v>
      </c>
      <c r="X1260" s="13">
        <f t="shared" si="648"/>
        <v>35.000000000000142</v>
      </c>
      <c r="Y1260" s="43">
        <f t="shared" si="649"/>
        <v>0.43940163153070594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44.98</v>
      </c>
      <c r="V1261" s="13">
        <f>IF(ISNA(VLOOKUP(LOWER(F1261)&amp;H1261,Prices!A:C,2,0)),0,VLOOKUP(LOWER(F1261)&amp;H1261,Prices!A:C,2,0))</f>
        <v>44.62</v>
      </c>
      <c r="W1261" s="13">
        <f t="shared" si="647"/>
        <v>3378.621599999999</v>
      </c>
      <c r="X1261" s="13">
        <f t="shared" si="648"/>
        <v>179.99999999999972</v>
      </c>
      <c r="Y1261" s="43">
        <f t="shared" si="649"/>
        <v>0.1313616485225505</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11.43</v>
      </c>
      <c r="V1262" s="13">
        <f>IF(ISNA(VLOOKUP(LOWER(F1262)&amp;H1262,Prices!A:C,2,0)),0,VLOOKUP(LOWER(F1262)&amp;H1262,Prices!A:C,2,0))</f>
        <v>11.19</v>
      </c>
      <c r="W1262" s="13">
        <f t="shared" si="647"/>
        <v>3366.6600000000003</v>
      </c>
      <c r="X1262" s="13">
        <f t="shared" si="648"/>
        <v>192.00000000000017</v>
      </c>
      <c r="Y1262" s="43">
        <f t="shared" si="649"/>
        <v>0.27291342412451364</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4.59</v>
      </c>
      <c r="V1264" s="13">
        <f>IF(ISNA(VLOOKUP(LOWER(F1264)&amp;H1264,Prices!A:C,2,0)),0,VLOOKUP(LOWER(F1264)&amp;H1264,Prices!A:C,2,0))</f>
        <v>4.57</v>
      </c>
      <c r="W1264" s="13">
        <f t="shared" si="647"/>
        <v>301.77999999999992</v>
      </c>
      <c r="X1264" s="13">
        <f t="shared" si="648"/>
        <v>3.9999999999999147</v>
      </c>
      <c r="Y1264" s="43">
        <f t="shared" si="649"/>
        <v>0.24695581014729945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10.64</v>
      </c>
      <c r="V1265" s="13">
        <f>IF(ISNA(VLOOKUP(LOWER(F1265)&amp;H1265,Prices!A:C,2,0)),0,VLOOKUP(LOWER(F1265)&amp;H1265,Prices!A:C,2,0))</f>
        <v>10.89</v>
      </c>
      <c r="W1265" s="13">
        <f t="shared" si="647"/>
        <v>5351.0100000000011</v>
      </c>
      <c r="X1265" s="13">
        <f t="shared" si="648"/>
        <v>-175</v>
      </c>
      <c r="Y1265" s="43">
        <f t="shared" si="649"/>
        <v>0.41186961206896561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36.85</v>
      </c>
      <c r="V1266" s="13">
        <f>IF(ISNA(VLOOKUP(LOWER(F1266)&amp;H1266,Prices!A:C,2,0)),0,VLOOKUP(LOWER(F1266)&amp;H1266,Prices!A:C,2,0))</f>
        <v>37.090000000000003</v>
      </c>
      <c r="W1266" s="13">
        <f t="shared" si="647"/>
        <v>34823.147399999987</v>
      </c>
      <c r="X1266" s="13">
        <f t="shared" si="648"/>
        <v>-264.00000000000216</v>
      </c>
      <c r="Y1266" s="43">
        <f t="shared" si="649"/>
        <v>0.45993617212367738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42.41</v>
      </c>
      <c r="V1267" s="13">
        <f>IF(ISNA(VLOOKUP(LOWER(F1267)&amp;H1267,Prices!A:C,2,0)),0,VLOOKUP(LOWER(F1267)&amp;H1267,Prices!A:C,2,0))</f>
        <v>42.47</v>
      </c>
      <c r="W1267" s="13">
        <f t="shared" si="647"/>
        <v>-8398.2544200000066</v>
      </c>
      <c r="X1267" s="13">
        <f t="shared" si="648"/>
        <v>54.000000000002046</v>
      </c>
      <c r="Y1267" s="43">
        <f t="shared" si="649"/>
        <v>-0.18017752075690302</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4.59</v>
      </c>
      <c r="V1268" s="13">
        <f>IF(ISNA(VLOOKUP(LOWER(F1268)&amp;H1268,Prices!A:C,2,0)),0,VLOOKUP(LOWER(F1268)&amp;H1268,Prices!A:C,2,0))</f>
        <v>4.57</v>
      </c>
      <c r="W1268" s="13">
        <f t="shared" si="647"/>
        <v>491.13000000000034</v>
      </c>
      <c r="X1268" s="13">
        <f t="shared" si="648"/>
        <v>5.9999999999998721</v>
      </c>
      <c r="Y1268" s="43">
        <f t="shared" si="649"/>
        <v>0.26277688603531313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12.27</v>
      </c>
      <c r="V1269" s="13">
        <f>IF(ISNA(VLOOKUP(LOWER(F1269)&amp;H1269,Prices!A:C,2,0)),0,VLOOKUP(LOWER(F1269)&amp;H1269,Prices!A:C,2,0))</f>
        <v>12.2</v>
      </c>
      <c r="W1269" s="13">
        <f t="shared" si="647"/>
        <v>4998.6577000000007</v>
      </c>
      <c r="X1269" s="13">
        <f t="shared" si="648"/>
        <v>35.000000000000142</v>
      </c>
      <c r="Y1269" s="43">
        <f t="shared" si="649"/>
        <v>0.4497217903733694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10.64</v>
      </c>
      <c r="V1270" s="13">
        <f>IF(ISNA(VLOOKUP(LOWER(F1270)&amp;H1270,Prices!A:C,2,0)),0,VLOOKUP(LOWER(F1270)&amp;H1270,Prices!A:C,2,0))</f>
        <v>10.89</v>
      </c>
      <c r="W1270" s="13">
        <f t="shared" si="647"/>
        <v>10201.610000000002</v>
      </c>
      <c r="X1270" s="13">
        <f t="shared" si="648"/>
        <v>-325</v>
      </c>
      <c r="Y1270" s="43">
        <f t="shared" si="649"/>
        <v>0.41830449401344927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4.8099999999999996</v>
      </c>
      <c r="V1271" s="13">
        <f>IF(ISNA(VLOOKUP(LOWER(F1271)&amp;H1271,Prices!A:C,2,0)),0,VLOOKUP(LOWER(F1271)&amp;H1271,Prices!A:C,2,0))</f>
        <v>4.8499999999999996</v>
      </c>
      <c r="W1271" s="13">
        <f t="shared" si="647"/>
        <v>5226.2224000000042</v>
      </c>
      <c r="X1271" s="13">
        <f t="shared" si="648"/>
        <v>-320.00000000000028</v>
      </c>
      <c r="Y1271" s="43">
        <f t="shared" si="649"/>
        <v>0.11856221415607995</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36.85</v>
      </c>
      <c r="V1273" s="13">
        <f>IF(ISNA(VLOOKUP(LOWER(F1273)&amp;H1273,Prices!A:C,2,0)),0,VLOOKUP(LOWER(F1273)&amp;H1273,Prices!A:C,2,0))</f>
        <v>37.090000000000003</v>
      </c>
      <c r="W1273" s="13">
        <f t="shared" si="647"/>
        <v>33614.599399999999</v>
      </c>
      <c r="X1273" s="13">
        <f t="shared" si="648"/>
        <v>-264.00000000000216</v>
      </c>
      <c r="Y1273" s="43">
        <f t="shared" si="649"/>
        <v>0.45118450800638898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38.35</v>
      </c>
      <c r="V1274" s="13">
        <f>IF(ISNA(VLOOKUP(LOWER(F1274)&amp;H1274,Prices!A:C,2,0)),0,VLOOKUP(LOWER(F1274)&amp;H1274,Prices!A:C,2,0))</f>
        <v>37.85</v>
      </c>
      <c r="W1274" s="13">
        <f t="shared" ref="W1274:W1287" si="654">IF(I1274="B",(V1274+T1274)*K1274,(V1274+T1274)*K1274)</f>
        <v>-8733.4324000000033</v>
      </c>
      <c r="X1274" s="13">
        <f t="shared" ref="X1274:X1287" si="655">K1274*(V1274-U1274)</f>
        <v>450</v>
      </c>
      <c r="Y1274" s="43">
        <f t="shared" ref="Y1274:Y1287" si="656">W1274/O1274</f>
        <v>-0.34435109218515902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42.41</v>
      </c>
      <c r="V1275" s="13">
        <f>IF(ISNA(VLOOKUP(LOWER(F1275)&amp;H1275,Prices!A:C,2,0)),0,VLOOKUP(LOWER(F1275)&amp;H1275,Prices!A:C,2,0))</f>
        <v>42.47</v>
      </c>
      <c r="W1275" s="13">
        <f t="shared" si="654"/>
        <v>3238.3449599999976</v>
      </c>
      <c r="X1275" s="13">
        <f t="shared" si="655"/>
        <v>-24.000000000000909</v>
      </c>
      <c r="Y1275" s="43">
        <f t="shared" si="656"/>
        <v>0.15990247679241545</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11.43</v>
      </c>
      <c r="V1276" s="13">
        <f>IF(ISNA(VLOOKUP(LOWER(F1276)&amp;H1276,Prices!A:C,2,0)),0,VLOOKUP(LOWER(F1276)&amp;H1276,Prices!A:C,2,0))</f>
        <v>11.19</v>
      </c>
      <c r="W1276" s="13">
        <f t="shared" si="654"/>
        <v>4455.2099999999991</v>
      </c>
      <c r="X1276" s="13">
        <f t="shared" si="655"/>
        <v>264.00000000000023</v>
      </c>
      <c r="Y1276" s="43">
        <f t="shared" si="656"/>
        <v>0.26541224830215648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20.13</v>
      </c>
      <c r="V1277" s="13">
        <f>IF(ISNA(VLOOKUP(LOWER(F1277)&amp;H1277,Prices!A:C,2,0)),0,VLOOKUP(LOWER(F1277)&amp;H1277,Prices!A:C,2,0))</f>
        <v>20.21</v>
      </c>
      <c r="W1277" s="13">
        <f t="shared" si="654"/>
        <v>-2342.9600000000014</v>
      </c>
      <c r="X1277" s="13">
        <f t="shared" si="655"/>
        <v>-104.0000000000024</v>
      </c>
      <c r="Y1277" s="43">
        <f t="shared" si="656"/>
        <v>-9.7790391919529249E-2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20.13</v>
      </c>
      <c r="V1278" s="13">
        <f>IF(ISNA(VLOOKUP(LOWER(F1278)&amp;H1278,Prices!A:C,2,0)),0,VLOOKUP(LOWER(F1278)&amp;H1278,Prices!A:C,2,0))</f>
        <v>20.21</v>
      </c>
      <c r="W1278" s="13">
        <f t="shared" si="654"/>
        <v>-2564.9120000000016</v>
      </c>
      <c r="X1278" s="13">
        <f t="shared" si="655"/>
        <v>-112.00000000000259</v>
      </c>
      <c r="Y1278" s="43">
        <f t="shared" si="656"/>
        <v>-9.9569565217391381E-2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42.41</v>
      </c>
      <c r="V1279" s="13">
        <f>IF(ISNA(VLOOKUP(LOWER(F1279)&amp;H1279,Prices!A:C,2,0)),0,VLOOKUP(LOWER(F1279)&amp;H1279,Prices!A:C,2,0))</f>
        <v>42.47</v>
      </c>
      <c r="W1279" s="13">
        <f t="shared" si="654"/>
        <v>3984.1949999999997</v>
      </c>
      <c r="X1279" s="13">
        <f t="shared" si="655"/>
        <v>-30.000000000001137</v>
      </c>
      <c r="Y1279" s="43">
        <f t="shared" si="656"/>
        <v>0.15778990099009899</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11.43</v>
      </c>
      <c r="V1280" s="13">
        <f>IF(ISNA(VLOOKUP(LOWER(F1280)&amp;H1280,Prices!A:C,2,0)),0,VLOOKUP(LOWER(F1280)&amp;H1280,Prices!A:C,2,0))</f>
        <v>11.19</v>
      </c>
      <c r="W1280" s="13">
        <f t="shared" si="654"/>
        <v>4444.2200000000021</v>
      </c>
      <c r="X1280" s="13">
        <f t="shared" si="655"/>
        <v>264.00000000000023</v>
      </c>
      <c r="Y1280" s="43">
        <f t="shared" si="656"/>
        <v>0.26493114754098374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38.35</v>
      </c>
      <c r="V1281" s="13">
        <f>IF(ISNA(VLOOKUP(LOWER(F1281)&amp;H1281,Prices!A:C,2,0)),0,VLOOKUP(LOWER(F1281)&amp;H1281,Prices!A:C,2,0))</f>
        <v>37.85</v>
      </c>
      <c r="W1281" s="13">
        <f t="shared" si="654"/>
        <v>-8724.4441999999999</v>
      </c>
      <c r="X1281" s="13">
        <f t="shared" si="655"/>
        <v>450</v>
      </c>
      <c r="Y1281" s="43">
        <f t="shared" si="656"/>
        <v>-0.34387466792794924</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20.13</v>
      </c>
      <c r="V1282" s="13">
        <f>IF(ISNA(VLOOKUP(LOWER(F1282)&amp;H1282,Prices!A:C,2,0)),0,VLOOKUP(LOWER(F1282)&amp;H1282,Prices!A:C,2,0))</f>
        <v>20.21</v>
      </c>
      <c r="W1282" s="13">
        <f t="shared" si="654"/>
        <v>5201.1288000000004</v>
      </c>
      <c r="X1282" s="13">
        <f t="shared" si="655"/>
        <v>216.000000000005</v>
      </c>
      <c r="Y1282" s="43">
        <f t="shared" si="656"/>
        <v>0.10537986870897156</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8.84</v>
      </c>
      <c r="V1283" s="13">
        <f>IF(ISNA(VLOOKUP(LOWER(F1283)&amp;H1283,Prices!A:C,2,0)),0,VLOOKUP(LOWER(F1283)&amp;H1283,Prices!A:C,2,0))</f>
        <v>8.9</v>
      </c>
      <c r="W1283" s="13">
        <f t="shared" si="654"/>
        <v>438.12160000000233</v>
      </c>
      <c r="X1283" s="13">
        <f t="shared" si="655"/>
        <v>336.00000000000279</v>
      </c>
      <c r="Y1283" s="43">
        <f t="shared" si="656"/>
        <v>8.8702947845805454E-3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8.84</v>
      </c>
      <c r="V1284" s="13">
        <f>IF(ISNA(VLOOKUP(LOWER(F1284)&amp;H1284,Prices!A:C,2,0)),0,VLOOKUP(LOWER(F1284)&amp;H1284,Prices!A:C,2,0))</f>
        <v>8.9</v>
      </c>
      <c r="W1284" s="13">
        <f t="shared" si="654"/>
        <v>382.11040000000196</v>
      </c>
      <c r="X1284" s="13">
        <f t="shared" si="655"/>
        <v>336.00000000000279</v>
      </c>
      <c r="Y1284" s="43">
        <f t="shared" si="656"/>
        <v>7.7275198187995867E-3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8.84</v>
      </c>
      <c r="V1285" s="13">
        <f>IF(ISNA(VLOOKUP(LOWER(F1285)&amp;H1285,Prices!A:C,2,0)),0,VLOOKUP(LOWER(F1285)&amp;H1285,Prices!A:C,2,0))</f>
        <v>8.9</v>
      </c>
      <c r="W1285" s="13">
        <f t="shared" si="654"/>
        <v>214.07680000000084</v>
      </c>
      <c r="X1285" s="13">
        <f t="shared" si="655"/>
        <v>336.00000000000279</v>
      </c>
      <c r="Y1285" s="43">
        <f t="shared" si="656"/>
        <v>4.3146726862302656E-3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20.13</v>
      </c>
      <c r="V1286" s="13">
        <f>IF(ISNA(VLOOKUP(LOWER(F1286)&amp;H1286,Prices!A:C,2,0)),0,VLOOKUP(LOWER(F1286)&amp;H1286,Prices!A:C,2,0))</f>
        <v>20.21</v>
      </c>
      <c r="W1286" s="13">
        <f t="shared" si="654"/>
        <v>-4973.5806000000039</v>
      </c>
      <c r="X1286" s="13">
        <f t="shared" si="655"/>
        <v>-216.000000000005</v>
      </c>
      <c r="Y1286" s="43">
        <f t="shared" si="656"/>
        <v>-0.10016676937949376</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38.35</v>
      </c>
      <c r="V1287" s="13">
        <f>IF(ISNA(VLOOKUP(LOWER(F1287)&amp;H1287,Prices!A:C,2,0)),0,VLOOKUP(LOWER(F1287)&amp;H1287,Prices!A:C,2,0))</f>
        <v>37.85</v>
      </c>
      <c r="W1287" s="13">
        <f t="shared" si="654"/>
        <v>-17826.432800000002</v>
      </c>
      <c r="X1287" s="13">
        <f t="shared" si="655"/>
        <v>900</v>
      </c>
      <c r="Y1287" s="43">
        <f t="shared" si="656"/>
        <v>-0.35395188626796925</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8.84</v>
      </c>
      <c r="V1288" s="13">
        <f>IF(ISNA(VLOOKUP(LOWER(F1288)&amp;H1288,Prices!A:C,2,0)),0,VLOOKUP(LOWER(F1288)&amp;H1288,Prices!A:C,2,0))</f>
        <v>8.9</v>
      </c>
      <c r="W1288" s="13">
        <f>IF(I1288="B",(V1288+T1288)*K1288,(V1288+T1288)*K1288)</f>
        <v>-269.76880000001131</v>
      </c>
      <c r="X1288" s="13">
        <f t="shared" ref="X1288" si="664">K1288*(V1288-U1288)</f>
        <v>-528.00000000000432</v>
      </c>
      <c r="Y1288" s="43">
        <f t="shared" ref="Y1288" si="665">W1288/O1288</f>
        <v>-3.4522010647012095E-3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9.02</v>
      </c>
      <c r="V1289" s="13">
        <f>IF(ISNA(VLOOKUP(LOWER(F1289)&amp;H1289,Prices!A:C,2,0)),0,VLOOKUP(LOWER(F1289)&amp;H1289,Prices!A:C,2,0))</f>
        <v>9.07</v>
      </c>
      <c r="W1289" s="13">
        <f t="shared" ref="W1289:W1308" si="670">IF(I1289="B",(V1289+T1289)*K1289,(V1289+T1289)*K1289)</f>
        <v>-10975.992520000002</v>
      </c>
      <c r="X1289" s="13">
        <f t="shared" ref="X1289:X1308" si="671">K1289*(V1289-U1289)</f>
        <v>215.00000000000307</v>
      </c>
      <c r="Y1289" s="43">
        <f t="shared" ref="Y1289:Y1308" si="672">W1289/O1289</f>
        <v>-0.21966922547332188</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20.13</v>
      </c>
      <c r="V1290" s="13">
        <f>IF(ISNA(VLOOKUP(LOWER(F1290)&amp;H1290,Prices!A:C,2,0)),0,VLOOKUP(LOWER(F1290)&amp;H1290,Prices!A:C,2,0))</f>
        <v>20.21</v>
      </c>
      <c r="W1290" s="13">
        <f t="shared" si="670"/>
        <v>-4649.9753999999957</v>
      </c>
      <c r="X1290" s="13">
        <f t="shared" si="671"/>
        <v>-216.000000000005</v>
      </c>
      <c r="Y1290" s="43">
        <f t="shared" si="672"/>
        <v>-9.3042307461432161E-2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9.02</v>
      </c>
      <c r="V1291" s="13">
        <f>IF(ISNA(VLOOKUP(LOWER(F1291)&amp;H1291,Prices!A:C,2,0)),0,VLOOKUP(LOWER(F1291)&amp;H1291,Prices!A:C,2,0))</f>
        <v>9.07</v>
      </c>
      <c r="W1291" s="13">
        <f t="shared" si="670"/>
        <v>-5285.4684000000025</v>
      </c>
      <c r="X1291" s="13">
        <f t="shared" si="671"/>
        <v>100.00000000000142</v>
      </c>
      <c r="Y1291" s="43">
        <f t="shared" si="672"/>
        <v>-0.22568182749786517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9.02</v>
      </c>
      <c r="V1292" s="13">
        <f>IF(ISNA(VLOOKUP(LOWER(F1292)&amp;H1292,Prices!A:C,2,0)),0,VLOOKUP(LOWER(F1292)&amp;H1292,Prices!A:C,2,0))</f>
        <v>9.07</v>
      </c>
      <c r="W1292" s="13">
        <f t="shared" si="670"/>
        <v>-5325.4692000000005</v>
      </c>
      <c r="X1292" s="13">
        <f t="shared" si="671"/>
        <v>100.00000000000142</v>
      </c>
      <c r="Y1292" s="43">
        <f t="shared" si="672"/>
        <v>-0.22700209718670078</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9.02</v>
      </c>
      <c r="V1293" s="13">
        <f>IF(ISNA(VLOOKUP(LOWER(F1293)&amp;H1293,Prices!A:C,2,0)),0,VLOOKUP(LOWER(F1293)&amp;H1293,Prices!A:C,2,0))</f>
        <v>9.07</v>
      </c>
      <c r="W1293" s="13">
        <f t="shared" si="670"/>
        <v>-11350.875480000004</v>
      </c>
      <c r="X1293" s="13">
        <f t="shared" si="671"/>
        <v>210.00000000000298</v>
      </c>
      <c r="Y1293" s="43">
        <f t="shared" si="672"/>
        <v>-0.22961677145284631</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8.84</v>
      </c>
      <c r="V1294" s="13">
        <f>IF(ISNA(VLOOKUP(LOWER(F1294)&amp;H1294,Prices!A:C,2,0)),0,VLOOKUP(LOWER(F1294)&amp;H1294,Prices!A:C,2,0))</f>
        <v>8.9</v>
      </c>
      <c r="W1294" s="13">
        <f t="shared" si="670"/>
        <v>175.00000000000071</v>
      </c>
      <c r="X1294" s="13">
        <f t="shared" si="671"/>
        <v>120.00000000000099</v>
      </c>
      <c r="Y1294" s="43">
        <f t="shared" si="672"/>
        <v>9.9318955732122984E-3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9.02</v>
      </c>
      <c r="V1295" s="13">
        <f>IF(ISNA(VLOOKUP(LOWER(F1295)&amp;H1295,Prices!A:C,2,0)),0,VLOOKUP(LOWER(F1295)&amp;H1295,Prices!A:C,2,0))</f>
        <v>9.07</v>
      </c>
      <c r="W1295" s="13">
        <f t="shared" si="670"/>
        <v>-11308.866240000001</v>
      </c>
      <c r="X1295" s="13">
        <f t="shared" si="671"/>
        <v>210.00000000000298</v>
      </c>
      <c r="Y1295" s="43">
        <f t="shared" si="672"/>
        <v>-0.22896149659863949</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9.02</v>
      </c>
      <c r="V1296" s="13">
        <f>IF(ISNA(VLOOKUP(LOWER(F1296)&amp;H1296,Prices!A:C,2,0)),0,VLOOKUP(LOWER(F1296)&amp;H1296,Prices!A:C,2,0))</f>
        <v>9.07</v>
      </c>
      <c r="W1296" s="13">
        <f t="shared" si="670"/>
        <v>-11308.866240000001</v>
      </c>
      <c r="X1296" s="13">
        <f t="shared" si="671"/>
        <v>210.00000000000298</v>
      </c>
      <c r="Y1296" s="43">
        <f t="shared" si="672"/>
        <v>-0.22896149659863949</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65.12</v>
      </c>
      <c r="V1297" s="13">
        <f>IF(ISNA(VLOOKUP(LOWER(F1297)&amp;H1297,Prices!A:C,2,0)),0,VLOOKUP(LOWER(F1297)&amp;H1297,Prices!A:C,2,0))</f>
        <v>68.150000000000006</v>
      </c>
      <c r="W1297" s="13">
        <f t="shared" si="670"/>
        <v>18760.124000000011</v>
      </c>
      <c r="X1297" s="13">
        <f t="shared" si="671"/>
        <v>3030.0000000000009</v>
      </c>
      <c r="Y1297" s="43">
        <f t="shared" si="672"/>
        <v>0.37991340623734327</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65.12</v>
      </c>
      <c r="V1298" s="13">
        <f>IF(ISNA(VLOOKUP(LOWER(F1298)&amp;H1298,Prices!A:C,2,0)),0,VLOOKUP(LOWER(F1298)&amp;H1298,Prices!A:C,2,0))</f>
        <v>68.150000000000006</v>
      </c>
      <c r="W1298" s="13">
        <f t="shared" si="670"/>
        <v>18750.12200000001</v>
      </c>
      <c r="X1298" s="13">
        <f t="shared" si="671"/>
        <v>3030.0000000000009</v>
      </c>
      <c r="Y1298" s="43">
        <f t="shared" si="672"/>
        <v>0.37963397448876313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9.02</v>
      </c>
      <c r="V1299" s="13">
        <f>IF(ISNA(VLOOKUP(LOWER(F1299)&amp;H1299,Prices!A:C,2,0)),0,VLOOKUP(LOWER(F1299)&amp;H1299,Prices!A:C,2,0))</f>
        <v>9.07</v>
      </c>
      <c r="W1299" s="13">
        <f t="shared" si="670"/>
        <v>-11308.866240000001</v>
      </c>
      <c r="X1299" s="13">
        <f t="shared" si="671"/>
        <v>210.00000000000298</v>
      </c>
      <c r="Y1299" s="43">
        <f t="shared" si="672"/>
        <v>-0.22896149659863949</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8.84</v>
      </c>
      <c r="V1300" s="13">
        <f>IF(ISNA(VLOOKUP(LOWER(F1300)&amp;H1300,Prices!A:C,2,0)),0,VLOOKUP(LOWER(F1300)&amp;H1300,Prices!A:C,2,0))</f>
        <v>8.9</v>
      </c>
      <c r="W1300" s="13">
        <f t="shared" si="670"/>
        <v>95.000000000000639</v>
      </c>
      <c r="X1300" s="13">
        <f t="shared" si="671"/>
        <v>60.000000000000497</v>
      </c>
      <c r="Y1300" s="43">
        <f t="shared" si="672"/>
        <v>1.0795454545454618E-2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65.12</v>
      </c>
      <c r="V1301" s="13">
        <f>IF(ISNA(VLOOKUP(LOWER(F1301)&amp;H1301,Prices!A:C,2,0)),0,VLOOKUP(LOWER(F1301)&amp;H1301,Prices!A:C,2,0))</f>
        <v>68.150000000000006</v>
      </c>
      <c r="W1301" s="13">
        <f t="shared" si="670"/>
        <v>5596.0000000000027</v>
      </c>
      <c r="X1301" s="13">
        <f t="shared" si="671"/>
        <v>909.00000000000034</v>
      </c>
      <c r="Y1301" s="43">
        <f t="shared" si="672"/>
        <v>0.37698733495014841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8.84</v>
      </c>
      <c r="V1302" s="13">
        <f>IF(ISNA(VLOOKUP(LOWER(F1302)&amp;H1302,Prices!A:C,2,0)),0,VLOOKUP(LOWER(F1302)&amp;H1302,Prices!A:C,2,0))</f>
        <v>8.9</v>
      </c>
      <c r="W1302" s="13">
        <f t="shared" si="670"/>
        <v>245.00000000000188</v>
      </c>
      <c r="X1302" s="13">
        <f t="shared" si="671"/>
        <v>150.00000000000125</v>
      </c>
      <c r="Y1302" s="43">
        <f t="shared" si="672"/>
        <v>1.1136363636363722E-2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65.12</v>
      </c>
      <c r="V1303" s="13">
        <f>IF(ISNA(VLOOKUP(LOWER(F1303)&amp;H1303,Prices!A:C,2,0)),0,VLOOKUP(LOWER(F1303)&amp;H1303,Prices!A:C,2,0))</f>
        <v>68.150000000000006</v>
      </c>
      <c r="W1303" s="13">
        <f t="shared" si="670"/>
        <v>9345.0000000000018</v>
      </c>
      <c r="X1303" s="13">
        <f t="shared" si="671"/>
        <v>1515.0000000000005</v>
      </c>
      <c r="Y1303" s="43">
        <f t="shared" si="672"/>
        <v>0.37795753286147632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68.900000000000006</v>
      </c>
      <c r="V1304" s="13">
        <f>IF(ISNA(VLOOKUP(LOWER(F1304)&amp;H1304,Prices!A:C,2,0)),0,VLOOKUP(LOWER(F1304)&amp;H1304,Prices!A:C,2,0))</f>
        <v>72.989999999999995</v>
      </c>
      <c r="W1304" s="13">
        <f t="shared" si="670"/>
        <v>34013.746799999994</v>
      </c>
      <c r="X1304" s="13">
        <f t="shared" si="671"/>
        <v>4498.9999999999882</v>
      </c>
      <c r="Y1304" s="43">
        <f t="shared" si="672"/>
        <v>0.73517803138373738</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9.02</v>
      </c>
      <c r="V1305" s="13">
        <f>IF(ISNA(VLOOKUP(LOWER(F1305)&amp;H1305,Prices!A:C,2,0)),0,VLOOKUP(LOWER(F1305)&amp;H1305,Prices!A:C,2,0))</f>
        <v>9.07</v>
      </c>
      <c r="W1305" s="13">
        <f t="shared" si="670"/>
        <v>-11476.90319999999</v>
      </c>
      <c r="X1305" s="13">
        <f t="shared" si="671"/>
        <v>210.00000000000298</v>
      </c>
      <c r="Y1305" s="43">
        <f t="shared" si="672"/>
        <v>-0.23157593220338962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65.12</v>
      </c>
      <c r="V1306" s="13">
        <f>IF(ISNA(VLOOKUP(LOWER(F1306)&amp;H1306,Prices!A:C,2,0)),0,VLOOKUP(LOWER(F1306)&amp;H1306,Prices!A:C,2,0))</f>
        <v>68.150000000000006</v>
      </c>
      <c r="W1306" s="13">
        <f t="shared" si="670"/>
        <v>18280.028000000002</v>
      </c>
      <c r="X1306" s="13">
        <f t="shared" si="671"/>
        <v>3030.0000000000009</v>
      </c>
      <c r="Y1306" s="43">
        <f t="shared" si="672"/>
        <v>0.36662711592458891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20.13</v>
      </c>
      <c r="V1307" s="13">
        <f>IF(ISNA(VLOOKUP(LOWER(F1307)&amp;H1307,Prices!A:C,2,0)),0,VLOOKUP(LOWER(F1307)&amp;H1307,Prices!A:C,2,0))</f>
        <v>20.21</v>
      </c>
      <c r="W1307" s="13">
        <f t="shared" si="670"/>
        <v>4715.0316000000075</v>
      </c>
      <c r="X1307" s="13">
        <f t="shared" si="671"/>
        <v>216.000000000005</v>
      </c>
      <c r="Y1307" s="43">
        <f t="shared" si="672"/>
        <v>9.4599566630552703E-2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8.84</v>
      </c>
      <c r="V1308" s="13">
        <f>IF(ISNA(VLOOKUP(LOWER(F1308)&amp;H1308,Prices!A:C,2,0)),0,VLOOKUP(LOWER(F1308)&amp;H1308,Prices!A:C,2,0))</f>
        <v>8.9</v>
      </c>
      <c r="W1308" s="13">
        <f t="shared" si="670"/>
        <v>382.11040000000196</v>
      </c>
      <c r="X1308" s="13">
        <f t="shared" si="671"/>
        <v>336.00000000000279</v>
      </c>
      <c r="Y1308" s="43">
        <f t="shared" si="672"/>
        <v>7.7275198187995867E-3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65.12</v>
      </c>
      <c r="V1309" s="13">
        <f>IF(ISNA(VLOOKUP(LOWER(F1309)&amp;H1309,Prices!A:C,2,0)),0,VLOOKUP(LOWER(F1309)&amp;H1309,Prices!A:C,2,0))</f>
        <v>68.150000000000006</v>
      </c>
      <c r="W1309" s="13">
        <f t="shared" ref="W1309:W1326" si="678">IF(I1309="B",(V1309+T1309)*K1309,(V1309+T1309)*K1309)</f>
        <v>-34086.612600000008</v>
      </c>
      <c r="X1309" s="13">
        <f t="shared" ref="X1309:X1326" si="679">K1309*(V1309-U1309)</f>
        <v>-5757.0000000000018</v>
      </c>
      <c r="Y1309" s="43">
        <f t="shared" ref="Y1309:Y1326" si="680">W1309/O1309</f>
        <v>-0.35687930019997288</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9.02</v>
      </c>
      <c r="V1310" s="13">
        <f>IF(ISNA(VLOOKUP(LOWER(F1310)&amp;H1310,Prices!A:C,2,0)),0,VLOOKUP(LOWER(F1310)&amp;H1310,Prices!A:C,2,0))</f>
        <v>9.07</v>
      </c>
      <c r="W1310" s="13">
        <f t="shared" si="678"/>
        <v>27867.843859999975</v>
      </c>
      <c r="X1310" s="13">
        <f t="shared" si="679"/>
        <v>-515.00000000000728</v>
      </c>
      <c r="Y1310" s="43">
        <f t="shared" si="680"/>
        <v>0.22948396172500951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65.12</v>
      </c>
      <c r="V1311" s="13">
        <f>IF(ISNA(VLOOKUP(LOWER(F1311)&amp;H1311,Prices!A:C,2,0)),0,VLOOKUP(LOWER(F1311)&amp;H1311,Prices!A:C,2,0))</f>
        <v>68.150000000000006</v>
      </c>
      <c r="W1311" s="13">
        <f t="shared" si="678"/>
        <v>-1796.0300000000004</v>
      </c>
      <c r="X1311" s="13">
        <f t="shared" si="679"/>
        <v>-303.00000000000011</v>
      </c>
      <c r="Y1311" s="43">
        <f t="shared" si="680"/>
        <v>-0.35713461920859024</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9.02</v>
      </c>
      <c r="V1312" s="13">
        <f>IF(ISNA(VLOOKUP(LOWER(F1312)&amp;H1312,Prices!A:C,2,0)),0,VLOOKUP(LOWER(F1312)&amp;H1312,Prices!A:C,2,0))</f>
        <v>9.07</v>
      </c>
      <c r="W1312" s="13">
        <f t="shared" si="678"/>
        <v>24350.545799999996</v>
      </c>
      <c r="X1312" s="13">
        <f t="shared" si="679"/>
        <v>-450.00000000000637</v>
      </c>
      <c r="Y1312" s="43">
        <f t="shared" si="680"/>
        <v>0.22948398642917728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20.13</v>
      </c>
      <c r="V1313" s="13">
        <f>IF(ISNA(VLOOKUP(LOWER(F1313)&amp;H1313,Prices!A:C,2,0)),0,VLOOKUP(LOWER(F1313)&amp;H1313,Prices!A:C,2,0))</f>
        <v>20.21</v>
      </c>
      <c r="W1313" s="13">
        <f t="shared" si="678"/>
        <v>-2075.5000000000023</v>
      </c>
      <c r="X1313" s="13">
        <f t="shared" si="679"/>
        <v>-112.00000000000259</v>
      </c>
      <c r="Y1313" s="43">
        <f t="shared" si="680"/>
        <v>-7.9066666666666757E-2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26.47</v>
      </c>
      <c r="V1314" s="13">
        <f>IF(ISNA(VLOOKUP(LOWER(F1314)&amp;H1314,Prices!A:C,2,0)),0,VLOOKUP(LOWER(F1314)&amp;H1314,Prices!A:C,2,0))</f>
        <v>26.24</v>
      </c>
      <c r="W1314" s="13">
        <f t="shared" si="678"/>
        <v>-14739.745020000002</v>
      </c>
      <c r="X1314" s="13">
        <f t="shared" si="679"/>
        <v>-299.00000000000057</v>
      </c>
      <c r="Y1314" s="43">
        <f t="shared" si="680"/>
        <v>-0.3017904019164227</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17.760000000000002</v>
      </c>
      <c r="V1315" s="13">
        <f>IF(ISNA(VLOOKUP(LOWER(F1315)&amp;H1315,Prices!A:C,2,0)),0,VLOOKUP(LOWER(F1315)&amp;H1315,Prices!A:C,2,0))</f>
        <v>17.62</v>
      </c>
      <c r="W1315" s="13">
        <f t="shared" si="678"/>
        <v>-7104.2764800000014</v>
      </c>
      <c r="X1315" s="13">
        <f t="shared" si="679"/>
        <v>-336.00000000000136</v>
      </c>
      <c r="Y1315" s="43">
        <f t="shared" si="680"/>
        <v>-0.14386251944012443</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17.760000000000002</v>
      </c>
      <c r="V1316" s="13">
        <f>IF(ISNA(VLOOKUP(LOWER(F1316)&amp;H1316,Prices!A:C,2,0)),0,VLOOKUP(LOWER(F1316)&amp;H1316,Prices!A:C,2,0))</f>
        <v>17.62</v>
      </c>
      <c r="W1316" s="13">
        <f t="shared" si="678"/>
        <v>-7233.9023999999936</v>
      </c>
      <c r="X1316" s="13">
        <f t="shared" si="679"/>
        <v>-336.00000000000136</v>
      </c>
      <c r="Y1316" s="43">
        <f t="shared" si="680"/>
        <v>-0.14610402326708663</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17.760000000000002</v>
      </c>
      <c r="V1317" s="13">
        <f>IF(ISNA(VLOOKUP(LOWER(F1317)&amp;H1317,Prices!A:C,2,0)),0,VLOOKUP(LOWER(F1317)&amp;H1317,Prices!A:C,2,0))</f>
        <v>17.62</v>
      </c>
      <c r="W1317" s="13">
        <f t="shared" si="678"/>
        <v>-7281.9119999999939</v>
      </c>
      <c r="X1317" s="13">
        <f t="shared" si="679"/>
        <v>-336.00000000000136</v>
      </c>
      <c r="Y1317" s="43">
        <f t="shared" si="680"/>
        <v>-0.14693123486682796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17.760000000000002</v>
      </c>
      <c r="V1318" s="13">
        <f>IF(ISNA(VLOOKUP(LOWER(F1318)&amp;H1318,Prices!A:C,2,0)),0,VLOOKUP(LOWER(F1318)&amp;H1318,Prices!A:C,2,0))</f>
        <v>17.62</v>
      </c>
      <c r="W1318" s="13">
        <f t="shared" si="678"/>
        <v>-7233.9023999999936</v>
      </c>
      <c r="X1318" s="13">
        <f t="shared" si="679"/>
        <v>-336.00000000000136</v>
      </c>
      <c r="Y1318" s="43">
        <f t="shared" si="680"/>
        <v>-0.14610402326708663</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17.760000000000002</v>
      </c>
      <c r="V1319" s="13">
        <f>IF(ISNA(VLOOKUP(LOWER(F1319)&amp;H1319,Prices!A:C,2,0)),0,VLOOKUP(LOWER(F1319)&amp;H1319,Prices!A:C,2,0))</f>
        <v>17.62</v>
      </c>
      <c r="W1319" s="13">
        <f t="shared" si="678"/>
        <v>-3797</v>
      </c>
      <c r="X1319" s="13">
        <f t="shared" si="679"/>
        <v>-168.00000000000068</v>
      </c>
      <c r="Y1319" s="43">
        <f t="shared" si="680"/>
        <v>-0.1522698107154315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17.760000000000002</v>
      </c>
      <c r="V1320" s="13">
        <f>IF(ISNA(VLOOKUP(LOWER(F1320)&amp;H1320,Prices!A:C,2,0)),0,VLOOKUP(LOWER(F1320)&amp;H1320,Prices!A:C,2,0))</f>
        <v>17.62</v>
      </c>
      <c r="W1320" s="13">
        <f t="shared" si="678"/>
        <v>-7641.9839999999967</v>
      </c>
      <c r="X1320" s="13">
        <f t="shared" si="679"/>
        <v>-336.00000000000136</v>
      </c>
      <c r="Y1320" s="43">
        <f t="shared" si="680"/>
        <v>-0.15308461538461532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17.760000000000002</v>
      </c>
      <c r="V1321" s="13">
        <f>IF(ISNA(VLOOKUP(LOWER(F1321)&amp;H1321,Prices!A:C,2,0)),0,VLOOKUP(LOWER(F1321)&amp;H1321,Prices!A:C,2,0))</f>
        <v>17.62</v>
      </c>
      <c r="W1321" s="13">
        <f t="shared" si="678"/>
        <v>-7593.9743999999964</v>
      </c>
      <c r="X1321" s="13">
        <f t="shared" si="679"/>
        <v>-336.00000000000136</v>
      </c>
      <c r="Y1321" s="43">
        <f t="shared" si="680"/>
        <v>-0.15226929740134737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9.02</v>
      </c>
      <c r="V1323" s="13">
        <f>IF(ISNA(VLOOKUP(LOWER(F1323)&amp;H1323,Prices!A:C,2,0)),0,VLOOKUP(LOWER(F1323)&amp;H1323,Prices!A:C,2,0))</f>
        <v>9.07</v>
      </c>
      <c r="W1323" s="13">
        <f t="shared" si="678"/>
        <v>27855.18599999998</v>
      </c>
      <c r="X1323" s="13">
        <f t="shared" si="679"/>
        <v>-500.00000000000711</v>
      </c>
      <c r="Y1323" s="43">
        <f t="shared" si="680"/>
        <v>0.23466879528222395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17.760000000000002</v>
      </c>
      <c r="V1327" s="13">
        <f>IF(ISNA(VLOOKUP(LOWER(F1327)&amp;H1327,Prices!A:C,2,0)),0,VLOOKUP(LOWER(F1327)&amp;H1327,Prices!A:C,2,0))</f>
        <v>17.62</v>
      </c>
      <c r="W1327" s="13">
        <f t="shared" ref="W1327:W1341" si="685">IF(I1327="B",(V1327+T1327)*K1327,(V1327+T1327)*K1327)</f>
        <v>8767.1279999999988</v>
      </c>
      <c r="X1327" s="13">
        <f t="shared" ref="X1327:X1341" si="686">K1327*(V1327-U1327)</f>
        <v>280.00000000000114</v>
      </c>
      <c r="Y1327" s="43">
        <f t="shared" ref="Y1327:Y1341" si="687">W1327/O1327</f>
        <v>0.19898157058556512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8.84</v>
      </c>
      <c r="V1328" s="13">
        <f>IF(ISNA(VLOOKUP(LOWER(F1328)&amp;H1328,Prices!A:C,2,0)),0,VLOOKUP(LOWER(F1328)&amp;H1328,Prices!A:C,2,0))</f>
        <v>8.9</v>
      </c>
      <c r="W1328" s="13">
        <f t="shared" si="685"/>
        <v>-521.64999999999964</v>
      </c>
      <c r="X1328" s="13">
        <f t="shared" si="686"/>
        <v>-156.00000000000131</v>
      </c>
      <c r="Y1328" s="43">
        <f t="shared" si="687"/>
        <v>-2.3034973063675683E-2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8.84</v>
      </c>
      <c r="V1329" s="13">
        <f>IF(ISNA(VLOOKUP(LOWER(F1329)&amp;H1329,Prices!A:C,2,0)),0,VLOOKUP(LOWER(F1329)&amp;H1329,Prices!A:C,2,0))</f>
        <v>8.9</v>
      </c>
      <c r="W1329" s="13">
        <f t="shared" si="685"/>
        <v>-1002.2599999999926</v>
      </c>
      <c r="X1329" s="13">
        <f t="shared" si="686"/>
        <v>-300.0000000000025</v>
      </c>
      <c r="Y1329" s="43">
        <f t="shared" si="687"/>
        <v>-2.301400688863358E-2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20.13</v>
      </c>
      <c r="V1330" s="13">
        <f>IF(ISNA(VLOOKUP(LOWER(F1330)&amp;H1330,Prices!A:C,2,0)),0,VLOOKUP(LOWER(F1330)&amp;H1330,Prices!A:C,2,0))</f>
        <v>20.21</v>
      </c>
      <c r="W1330" s="13">
        <f t="shared" si="685"/>
        <v>-946.20000000000107</v>
      </c>
      <c r="X1330" s="13">
        <f t="shared" si="686"/>
        <v>-48.000000000001108</v>
      </c>
      <c r="Y1330" s="43">
        <f t="shared" si="687"/>
        <v>-8.4512325830653906E-2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8.84</v>
      </c>
      <c r="V1331" s="13">
        <f>IF(ISNA(VLOOKUP(LOWER(F1331)&amp;H1331,Prices!A:C,2,0)),0,VLOOKUP(LOWER(F1331)&amp;H1331,Prices!A:C,2,0))</f>
        <v>8.9</v>
      </c>
      <c r="W1331" s="13">
        <f t="shared" si="685"/>
        <v>-1804.0679999999866</v>
      </c>
      <c r="X1331" s="13">
        <f t="shared" si="686"/>
        <v>-540.00000000000443</v>
      </c>
      <c r="Y1331" s="43">
        <f t="shared" si="687"/>
        <v>-2.301400688863358E-2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65.12</v>
      </c>
      <c r="V1332" s="13">
        <f>IF(ISNA(VLOOKUP(LOWER(F1332)&amp;H1332,Prices!A:C,2,0)),0,VLOOKUP(LOWER(F1332)&amp;H1332,Prices!A:C,2,0))</f>
        <v>68.150000000000006</v>
      </c>
      <c r="W1332" s="13">
        <f t="shared" si="685"/>
        <v>-16290.119800000008</v>
      </c>
      <c r="X1332" s="13">
        <f t="shared" si="686"/>
        <v>-2727.0000000000009</v>
      </c>
      <c r="Y1332" s="43">
        <f t="shared" si="687"/>
        <v>-0.36120800461207581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17.760000000000002</v>
      </c>
      <c r="V1333" s="13">
        <f>IF(ISNA(VLOOKUP(LOWER(F1333)&amp;H1333,Prices!A:C,2,0)),0,VLOOKUP(LOWER(F1333)&amp;H1333,Prices!A:C,2,0))</f>
        <v>17.62</v>
      </c>
      <c r="W1333" s="13">
        <f t="shared" si="685"/>
        <v>16535.455999999995</v>
      </c>
      <c r="X1333" s="13">
        <f t="shared" si="686"/>
        <v>560.00000000000227</v>
      </c>
      <c r="Y1333" s="43">
        <f t="shared" si="687"/>
        <v>0.18980091827364548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26.47</v>
      </c>
      <c r="V1335" s="13">
        <f>IF(ISNA(VLOOKUP(LOWER(F1335)&amp;H1335,Prices!A:C,2,0)),0,VLOOKUP(LOWER(F1335)&amp;H1335,Prices!A:C,2,0))</f>
        <v>26.24</v>
      </c>
      <c r="W1335" s="13">
        <f t="shared" si="685"/>
        <v>8094.6526400000002</v>
      </c>
      <c r="X1335" s="13">
        <f t="shared" si="686"/>
        <v>138.00000000000026</v>
      </c>
      <c r="Y1335" s="43">
        <f t="shared" si="687"/>
        <v>0.33914247695659461</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68.900000000000006</v>
      </c>
      <c r="V1336" s="13">
        <f>IF(ISNA(VLOOKUP(LOWER(F1336)&amp;H1336,Prices!A:C,2,0)),0,VLOOKUP(LOWER(F1336)&amp;H1336,Prices!A:C,2,0))</f>
        <v>72.989999999999995</v>
      </c>
      <c r="W1336" s="13">
        <f t="shared" si="685"/>
        <v>-34781.672399999989</v>
      </c>
      <c r="X1336" s="13">
        <f t="shared" si="686"/>
        <v>-4498.9999999999882</v>
      </c>
      <c r="Y1336" s="43">
        <f t="shared" si="687"/>
        <v>-0.7633921337957067</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26.47</v>
      </c>
      <c r="V1338" s="13">
        <f>IF(ISNA(VLOOKUP(LOWER(F1338)&amp;H1338,Prices!A:C,2,0)),0,VLOOKUP(LOWER(F1338)&amp;H1338,Prices!A:C,2,0))</f>
        <v>26.24</v>
      </c>
      <c r="W1338" s="13">
        <f t="shared" si="685"/>
        <v>9814.572259999999</v>
      </c>
      <c r="X1338" s="13">
        <f t="shared" si="686"/>
        <v>161.00000000000028</v>
      </c>
      <c r="Y1338" s="43">
        <f t="shared" si="687"/>
        <v>0.34782479569054114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20.13</v>
      </c>
      <c r="V1339" s="13">
        <f>IF(ISNA(VLOOKUP(LOWER(F1339)&amp;H1339,Prices!A:C,2,0)),0,VLOOKUP(LOWER(F1339)&amp;H1339,Prices!A:C,2,0))</f>
        <v>20.21</v>
      </c>
      <c r="W1339" s="13">
        <f t="shared" si="685"/>
        <v>-1221.9400000000028</v>
      </c>
      <c r="X1339" s="13">
        <f t="shared" si="686"/>
        <v>-56.000000000001293</v>
      </c>
      <c r="Y1339" s="43">
        <f t="shared" si="687"/>
        <v>-9.4409333230317777E-2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65.12</v>
      </c>
      <c r="V1340" s="13">
        <f>IF(ISNA(VLOOKUP(LOWER(F1340)&amp;H1340,Prices!A:C,2,0)),0,VLOOKUP(LOWER(F1340)&amp;H1340,Prices!A:C,2,0))</f>
        <v>68.150000000000006</v>
      </c>
      <c r="W1340" s="13">
        <f t="shared" si="685"/>
        <v>-16820.483600000007</v>
      </c>
      <c r="X1340" s="13">
        <f t="shared" si="686"/>
        <v>-2727.0000000000009</v>
      </c>
      <c r="Y1340" s="43">
        <f t="shared" si="687"/>
        <v>-0.37741167653922114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17.760000000000002</v>
      </c>
      <c r="V1341" s="13">
        <f>IF(ISNA(VLOOKUP(LOWER(F1341)&amp;H1341,Prices!A:C,2,0)),0,VLOOKUP(LOWER(F1341)&amp;H1341,Prices!A:C,2,0))</f>
        <v>17.62</v>
      </c>
      <c r="W1341" s="13">
        <f t="shared" si="685"/>
        <v>27166.475600000005</v>
      </c>
      <c r="X1341" s="13">
        <f t="shared" si="686"/>
        <v>1064.0000000000043</v>
      </c>
      <c r="Y1341" s="43">
        <f t="shared" si="687"/>
        <v>0.16845128478595173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42.41</v>
      </c>
      <c r="V1342" s="13">
        <f>IF(ISNA(VLOOKUP(LOWER(F1342)&amp;H1342,Prices!A:C,2,0)),0,VLOOKUP(LOWER(F1342)&amp;H1342,Prices!A:C,2,0))</f>
        <v>42.47</v>
      </c>
      <c r="W1342" s="13">
        <f t="shared" ref="W1342:W1356" si="692">IF(I1342="B",(V1342+T1342)*K1342,(V1342+T1342)*K1342)</f>
        <v>-9334.4603400000087</v>
      </c>
      <c r="X1342" s="13">
        <f t="shared" ref="X1342:X1356" si="693">K1342*(V1342-U1342)</f>
        <v>54.000000000002046</v>
      </c>
      <c r="Y1342" s="43">
        <f t="shared" ref="Y1342:Y1356" si="694">W1342/O1342</f>
        <v>-0.19632070035964433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22.51</v>
      </c>
      <c r="V1343" s="13">
        <f>IF(ISNA(VLOOKUP(LOWER(F1343)&amp;H1343,Prices!A:C,2,0)),0,VLOOKUP(LOWER(F1343)&amp;H1343,Prices!A:C,2,0))</f>
        <v>23.2</v>
      </c>
      <c r="W1343" s="13">
        <f t="shared" si="692"/>
        <v>-21969.96</v>
      </c>
      <c r="X1343" s="13">
        <f t="shared" si="693"/>
        <v>827.99999999999727</v>
      </c>
      <c r="Y1343" s="43">
        <f t="shared" si="694"/>
        <v>-0.44116385542168673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27.96</v>
      </c>
      <c r="V1345" s="13">
        <f>IF(ISNA(VLOOKUP(LOWER(F1345)&amp;H1345,Prices!A:C,2,0)),0,VLOOKUP(LOWER(F1345)&amp;H1345,Prices!A:C,2,0))</f>
        <v>28.55</v>
      </c>
      <c r="W1345" s="13">
        <f t="shared" si="692"/>
        <v>12149.440799999997</v>
      </c>
      <c r="X1345" s="13">
        <f t="shared" si="693"/>
        <v>1238.9999999999998</v>
      </c>
      <c r="Y1345" s="43">
        <f t="shared" si="694"/>
        <v>0.2541936731107205</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27.96</v>
      </c>
      <c r="V1346" s="13">
        <f>IF(ISNA(VLOOKUP(LOWER(F1346)&amp;H1346,Prices!A:C,2,0)),0,VLOOKUP(LOWER(F1346)&amp;H1346,Prices!A:C,2,0))</f>
        <v>28.55</v>
      </c>
      <c r="W1346" s="13">
        <f t="shared" si="692"/>
        <v>12149.440799999997</v>
      </c>
      <c r="X1346" s="13">
        <f t="shared" si="693"/>
        <v>1238.9999999999998</v>
      </c>
      <c r="Y1346" s="43">
        <f t="shared" si="694"/>
        <v>0.2541936731107205</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27.96</v>
      </c>
      <c r="V1347" s="13">
        <f>IF(ISNA(VLOOKUP(LOWER(F1347)&amp;H1347,Prices!A:C,2,0)),0,VLOOKUP(LOWER(F1347)&amp;H1347,Prices!A:C,2,0))</f>
        <v>28.55</v>
      </c>
      <c r="W1347" s="13">
        <f t="shared" si="692"/>
        <v>12044.419800000005</v>
      </c>
      <c r="X1347" s="13">
        <f t="shared" si="693"/>
        <v>1238.9999999999998</v>
      </c>
      <c r="Y1347" s="43">
        <f t="shared" si="694"/>
        <v>0.2514440157825516</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27.96</v>
      </c>
      <c r="V1348" s="13">
        <f>IF(ISNA(VLOOKUP(LOWER(F1348)&amp;H1348,Prices!A:C,2,0)),0,VLOOKUP(LOWER(F1348)&amp;H1348,Prices!A:C,2,0))</f>
        <v>28.55</v>
      </c>
      <c r="W1348" s="13">
        <f t="shared" si="692"/>
        <v>11897.390399999997</v>
      </c>
      <c r="X1348" s="13">
        <f t="shared" si="693"/>
        <v>1238.9999999999998</v>
      </c>
      <c r="Y1348" s="43">
        <f t="shared" si="694"/>
        <v>0.24761468531468525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27.96</v>
      </c>
      <c r="V1349" s="13">
        <f>IF(ISNA(VLOOKUP(LOWER(F1349)&amp;H1349,Prices!A:C,2,0)),0,VLOOKUP(LOWER(F1349)&amp;H1349,Prices!A:C,2,0))</f>
        <v>28.55</v>
      </c>
      <c r="W1349" s="13">
        <f t="shared" si="692"/>
        <v>11876.386200000003</v>
      </c>
      <c r="X1349" s="13">
        <f t="shared" si="693"/>
        <v>1238.9999999999998</v>
      </c>
      <c r="Y1349" s="43">
        <f t="shared" si="694"/>
        <v>0.24706955002184366</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27.96</v>
      </c>
      <c r="V1350" s="13">
        <f>IF(ISNA(VLOOKUP(LOWER(F1350)&amp;H1350,Prices!A:C,2,0)),0,VLOOKUP(LOWER(F1350)&amp;H1350,Prices!A:C,2,0))</f>
        <v>28.55</v>
      </c>
      <c r="W1350" s="13">
        <f t="shared" si="692"/>
        <v>11876.386200000003</v>
      </c>
      <c r="X1350" s="13">
        <f t="shared" si="693"/>
        <v>1238.9999999999998</v>
      </c>
      <c r="Y1350" s="43">
        <f t="shared" si="694"/>
        <v>0.24706955002184366</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27.96</v>
      </c>
      <c r="V1351" s="13">
        <f>IF(ISNA(VLOOKUP(LOWER(F1351)&amp;H1351,Prices!A:C,2,0)),0,VLOOKUP(LOWER(F1351)&amp;H1351,Prices!A:C,2,0))</f>
        <v>28.55</v>
      </c>
      <c r="W1351" s="13">
        <f t="shared" si="692"/>
        <v>11603.331600000001</v>
      </c>
      <c r="X1351" s="13">
        <f t="shared" si="693"/>
        <v>1238.9999999999998</v>
      </c>
      <c r="Y1351" s="43">
        <f t="shared" si="694"/>
        <v>0.24002589052997397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22.36</v>
      </c>
      <c r="V1352" s="13">
        <f>IF(ISNA(VLOOKUP(LOWER(F1352)&amp;H1352,Prices!A:C,2,0)),0,VLOOKUP(LOWER(F1352)&amp;H1352,Prices!A:C,2,0))</f>
        <v>22.23</v>
      </c>
      <c r="W1352" s="13">
        <f t="shared" si="692"/>
        <v>25796.044800000003</v>
      </c>
      <c r="X1352" s="13">
        <f t="shared" si="693"/>
        <v>-441.99999999999659</v>
      </c>
      <c r="Y1352" s="43">
        <f t="shared" si="694"/>
        <v>0.51824262295081969</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22.36</v>
      </c>
      <c r="V1353" s="13">
        <f>IF(ISNA(VLOOKUP(LOWER(F1353)&amp;H1353,Prices!A:C,2,0)),0,VLOOKUP(LOWER(F1353)&amp;H1353,Prices!A:C,2,0))</f>
        <v>22.23</v>
      </c>
      <c r="W1353" s="13">
        <f t="shared" si="692"/>
        <v>25728.031199999998</v>
      </c>
      <c r="X1353" s="13">
        <f t="shared" si="693"/>
        <v>-441.99999999999659</v>
      </c>
      <c r="Y1353" s="43">
        <f t="shared" si="694"/>
        <v>0.51617107776261928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14.92</v>
      </c>
      <c r="V1354" s="13">
        <f>IF(ISNA(VLOOKUP(LOWER(F1354)&amp;H1354,Prices!A:C,2,0)),0,VLOOKUP(LOWER(F1354)&amp;H1354,Prices!A:C,2,0))</f>
        <v>13.99</v>
      </c>
      <c r="W1354" s="13">
        <f t="shared" si="692"/>
        <v>12265.158400000006</v>
      </c>
      <c r="X1354" s="13">
        <f t="shared" si="693"/>
        <v>-4091.9999999999986</v>
      </c>
      <c r="Y1354" s="43">
        <f t="shared" si="694"/>
        <v>0.24888714285714297</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7.55</v>
      </c>
      <c r="V1355" s="13">
        <f>IF(ISNA(VLOOKUP(LOWER(F1355)&amp;H1355,Prices!A:C,2,0)),0,VLOOKUP(LOWER(F1355)&amp;H1355,Prices!A:C,2,0))</f>
        <v>7.48</v>
      </c>
      <c r="W1355" s="13">
        <f t="shared" si="692"/>
        <v>793.15136000000416</v>
      </c>
      <c r="X1355" s="13">
        <f t="shared" si="693"/>
        <v>-468.99999999999596</v>
      </c>
      <c r="Y1355" s="43">
        <f t="shared" si="694"/>
        <v>1.6084347826087041E-2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7.55</v>
      </c>
      <c r="V1356" s="13">
        <f>IF(ISNA(VLOOKUP(LOWER(F1356)&amp;H1356,Prices!A:C,2,0)),0,VLOOKUP(LOWER(F1356)&amp;H1356,Prices!A:C,2,0))</f>
        <v>7.48</v>
      </c>
      <c r="W1356" s="13">
        <f t="shared" si="692"/>
        <v>873.00440000000242</v>
      </c>
      <c r="X1356" s="13">
        <f t="shared" si="693"/>
        <v>-475.99999999999591</v>
      </c>
      <c r="Y1356" s="43">
        <f t="shared" si="694"/>
        <v>1.7467074829932022E-2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35.11</v>
      </c>
      <c r="V1357" s="13">
        <f>IF(ISNA(VLOOKUP(LOWER(F1357)&amp;H1357,Prices!A:C,2,0)),0,VLOOKUP(LOWER(F1357)&amp;H1357,Prices!A:C,2,0))</f>
        <v>34.75</v>
      </c>
      <c r="W1357" s="13">
        <f t="shared" ref="W1357:W1387" si="703">IF(I1357="B",(V1357+T1357)*K1357,(V1357+T1357)*K1357)</f>
        <v>-1165.7920000000047</v>
      </c>
      <c r="X1357" s="13">
        <f t="shared" ref="X1357:X1387" si="704">K1357*(V1357-U1357)</f>
        <v>-287.99999999999955</v>
      </c>
      <c r="Y1357" s="43">
        <f t="shared" ref="Y1357:Y1387" si="705">W1357/O1357</f>
        <v>-4.0255248618784691E-2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17.760000000000002</v>
      </c>
      <c r="V1359" s="13">
        <f>IF(ISNA(VLOOKUP(LOWER(F1359)&amp;H1359,Prices!A:C,2,0)),0,VLOOKUP(LOWER(F1359)&amp;H1359,Prices!A:C,2,0))</f>
        <v>17.62</v>
      </c>
      <c r="W1359" s="13">
        <f t="shared" si="703"/>
        <v>3683.669999999996</v>
      </c>
      <c r="X1359" s="13">
        <f t="shared" si="704"/>
        <v>140.00000000000057</v>
      </c>
      <c r="Y1359" s="43">
        <f t="shared" si="705"/>
        <v>0.17269901547116717</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27.96</v>
      </c>
      <c r="V1360" s="13">
        <f>IF(ISNA(VLOOKUP(LOWER(F1360)&amp;H1360,Prices!A:C,2,0)),0,VLOOKUP(LOWER(F1360)&amp;H1360,Prices!A:C,2,0))</f>
        <v>28.55</v>
      </c>
      <c r="W1360" s="13">
        <f t="shared" si="703"/>
        <v>-18425.351200000005</v>
      </c>
      <c r="X1360" s="13">
        <f t="shared" si="704"/>
        <v>-2123.9999999999995</v>
      </c>
      <c r="Y1360" s="43">
        <f t="shared" si="705"/>
        <v>-0.21816509425026054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8.84</v>
      </c>
      <c r="V1361" s="13">
        <f>IF(ISNA(VLOOKUP(LOWER(F1361)&amp;H1361,Prices!A:C,2,0)),0,VLOOKUP(LOWER(F1361)&amp;H1361,Prices!A:C,2,0))</f>
        <v>8.9</v>
      </c>
      <c r="W1361" s="13">
        <f t="shared" si="703"/>
        <v>-476.80000000000166</v>
      </c>
      <c r="X1361" s="13">
        <f t="shared" si="704"/>
        <v>-150.00000000000125</v>
      </c>
      <c r="Y1361" s="43">
        <f t="shared" si="705"/>
        <v>-2.1871559633027598E-2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22.36</v>
      </c>
      <c r="V1362" s="13">
        <f>IF(ISNA(VLOOKUP(LOWER(F1362)&amp;H1362,Prices!A:C,2,0)),0,VLOOKUP(LOWER(F1362)&amp;H1362,Prices!A:C,2,0))</f>
        <v>22.23</v>
      </c>
      <c r="W1362" s="13">
        <f t="shared" si="703"/>
        <v>-26001.567999999999</v>
      </c>
      <c r="X1362" s="13">
        <f t="shared" si="704"/>
        <v>441.99999999999659</v>
      </c>
      <c r="Y1362" s="43">
        <f t="shared" si="705"/>
        <v>-0.52380273972602742</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22.51</v>
      </c>
      <c r="V1363" s="13">
        <f>IF(ISNA(VLOOKUP(LOWER(F1363)&amp;H1363,Prices!A:C,2,0)),0,VLOOKUP(LOWER(F1363)&amp;H1363,Prices!A:C,2,0))</f>
        <v>23.2</v>
      </c>
      <c r="W1363" s="13">
        <f t="shared" si="703"/>
        <v>21205.0792</v>
      </c>
      <c r="X1363" s="13">
        <f t="shared" si="704"/>
        <v>-827.99999999999727</v>
      </c>
      <c r="Y1363" s="43">
        <f t="shared" si="705"/>
        <v>0.43184015966112743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42.41</v>
      </c>
      <c r="V1364" s="13">
        <f>IF(ISNA(VLOOKUP(LOWER(F1364)&amp;H1364,Prices!A:C,2,0)),0,VLOOKUP(LOWER(F1364)&amp;H1364,Prices!A:C,2,0))</f>
        <v>42.47</v>
      </c>
      <c r="W1364" s="13">
        <f t="shared" si="703"/>
        <v>4281.2740800000001</v>
      </c>
      <c r="X1364" s="13">
        <f t="shared" si="704"/>
        <v>-24.000000000000909</v>
      </c>
      <c r="Y1364" s="43">
        <f t="shared" si="705"/>
        <v>0.20103653643876784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14.92</v>
      </c>
      <c r="V1365" s="13">
        <f>IF(ISNA(VLOOKUP(LOWER(F1365)&amp;H1365,Prices!A:C,2,0)),0,VLOOKUP(LOWER(F1365)&amp;H1365,Prices!A:C,2,0))</f>
        <v>13.99</v>
      </c>
      <c r="W1365" s="13">
        <f t="shared" si="703"/>
        <v>-6014.2858799999985</v>
      </c>
      <c r="X1365" s="13">
        <f t="shared" si="704"/>
        <v>2045.9999999999993</v>
      </c>
      <c r="Y1365" s="43">
        <f t="shared" si="705"/>
        <v>-0.24257021376139382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7.55</v>
      </c>
      <c r="V1366" s="13">
        <f>IF(ISNA(VLOOKUP(LOWER(F1366)&amp;H1366,Prices!A:C,2,0)),0,VLOOKUP(LOWER(F1366)&amp;H1366,Prices!A:C,2,0))</f>
        <v>7.48</v>
      </c>
      <c r="W1366" s="13">
        <f t="shared" si="703"/>
        <v>-129.08169999999961</v>
      </c>
      <c r="X1366" s="13">
        <f t="shared" si="704"/>
        <v>230.99999999999801</v>
      </c>
      <c r="Y1366" s="43">
        <f t="shared" si="705"/>
        <v>-5.250425055928396E-3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7.55</v>
      </c>
      <c r="V1367" s="13">
        <f>IF(ISNA(VLOOKUP(LOWER(F1367)&amp;H1367,Prices!A:C,2,0)),0,VLOOKUP(LOWER(F1367)&amp;H1367,Prices!A:C,2,0))</f>
        <v>7.48</v>
      </c>
      <c r="W1367" s="13">
        <f t="shared" si="703"/>
        <v>-93.347439999999438</v>
      </c>
      <c r="X1367" s="13">
        <f t="shared" si="704"/>
        <v>223.99999999999807</v>
      </c>
      <c r="Y1367" s="43">
        <f t="shared" si="705"/>
        <v>-3.9103317694369737E-3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27.96</v>
      </c>
      <c r="V1368" s="13">
        <f>IF(ISNA(VLOOKUP(LOWER(F1368)&amp;H1368,Prices!A:C,2,0)),0,VLOOKUP(LOWER(F1368)&amp;H1368,Prices!A:C,2,0))</f>
        <v>28.55</v>
      </c>
      <c r="W1368" s="13">
        <f t="shared" si="703"/>
        <v>-18317.47280000001</v>
      </c>
      <c r="X1368" s="13">
        <f t="shared" si="704"/>
        <v>-2123.9999999999995</v>
      </c>
      <c r="Y1368" s="43">
        <f t="shared" si="705"/>
        <v>-0.2166107658105105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55.5</v>
      </c>
      <c r="V1369" s="13">
        <f>IF(ISNA(VLOOKUP(LOWER(F1369)&amp;H1369,Prices!A:C,2,0)),0,VLOOKUP(LOWER(F1369)&amp;H1369,Prices!A:C,2,0))</f>
        <v>55.89</v>
      </c>
      <c r="W1369" s="13">
        <f t="shared" si="703"/>
        <v>56344.032599999999</v>
      </c>
      <c r="X1369" s="13">
        <f t="shared" si="704"/>
        <v>741.00000000000114</v>
      </c>
      <c r="Y1369" s="43">
        <f t="shared" si="705"/>
        <v>1.13056629813191</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55.5</v>
      </c>
      <c r="V1370" s="13">
        <f>IF(ISNA(VLOOKUP(LOWER(F1370)&amp;H1370,Prices!A:C,2,0)),0,VLOOKUP(LOWER(F1370)&amp;H1370,Prices!A:C,2,0))</f>
        <v>55.89</v>
      </c>
      <c r="W1370" s="13">
        <f t="shared" si="703"/>
        <v>53198.521200000003</v>
      </c>
      <c r="X1370" s="13">
        <f t="shared" si="704"/>
        <v>702.00000000000102</v>
      </c>
      <c r="Y1370" s="43">
        <f t="shared" si="705"/>
        <v>1.1224737561716673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36.85</v>
      </c>
      <c r="V1371" s="30">
        <f>IF(ISNA(VLOOKUP(LOWER(F1371)&amp;H1371,Prices!A:C,2,0)),0,VLOOKUP(LOWER(F1371)&amp;H1371,Prices!A:C,2,0))</f>
        <v>37.090000000000003</v>
      </c>
      <c r="W1371" s="30">
        <f t="shared" si="703"/>
        <v>-21356.720399999998</v>
      </c>
      <c r="X1371" s="30">
        <f t="shared" si="704"/>
        <v>144.00000000000119</v>
      </c>
      <c r="Y1371" s="40">
        <f t="shared" si="705"/>
        <v>-0.48981056832255399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36.85</v>
      </c>
      <c r="V1372" s="30">
        <f>IF(ISNA(VLOOKUP(LOWER(F1372)&amp;H1372,Prices!A:C,2,0)),0,VLOOKUP(LOWER(F1372)&amp;H1372,Prices!A:C,2,0))</f>
        <v>37.090000000000003</v>
      </c>
      <c r="W1372" s="30">
        <f t="shared" si="703"/>
        <v>-21554.76</v>
      </c>
      <c r="X1372" s="30">
        <f t="shared" si="704"/>
        <v>144.00000000000119</v>
      </c>
      <c r="Y1372" s="40">
        <f t="shared" si="705"/>
        <v>-0.49211780821917805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36.85</v>
      </c>
      <c r="V1373" s="30">
        <f>IF(ISNA(VLOOKUP(LOWER(F1373)&amp;H1373,Prices!A:C,2,0)),0,VLOOKUP(LOWER(F1373)&amp;H1373,Prices!A:C,2,0))</f>
        <v>37.090000000000003</v>
      </c>
      <c r="W1373" s="30">
        <f t="shared" si="703"/>
        <v>-21974.843999999994</v>
      </c>
      <c r="X1373" s="30">
        <f t="shared" si="704"/>
        <v>144.00000000000119</v>
      </c>
      <c r="Y1373" s="40">
        <f t="shared" si="705"/>
        <v>-0.49694355495251002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35.11</v>
      </c>
      <c r="V1374" s="13">
        <f>IF(ISNA(VLOOKUP(LOWER(F1374)&amp;H1374,Prices!A:C,2,0)),0,VLOOKUP(LOWER(F1374)&amp;H1374,Prices!A:C,2,0))</f>
        <v>34.75</v>
      </c>
      <c r="W1374" s="13">
        <f t="shared" si="703"/>
        <v>-1959.4249999999988</v>
      </c>
      <c r="X1374" s="13">
        <f t="shared" si="704"/>
        <v>-467.99999999999926</v>
      </c>
      <c r="Y1374" s="43">
        <f t="shared" si="705"/>
        <v>-4.1579310344827564E-2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35.11</v>
      </c>
      <c r="V1375" s="13">
        <f>IF(ISNA(VLOOKUP(LOWER(F1375)&amp;H1375,Prices!A:C,2,0)),0,VLOOKUP(LOWER(F1375)&amp;H1375,Prices!A:C,2,0))</f>
        <v>34.75</v>
      </c>
      <c r="W1375" s="13">
        <f t="shared" si="703"/>
        <v>-2024.4379999999992</v>
      </c>
      <c r="X1375" s="13">
        <f t="shared" si="704"/>
        <v>-467.99999999999926</v>
      </c>
      <c r="Y1375" s="43">
        <f t="shared" si="705"/>
        <v>-4.2899724517906322E-2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22.36</v>
      </c>
      <c r="V1376" s="13">
        <f>IF(ISNA(VLOOKUP(LOWER(F1376)&amp;H1376,Prices!A:C,2,0)),0,VLOOKUP(LOWER(F1376)&amp;H1376,Prices!A:C,2,0))</f>
        <v>22.23</v>
      </c>
      <c r="W1376" s="13">
        <f t="shared" si="703"/>
        <v>-26205.3272</v>
      </c>
      <c r="X1376" s="13">
        <f t="shared" si="704"/>
        <v>441.99999999999659</v>
      </c>
      <c r="Y1376" s="43">
        <f t="shared" si="705"/>
        <v>-0.53008591309976538</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42.41</v>
      </c>
      <c r="V1377" s="13">
        <f>IF(ISNA(VLOOKUP(LOWER(F1377)&amp;H1377,Prices!A:C,2,0)),0,VLOOKUP(LOWER(F1377)&amp;H1377,Prices!A:C,2,0))</f>
        <v>42.47</v>
      </c>
      <c r="W1377" s="13">
        <f t="shared" si="703"/>
        <v>5242.6578</v>
      </c>
      <c r="X1377" s="13">
        <f t="shared" si="704"/>
        <v>-30.000000000001137</v>
      </c>
      <c r="Y1377" s="43">
        <f t="shared" si="705"/>
        <v>0.1977615164089023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14.92</v>
      </c>
      <c r="V1378" s="13">
        <f>IF(ISNA(VLOOKUP(LOWER(F1378)&amp;H1378,Prices!A:C,2,0)),0,VLOOKUP(LOWER(F1378)&amp;H1378,Prices!A:C,2,0))</f>
        <v>13.99</v>
      </c>
      <c r="W1378" s="13">
        <f t="shared" si="703"/>
        <v>-6058.2449999999981</v>
      </c>
      <c r="X1378" s="13">
        <f t="shared" si="704"/>
        <v>2045.9999999999993</v>
      </c>
      <c r="Y1378" s="43">
        <f t="shared" si="705"/>
        <v>-0.24477757575757567</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7.55</v>
      </c>
      <c r="V1379" s="13">
        <f>IF(ISNA(VLOOKUP(LOWER(F1379)&amp;H1379,Prices!A:C,2,0)),0,VLOOKUP(LOWER(F1379)&amp;H1379,Prices!A:C,2,0))</f>
        <v>7.48</v>
      </c>
      <c r="W1379" s="13">
        <f t="shared" si="703"/>
        <v>355.60840000000303</v>
      </c>
      <c r="X1379" s="13">
        <f t="shared" si="704"/>
        <v>489.99999999999579</v>
      </c>
      <c r="Y1379" s="43">
        <f t="shared" si="705"/>
        <v>6.7375596816976703E-3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27.96</v>
      </c>
      <c r="V1380" s="13">
        <f>IF(ISNA(VLOOKUP(LOWER(F1380)&amp;H1380,Prices!A:C,2,0)),0,VLOOKUP(LOWER(F1380)&amp;H1380,Prices!A:C,2,0))</f>
        <v>28.55</v>
      </c>
      <c r="W1380" s="13">
        <f t="shared" si="703"/>
        <v>-38977.931499999992</v>
      </c>
      <c r="X1380" s="13">
        <f t="shared" si="704"/>
        <v>-4424.9999999999991</v>
      </c>
      <c r="Y1380" s="43">
        <f t="shared" si="705"/>
        <v>-0.22227695707340714</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17.760000000000002</v>
      </c>
      <c r="V1381" s="13">
        <f>IF(ISNA(VLOOKUP(LOWER(F1381)&amp;H1381,Prices!A:C,2,0)),0,VLOOKUP(LOWER(F1381)&amp;H1381,Prices!A:C,2,0))</f>
        <v>17.62</v>
      </c>
      <c r="W1381" s="13">
        <f t="shared" si="703"/>
        <v>4782.57</v>
      </c>
      <c r="X1381" s="13">
        <f t="shared" si="704"/>
        <v>140.00000000000057</v>
      </c>
      <c r="Y1381" s="43">
        <f t="shared" si="705"/>
        <v>0.21322202407489968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35.11</v>
      </c>
      <c r="V1383" s="13">
        <f>IF(ISNA(VLOOKUP(LOWER(F1383)&amp;H1383,Prices!A:C,2,0)),0,VLOOKUP(LOWER(F1383)&amp;H1383,Prices!A:C,2,0))</f>
        <v>34.75</v>
      </c>
      <c r="W1383" s="13">
        <f t="shared" si="703"/>
        <v>1049.7605999999962</v>
      </c>
      <c r="X1383" s="13">
        <f t="shared" si="704"/>
        <v>611.99999999999909</v>
      </c>
      <c r="Y1383" s="43">
        <f t="shared" si="705"/>
        <v>1.7438752761765475E-2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55.5</v>
      </c>
      <c r="V1384" s="13">
        <f>IF(ISNA(VLOOKUP(LOWER(F1384)&amp;H1384,Prices!A:C,2,0)),0,VLOOKUP(LOWER(F1384)&amp;H1384,Prices!A:C,2,0))</f>
        <v>55.89</v>
      </c>
      <c r="W1384" s="13">
        <f t="shared" si="703"/>
        <v>-55939.3724</v>
      </c>
      <c r="X1384" s="13">
        <f t="shared" si="704"/>
        <v>-741.00000000000114</v>
      </c>
      <c r="Y1384" s="43">
        <f t="shared" si="705"/>
        <v>-1.1118495070758467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36.85</v>
      </c>
      <c r="V1385" s="13">
        <f>IF(ISNA(VLOOKUP(LOWER(F1385)&amp;H1385,Prices!A:C,2,0)),0,VLOOKUP(LOWER(F1385)&amp;H1385,Prices!A:C,2,0))</f>
        <v>37.090000000000003</v>
      </c>
      <c r="W1385" s="13">
        <f t="shared" si="703"/>
        <v>66762</v>
      </c>
      <c r="X1385" s="13">
        <f t="shared" si="704"/>
        <v>432.00000000000358</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36.85</v>
      </c>
      <c r="V1386" s="13">
        <f>IF(ISNA(VLOOKUP(LOWER(F1386)&amp;H1386,Prices!A:C,2,0)),0,VLOOKUP(LOWER(F1386)&amp;H1386,Prices!A:C,2,0))</f>
        <v>37.090000000000003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36.85</v>
      </c>
      <c r="V1387" s="30">
        <f>IF(ISNA(VLOOKUP(LOWER(F1387)&amp;H1387,Prices!A:C,2,0)),0,VLOOKUP(LOWER(F1387)&amp;H1387,Prices!A:C,2,0))</f>
        <v>37.090000000000003</v>
      </c>
      <c r="W1387" s="30">
        <f t="shared" si="703"/>
        <v>-3935.6888000000113</v>
      </c>
      <c r="X1387" s="30">
        <f t="shared" si="704"/>
        <v>-864.00000000000716</v>
      </c>
      <c r="Y1387" s="40">
        <f t="shared" si="705"/>
        <v>-3.0334264397583018E-2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5.73</v>
      </c>
      <c r="V1394" s="13">
        <f>IF(ISNA(VLOOKUP(LOWER(F1394)&amp;H1394,Prices!A:C,2,0)),0,VLOOKUP(LOWER(F1394)&amp;H1394,Prices!A:C,2,0))</f>
        <v>5.68</v>
      </c>
      <c r="W1394" s="13">
        <f t="shared" si="719"/>
        <v>-8938.9612800000068</v>
      </c>
      <c r="X1394" s="13">
        <f t="shared" si="720"/>
        <v>-360.00000000000512</v>
      </c>
      <c r="Y1394" s="43">
        <f t="shared" si="721"/>
        <v>-0.17941075144508684</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5.21</v>
      </c>
      <c r="V1395" s="13">
        <f>IF(ISNA(VLOOKUP(LOWER(F1395)&amp;H1395,Prices!A:C,2,0)),0,VLOOKUP(LOWER(F1395)&amp;H1395,Prices!A:C,2,0))</f>
        <v>5.21</v>
      </c>
      <c r="W1395" s="13">
        <f t="shared" si="719"/>
        <v>-8170.9647999999997</v>
      </c>
      <c r="X1395" s="13">
        <f t="shared" si="720"/>
        <v>0</v>
      </c>
      <c r="Y1395" s="43">
        <f t="shared" si="721"/>
        <v>-0.1639439165329053</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5.73</v>
      </c>
      <c r="V1396" s="13">
        <f>IF(ISNA(VLOOKUP(LOWER(F1396)&amp;H1396,Prices!A:C,2,0)),0,VLOOKUP(LOWER(F1396)&amp;H1396,Prices!A:C,2,0))</f>
        <v>5.68</v>
      </c>
      <c r="W1396" s="13">
        <f t="shared" si="719"/>
        <v>-8866.9454400000013</v>
      </c>
      <c r="X1396" s="13">
        <f t="shared" si="720"/>
        <v>-360.00000000000512</v>
      </c>
      <c r="Y1396" s="43">
        <f t="shared" si="721"/>
        <v>-0.17822289435600583</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5.73</v>
      </c>
      <c r="V1397" s="13">
        <f>IF(ISNA(VLOOKUP(LOWER(F1397)&amp;H1397,Prices!A:C,2,0)),0,VLOOKUP(LOWER(F1397)&amp;H1397,Prices!A:C,2,0))</f>
        <v>5.68</v>
      </c>
      <c r="W1397" s="13">
        <f t="shared" si="719"/>
        <v>-9027.8559000000078</v>
      </c>
      <c r="X1397" s="13">
        <f t="shared" si="720"/>
        <v>-355.00000000000506</v>
      </c>
      <c r="Y1397" s="43">
        <f t="shared" si="721"/>
        <v>-0.18295381294964044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5.21</v>
      </c>
      <c r="V1398" s="13">
        <f>IF(ISNA(VLOOKUP(LOWER(F1398)&amp;H1398,Prices!A:C,2,0)),0,VLOOKUP(LOWER(F1398)&amp;H1398,Prices!A:C,2,0))</f>
        <v>5.21</v>
      </c>
      <c r="W1398" s="13">
        <f t="shared" si="719"/>
        <v>-8384.8972600000052</v>
      </c>
      <c r="X1398" s="13">
        <f t="shared" si="720"/>
        <v>0</v>
      </c>
      <c r="Y1398" s="43">
        <f t="shared" si="721"/>
        <v>-0.16927901116427443</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5.73</v>
      </c>
      <c r="V1399" s="13">
        <f>IF(ISNA(VLOOKUP(LOWER(F1399)&amp;H1399,Prices!A:C,2,0)),0,VLOOKUP(LOWER(F1399)&amp;H1399,Prices!A:C,2,0))</f>
        <v>5.68</v>
      </c>
      <c r="W1399" s="13">
        <f t="shared" si="719"/>
        <v>-9595.9808600000051</v>
      </c>
      <c r="X1399" s="13">
        <f t="shared" si="720"/>
        <v>-355.00000000000506</v>
      </c>
      <c r="Y1399" s="43">
        <f t="shared" si="721"/>
        <v>-0.19225413940256056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5.21</v>
      </c>
      <c r="V1401" s="13">
        <f>IF(ISNA(VLOOKUP(LOWER(F1401)&amp;H1401,Prices!A:C,2,0)),0,VLOOKUP(LOWER(F1401)&amp;H1401,Prices!A:C,2,0))</f>
        <v>5.21</v>
      </c>
      <c r="W1401" s="13">
        <f t="shared" si="719"/>
        <v>-8384.8972600000052</v>
      </c>
      <c r="X1401" s="13">
        <f t="shared" si="720"/>
        <v>0</v>
      </c>
      <c r="Y1401" s="43">
        <f t="shared" si="721"/>
        <v>-0.16927901116427443</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5.21</v>
      </c>
      <c r="V1404" s="13">
        <f>IF(ISNA(VLOOKUP(LOWER(F1404)&amp;H1404,Prices!A:C,2,0)),0,VLOOKUP(LOWER(F1404)&amp;H1404,Prices!A:C,2,0))</f>
        <v>5.21</v>
      </c>
      <c r="W1404" s="13">
        <f t="shared" si="719"/>
        <v>-8542.932020000002</v>
      </c>
      <c r="X1404" s="13">
        <f t="shared" si="720"/>
        <v>0</v>
      </c>
      <c r="Y1404" s="43">
        <f t="shared" si="721"/>
        <v>-0.17192111287758349</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5.21</v>
      </c>
      <c r="V1406" s="13">
        <f>IF(ISNA(VLOOKUP(LOWER(F1406)&amp;H1406,Prices!A:C,2,0)),0,VLOOKUP(LOWER(F1406)&amp;H1406,Prices!A:C,2,0))</f>
        <v>5.21</v>
      </c>
      <c r="W1406" s="13">
        <f t="shared" si="719"/>
        <v>-8700.9667800000043</v>
      </c>
      <c r="X1406" s="13">
        <f t="shared" si="720"/>
        <v>0</v>
      </c>
      <c r="Y1406" s="43">
        <f t="shared" si="721"/>
        <v>-0.17454646592709994</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35.11</v>
      </c>
      <c r="V1407" s="13">
        <f>IF(ISNA(VLOOKUP(LOWER(F1407)&amp;H1407,Prices!A:C,2,0)),0,VLOOKUP(LOWER(F1407)&amp;H1407,Prices!A:C,2,0))</f>
        <v>34.75</v>
      </c>
      <c r="W1407" s="13">
        <f t="shared" si="719"/>
        <v>1779.8844000000138</v>
      </c>
      <c r="X1407" s="13">
        <f t="shared" si="720"/>
        <v>611.99999999999909</v>
      </c>
      <c r="Y1407" s="43">
        <f t="shared" si="721"/>
        <v>2.9212913602941398E-2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55.5</v>
      </c>
      <c r="V1408" s="13">
        <f>IF(ISNA(VLOOKUP(LOWER(F1408)&amp;H1408,Prices!A:C,2,0)),0,VLOOKUP(LOWER(F1408)&amp;H1408,Prices!A:C,2,0))</f>
        <v>55.89</v>
      </c>
      <c r="W1408" s="13">
        <f t="shared" si="719"/>
        <v>-53486.004520000002</v>
      </c>
      <c r="X1408" s="13">
        <f t="shared" si="720"/>
        <v>-702.00000000000102</v>
      </c>
      <c r="Y1408" s="43">
        <f t="shared" si="721"/>
        <v>-1.1338362634241064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17.760000000000002</v>
      </c>
      <c r="V1409" s="13">
        <f>IF(ISNA(VLOOKUP(LOWER(F1409)&amp;H1409,Prices!A:C,2,0)),0,VLOOKUP(LOWER(F1409)&amp;H1409,Prices!A:C,2,0))</f>
        <v>17.62</v>
      </c>
      <c r="W1409" s="13">
        <f t="shared" ref="W1409" si="726">IF(I1409="B",(V1409+T1409)*K1409,(V1409+T1409)*K1409)</f>
        <v>-4528.8951999999981</v>
      </c>
      <c r="X1409" s="13">
        <f t="shared" ref="X1409" si="727">K1409*(V1409-U1409)</f>
        <v>-238.00000000000097</v>
      </c>
      <c r="Y1409" s="43">
        <f t="shared" ref="Y1409" si="728">W1409/O1409</f>
        <v>-0.13136370808678496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20.13</v>
      </c>
      <c r="V1410" s="13">
        <f>IF(ISNA(VLOOKUP(LOWER(F1410)&amp;H1410,Prices!A:C,2,0)),0,VLOOKUP(LOWER(F1410)&amp;H1410,Prices!A:C,2,0))</f>
        <v>20.21</v>
      </c>
      <c r="W1410" s="13">
        <f t="shared" ref="W1410:W1433" si="733">IF(I1410="B",(V1410+T1410)*K1410,(V1410+T1410)*K1410)</f>
        <v>9415.1632000000063</v>
      </c>
      <c r="X1410" s="13">
        <f t="shared" ref="X1410:X1433" si="734">K1410*(V1410-U1410)</f>
        <v>232.00000000000534</v>
      </c>
      <c r="Y1410" s="43">
        <f t="shared" ref="Y1410:Y1433" si="735">W1410/O1410</f>
        <v>0.19142735849056616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5.73</v>
      </c>
      <c r="V1413" s="13">
        <f>IF(ISNA(VLOOKUP(LOWER(F1413)&amp;H1413,Prices!A:C,2,0)),0,VLOOKUP(LOWER(F1413)&amp;H1413,Prices!A:C,2,0))</f>
        <v>5.68</v>
      </c>
      <c r="W1413" s="13">
        <f t="shared" si="733"/>
        <v>20824.207760000012</v>
      </c>
      <c r="X1413" s="13">
        <f t="shared" si="734"/>
        <v>680.00000000000966</v>
      </c>
      <c r="Y1413" s="43">
        <f t="shared" si="735"/>
        <v>0.212076419260225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5.21</v>
      </c>
      <c r="V1414" s="13">
        <f>IF(ISNA(VLOOKUP(LOWER(F1414)&amp;H1414,Prices!A:C,2,0)),0,VLOOKUP(LOWER(F1414)&amp;H1414,Prices!A:C,2,0))</f>
        <v>5.21</v>
      </c>
      <c r="W1414" s="13">
        <f t="shared" si="733"/>
        <v>13695.808680000006</v>
      </c>
      <c r="X1414" s="13">
        <f t="shared" si="734"/>
        <v>0</v>
      </c>
      <c r="Y1414" s="43">
        <f t="shared" si="735"/>
        <v>0.19847272237196772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20.13</v>
      </c>
      <c r="V1415" s="13">
        <f>IF(ISNA(VLOOKUP(LOWER(F1415)&amp;H1415,Prices!A:C,2,0)),0,VLOOKUP(LOWER(F1415)&amp;H1415,Prices!A:C,2,0))</f>
        <v>20.21</v>
      </c>
      <c r="W1415" s="13">
        <f t="shared" si="733"/>
        <v>9357.1515999999956</v>
      </c>
      <c r="X1415" s="13">
        <f t="shared" si="734"/>
        <v>232.00000000000534</v>
      </c>
      <c r="Y1415" s="43">
        <f t="shared" si="735"/>
        <v>0.19002379269729083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26.47</v>
      </c>
      <c r="V1416" s="13">
        <f>IF(ISNA(VLOOKUP(LOWER(F1416)&amp;H1416,Prices!A:C,2,0)),0,VLOOKUP(LOWER(F1416)&amp;H1416,Prices!A:C,2,0))</f>
        <v>26.24</v>
      </c>
      <c r="W1416" s="13">
        <f t="shared" si="733"/>
        <v>-12802.318879999997</v>
      </c>
      <c r="X1416" s="13">
        <f t="shared" si="734"/>
        <v>-299.00000000000057</v>
      </c>
      <c r="Y1416" s="43">
        <f t="shared" si="735"/>
        <v>-0.27294727272727265</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20.13</v>
      </c>
      <c r="V1417" s="13">
        <f>IF(ISNA(VLOOKUP(LOWER(F1417)&amp;H1417,Prices!A:C,2,0)),0,VLOOKUP(LOWER(F1417)&amp;H1417,Prices!A:C,2,0))</f>
        <v>20.21</v>
      </c>
      <c r="W1417" s="13">
        <f t="shared" si="733"/>
        <v>9328.1458000000057</v>
      </c>
      <c r="X1417" s="13">
        <f t="shared" si="734"/>
        <v>232.00000000000534</v>
      </c>
      <c r="Y1417" s="43">
        <f t="shared" si="735"/>
        <v>0.18932324896998248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20.13</v>
      </c>
      <c r="V1418" s="13">
        <f>IF(ISNA(VLOOKUP(LOWER(F1418)&amp;H1418,Prices!A:C,2,0)),0,VLOOKUP(LOWER(F1418)&amp;H1418,Prices!A:C,2,0))</f>
        <v>20.21</v>
      </c>
      <c r="W1418" s="13">
        <f t="shared" si="733"/>
        <v>9328.1458000000057</v>
      </c>
      <c r="X1418" s="13">
        <f t="shared" si="734"/>
        <v>232.00000000000534</v>
      </c>
      <c r="Y1418" s="43">
        <f t="shared" si="735"/>
        <v>0.18932324896998248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17.760000000000002</v>
      </c>
      <c r="V1419" s="13">
        <f>IF(ISNA(VLOOKUP(LOWER(F1419)&amp;H1419,Prices!A:C,2,0)),0,VLOOKUP(LOWER(F1419)&amp;H1419,Prices!A:C,2,0))</f>
        <v>17.62</v>
      </c>
      <c r="W1419" s="13">
        <f t="shared" si="733"/>
        <v>-6657.7871999999988</v>
      </c>
      <c r="X1419" s="13">
        <f t="shared" si="734"/>
        <v>-336.00000000000136</v>
      </c>
      <c r="Y1419" s="43">
        <f t="shared" si="735"/>
        <v>-0.13605090730750366</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26.47</v>
      </c>
      <c r="V1420" s="13">
        <f>IF(ISNA(VLOOKUP(LOWER(F1420)&amp;H1420,Prices!A:C,2,0)),0,VLOOKUP(LOWER(F1420)&amp;H1420,Prices!A:C,2,0))</f>
        <v>26.24</v>
      </c>
      <c r="W1420" s="13">
        <f t="shared" si="733"/>
        <v>-12821.823170000001</v>
      </c>
      <c r="X1420" s="13">
        <f t="shared" si="734"/>
        <v>-299.00000000000057</v>
      </c>
      <c r="Y1420" s="43">
        <f t="shared" si="735"/>
        <v>-0.27324950547167198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20.13</v>
      </c>
      <c r="V1421" s="13">
        <f>IF(ISNA(VLOOKUP(LOWER(F1421)&amp;H1421,Prices!A:C,2,0)),0,VLOOKUP(LOWER(F1421)&amp;H1421,Prices!A:C,2,0))</f>
        <v>20.21</v>
      </c>
      <c r="W1421" s="13">
        <f t="shared" si="733"/>
        <v>9299.1400000000049</v>
      </c>
      <c r="X1421" s="13">
        <f t="shared" si="734"/>
        <v>232.00000000000534</v>
      </c>
      <c r="Y1421" s="43">
        <f t="shared" si="735"/>
        <v>0.1886235294117648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20.13</v>
      </c>
      <c r="V1422" s="13">
        <f>IF(ISNA(VLOOKUP(LOWER(F1422)&amp;H1422,Prices!A:C,2,0)),0,VLOOKUP(LOWER(F1422)&amp;H1422,Prices!A:C,2,0))</f>
        <v>20.21</v>
      </c>
      <c r="W1422" s="13">
        <f t="shared" si="733"/>
        <v>9299.1400000000049</v>
      </c>
      <c r="X1422" s="13">
        <f t="shared" si="734"/>
        <v>232.00000000000534</v>
      </c>
      <c r="Y1422" s="43">
        <f t="shared" si="735"/>
        <v>0.1886235294117648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17.760000000000002</v>
      </c>
      <c r="V1423" s="13">
        <f>IF(ISNA(VLOOKUP(LOWER(F1423)&amp;H1423,Prices!A:C,2,0)),0,VLOOKUP(LOWER(F1423)&amp;H1423,Prices!A:C,2,0))</f>
        <v>17.62</v>
      </c>
      <c r="W1423" s="13">
        <f t="shared" si="733"/>
        <v>-6489.7535999999973</v>
      </c>
      <c r="X1423" s="13">
        <f t="shared" si="734"/>
        <v>-336.00000000000136</v>
      </c>
      <c r="Y1423" s="43">
        <f t="shared" si="735"/>
        <v>-0.13307401574803143</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17.760000000000002</v>
      </c>
      <c r="V1424" s="13">
        <f>IF(ISNA(VLOOKUP(LOWER(F1424)&amp;H1424,Prices!A:C,2,0)),0,VLOOKUP(LOWER(F1424)&amp;H1424,Prices!A:C,2,0))</f>
        <v>17.62</v>
      </c>
      <c r="W1424" s="13">
        <f t="shared" si="733"/>
        <v>-6513.7583999999888</v>
      </c>
      <c r="X1424" s="13">
        <f t="shared" si="734"/>
        <v>-336.00000000000136</v>
      </c>
      <c r="Y1424" s="43">
        <f t="shared" si="735"/>
        <v>-0.13350054107230672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68.900000000000006</v>
      </c>
      <c r="V1425" s="13">
        <f>IF(ISNA(VLOOKUP(LOWER(F1425)&amp;H1425,Prices!A:C,2,0)),0,VLOOKUP(LOWER(F1425)&amp;H1425,Prices!A:C,2,0))</f>
        <v>72.989999999999995</v>
      </c>
      <c r="W1425" s="13">
        <f t="shared" si="733"/>
        <v>46686.361799999999</v>
      </c>
      <c r="X1425" s="13">
        <f t="shared" si="734"/>
        <v>5316.9999999999864</v>
      </c>
      <c r="Y1425" s="43">
        <f t="shared" si="735"/>
        <v>0.96877760992716477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68.900000000000006</v>
      </c>
      <c r="V1426" s="13">
        <f>IF(ISNA(VLOOKUP(LOWER(F1426)&amp;H1426,Prices!A:C,2,0)),0,VLOOKUP(LOWER(F1426)&amp;H1426,Prices!A:C,2,0))</f>
        <v>72.989999999999995</v>
      </c>
      <c r="W1426" s="13">
        <f t="shared" si="733"/>
        <v>46504.325399999994</v>
      </c>
      <c r="X1426" s="13">
        <f t="shared" si="734"/>
        <v>5316.9999999999864</v>
      </c>
      <c r="Y1426" s="43">
        <f t="shared" si="735"/>
        <v>0.96136947057242661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20.13</v>
      </c>
      <c r="V1427" s="13">
        <f>IF(ISNA(VLOOKUP(LOWER(F1427)&amp;H1427,Prices!A:C,2,0)),0,VLOOKUP(LOWER(F1427)&amp;H1427,Prices!A:C,2,0))</f>
        <v>20.21</v>
      </c>
      <c r="W1427" s="13">
        <f t="shared" si="733"/>
        <v>9328.1458000000057</v>
      </c>
      <c r="X1427" s="13">
        <f t="shared" si="734"/>
        <v>232.00000000000534</v>
      </c>
      <c r="Y1427" s="43">
        <f t="shared" si="735"/>
        <v>0.18932324896998248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20.13</v>
      </c>
      <c r="V1428" s="13">
        <f>IF(ISNA(VLOOKUP(LOWER(F1428)&amp;H1428,Prices!A:C,2,0)),0,VLOOKUP(LOWER(F1428)&amp;H1428,Prices!A:C,2,0))</f>
        <v>20.21</v>
      </c>
      <c r="W1428" s="13">
        <f t="shared" si="733"/>
        <v>9444.1690000000053</v>
      </c>
      <c r="X1428" s="13">
        <f t="shared" si="734"/>
        <v>232.00000000000534</v>
      </c>
      <c r="Y1428" s="43">
        <f t="shared" si="735"/>
        <v>0.19213038348082606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5.21</v>
      </c>
      <c r="V1430" s="13">
        <f>IF(ISNA(VLOOKUP(LOWER(F1430)&amp;H1430,Prices!A:C,2,0)),0,VLOOKUP(LOWER(F1430)&amp;H1430,Prices!A:C,2,0))</f>
        <v>5.21</v>
      </c>
      <c r="W1430" s="13">
        <f t="shared" si="733"/>
        <v>13156.653599999994</v>
      </c>
      <c r="X1430" s="13">
        <f t="shared" si="734"/>
        <v>0</v>
      </c>
      <c r="Y1430" s="43">
        <f t="shared" si="735"/>
        <v>0.21883988023952086</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5.21</v>
      </c>
      <c r="V1432" s="13">
        <f>IF(ISNA(VLOOKUP(LOWER(F1432)&amp;H1432,Prices!A:C,2,0)),0,VLOOKUP(LOWER(F1432)&amp;H1432,Prices!A:C,2,0))</f>
        <v>5.21</v>
      </c>
      <c r="W1432" s="13">
        <f t="shared" si="733"/>
        <v>28637.739999999994</v>
      </c>
      <c r="X1432" s="13">
        <f t="shared" si="734"/>
        <v>0</v>
      </c>
      <c r="Y1432" s="43">
        <f t="shared" si="735"/>
        <v>0.21532135338345859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5.73</v>
      </c>
      <c r="V1433" s="13">
        <f>IF(ISNA(VLOOKUP(LOWER(F1433)&amp;H1433,Prices!A:C,2,0)),0,VLOOKUP(LOWER(F1433)&amp;H1433,Prices!A:C,2,0))</f>
        <v>5.68</v>
      </c>
      <c r="W1433" s="13">
        <f t="shared" si="733"/>
        <v>24466.044000000002</v>
      </c>
      <c r="X1433" s="13">
        <f t="shared" si="734"/>
        <v>750.00000000001069</v>
      </c>
      <c r="Y1433" s="43">
        <f t="shared" si="735"/>
        <v>0.22282371584699456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26.47</v>
      </c>
      <c r="V1434" s="13">
        <f>IF(ISNA(VLOOKUP(LOWER(F1434)&amp;H1434,Prices!A:C,2,0)),0,VLOOKUP(LOWER(F1434)&amp;H1434,Prices!A:C,2,0))</f>
        <v>26.24</v>
      </c>
      <c r="W1434" s="13">
        <f t="shared" ref="W1434:W1445" si="744">IF(I1434="B",(V1434+T1434)*K1434,(V1434+T1434)*K1434)</f>
        <v>28819.464360000009</v>
      </c>
      <c r="X1434" s="13">
        <f t="shared" ref="X1434:X1445" si="745">K1434*(V1434-U1434)</f>
        <v>598.00000000000114</v>
      </c>
      <c r="Y1434" s="43">
        <f t="shared" ref="Y1434:Y1445" si="746">W1434/O1434</f>
        <v>0.29661250653547694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17.760000000000002</v>
      </c>
      <c r="V1435" s="13">
        <f>IF(ISNA(VLOOKUP(LOWER(F1435)&amp;H1435,Prices!A:C,2,0)),0,VLOOKUP(LOWER(F1435)&amp;H1435,Prices!A:C,2,0))</f>
        <v>17.62</v>
      </c>
      <c r="W1435" s="13">
        <f t="shared" si="744"/>
        <v>35724.675199999991</v>
      </c>
      <c r="X1435" s="13">
        <f t="shared" si="745"/>
        <v>1246.000000000005</v>
      </c>
      <c r="Y1435" s="43">
        <f t="shared" si="746"/>
        <v>0.18531894965088649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20.13</v>
      </c>
      <c r="V1436" s="13">
        <f>IF(ISNA(VLOOKUP(LOWER(F1436)&amp;H1436,Prices!A:C,2,0)),0,VLOOKUP(LOWER(F1436)&amp;H1436,Prices!A:C,2,0))</f>
        <v>20.21</v>
      </c>
      <c r="W1436" s="13">
        <f t="shared" si="744"/>
        <v>-66325.236080000002</v>
      </c>
      <c r="X1436" s="13">
        <f t="shared" si="745"/>
        <v>-1856.0000000000427</v>
      </c>
      <c r="Y1436" s="43">
        <f t="shared" si="746"/>
        <v>-0.16456633564118239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68.900000000000006</v>
      </c>
      <c r="V1437" s="13">
        <f>IF(ISNA(VLOOKUP(LOWER(F1437)&amp;H1437,Prices!A:C,2,0)),0,VLOOKUP(LOWER(F1437)&amp;H1437,Prices!A:C,2,0))</f>
        <v>72.989999999999995</v>
      </c>
      <c r="W1437" s="13">
        <f t="shared" si="744"/>
        <v>-82652.7</v>
      </c>
      <c r="X1437" s="13">
        <f t="shared" si="745"/>
        <v>-10633.999999999973</v>
      </c>
      <c r="Y1437" s="43">
        <f t="shared" si="746"/>
        <v>-0.77065454545454548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16.649999999999999</v>
      </c>
      <c r="V1439" s="13">
        <f>IF(ISNA(VLOOKUP(LOWER(F1439)&amp;H1439,Prices!A:C,2,0)),0,VLOOKUP(LOWER(F1439)&amp;H1439,Prices!A:C,2,0))</f>
        <v>16.54</v>
      </c>
      <c r="W1439" s="13">
        <f t="shared" si="744"/>
        <v>140.1059999999994</v>
      </c>
      <c r="X1439" s="13">
        <f t="shared" si="745"/>
        <v>-329.99999999999829</v>
      </c>
      <c r="Y1439" s="43">
        <f t="shared" si="746"/>
        <v>2.8321406913280659E-3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36.85</v>
      </c>
      <c r="V1440" s="13">
        <f>IF(ISNA(VLOOKUP(LOWER(F1440)&amp;H1440,Prices!A:C,2,0)),0,VLOOKUP(LOWER(F1440)&amp;H1440,Prices!A:C,2,0))</f>
        <v>37.090000000000003</v>
      </c>
      <c r="W1440" s="13">
        <f t="shared" si="744"/>
        <v>2258.0684000000033</v>
      </c>
      <c r="X1440" s="13">
        <f t="shared" si="745"/>
        <v>336.00000000000279</v>
      </c>
      <c r="Y1440" s="43">
        <f t="shared" si="746"/>
        <v>4.5472399210600575E-2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16.649999999999999</v>
      </c>
      <c r="V1441" s="13">
        <f>IF(ISNA(VLOOKUP(LOWER(F1441)&amp;H1441,Prices!A:C,2,0)),0,VLOOKUP(LOWER(F1441)&amp;H1441,Prices!A:C,2,0))</f>
        <v>16.54</v>
      </c>
      <c r="W1441" s="13">
        <f t="shared" si="744"/>
        <v>110.0999999999992</v>
      </c>
      <c r="X1441" s="13">
        <f t="shared" si="745"/>
        <v>-329.99999999999829</v>
      </c>
      <c r="Y1441" s="43">
        <f t="shared" si="746"/>
        <v>2.2242424242424081E-3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36.85</v>
      </c>
      <c r="V1442" s="13">
        <f>IF(ISNA(VLOOKUP(LOWER(F1442)&amp;H1442,Prices!A:C,2,0)),0,VLOOKUP(LOWER(F1442)&amp;H1442,Prices!A:C,2,0))</f>
        <v>37.090000000000003</v>
      </c>
      <c r="W1442" s="13">
        <f t="shared" si="744"/>
        <v>2384.0936000000042</v>
      </c>
      <c r="X1442" s="13">
        <f t="shared" si="745"/>
        <v>336.00000000000279</v>
      </c>
      <c r="Y1442" s="43">
        <f t="shared" si="746"/>
        <v>4.8132391181458539E-2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36.85</v>
      </c>
      <c r="V1443" s="13">
        <f>IF(ISNA(VLOOKUP(LOWER(F1443)&amp;H1443,Prices!A:C,2,0)),0,VLOOKUP(LOWER(F1443)&amp;H1443,Prices!A:C,2,0))</f>
        <v>37.090000000000003</v>
      </c>
      <c r="W1443" s="13">
        <f t="shared" si="744"/>
        <v>2258.0684000000033</v>
      </c>
      <c r="X1443" s="13">
        <f t="shared" si="745"/>
        <v>336.00000000000279</v>
      </c>
      <c r="Y1443" s="43">
        <f t="shared" si="746"/>
        <v>4.5472399210600575E-2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36.85</v>
      </c>
      <c r="V1445" s="13">
        <f>IF(ISNA(VLOOKUP(LOWER(F1445)&amp;H1445,Prices!A:C,2,0)),0,VLOOKUP(LOWER(F1445)&amp;H1445,Prices!A:C,2,0))</f>
        <v>37.090000000000003</v>
      </c>
      <c r="W1445" s="13">
        <f t="shared" si="744"/>
        <v>1978.0124000000014</v>
      </c>
      <c r="X1445" s="13">
        <f t="shared" si="745"/>
        <v>336.00000000000279</v>
      </c>
      <c r="Y1445" s="43">
        <f t="shared" si="746"/>
        <v>3.9609363610877517E-2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36.85</v>
      </c>
      <c r="V1446" s="13">
        <f>IF(ISNA(VLOOKUP(LOWER(F1446)&amp;H1446,Prices!A:C,2,0)),0,VLOOKUP(LOWER(F1446)&amp;H1446,Prices!A:C,2,0))</f>
        <v>37.090000000000003</v>
      </c>
      <c r="W1446" s="13">
        <f t="shared" ref="W1446:W1458" si="751">IF(I1446="B",(V1446+T1446)*K1446,(V1446+T1446)*K1446)</f>
        <v>-10764.615200000026</v>
      </c>
      <c r="X1446" s="13">
        <f t="shared" ref="X1446:X1458" si="752">K1446*(V1446-U1446)</f>
        <v>-1344.0000000000111</v>
      </c>
      <c r="Y1446" s="43">
        <f t="shared" ref="Y1446:Y1458" si="753">W1446/O1446</f>
        <v>-5.459394246764325E-2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16.649999999999999</v>
      </c>
      <c r="V1447" s="13">
        <f>IF(ISNA(VLOOKUP(LOWER(F1447)&amp;H1447,Prices!A:C,2,0)),0,VLOOKUP(LOWER(F1447)&amp;H1447,Prices!A:C,2,0))</f>
        <v>16.54</v>
      </c>
      <c r="W1447" s="13">
        <f t="shared" si="751"/>
        <v>-538.58399999999301</v>
      </c>
      <c r="X1447" s="13">
        <f t="shared" si="752"/>
        <v>659.99999999999659</v>
      </c>
      <c r="Y1447" s="43">
        <f t="shared" si="753"/>
        <v>-5.4501517911353268E-3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16.649999999999999</v>
      </c>
      <c r="V1448" s="13">
        <f>IF(ISNA(VLOOKUP(LOWER(F1448)&amp;H1448,Prices!A:C,2,0)),0,VLOOKUP(LOWER(F1448)&amp;H1448,Prices!A:C,2,0))</f>
        <v>16.54</v>
      </c>
      <c r="W1448" s="13">
        <f t="shared" si="751"/>
        <v>1010.2799999999945</v>
      </c>
      <c r="X1448" s="13">
        <f t="shared" si="752"/>
        <v>-329.99999999999829</v>
      </c>
      <c r="Y1448" s="43">
        <f t="shared" si="753"/>
        <v>2.0787654320987541E-2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16.649999999999999</v>
      </c>
      <c r="V1451" s="13">
        <f>IF(ISNA(VLOOKUP(LOWER(F1451)&amp;H1451,Prices!A:C,2,0)),0,VLOOKUP(LOWER(F1451)&amp;H1451,Prices!A:C,2,0))</f>
        <v>16.54</v>
      </c>
      <c r="W1451" s="13">
        <f t="shared" si="751"/>
        <v>620.20200000000261</v>
      </c>
      <c r="X1451" s="13">
        <f t="shared" si="752"/>
        <v>-329.99999999999829</v>
      </c>
      <c r="Y1451" s="43">
        <f t="shared" si="753"/>
        <v>1.2659767299448923E-2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36.85</v>
      </c>
      <c r="V1453" s="13">
        <f>IF(ISNA(VLOOKUP(LOWER(F1453)&amp;H1453,Prices!A:C,2,0)),0,VLOOKUP(LOWER(F1453)&amp;H1453,Prices!A:C,2,0))</f>
        <v>37.090000000000003</v>
      </c>
      <c r="W1453" s="13">
        <f t="shared" si="751"/>
        <v>3406.2980000000111</v>
      </c>
      <c r="X1453" s="13">
        <f t="shared" si="752"/>
        <v>336.00000000000279</v>
      </c>
      <c r="Y1453" s="43">
        <f t="shared" si="753"/>
        <v>7.0218470418470652E-2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36.85</v>
      </c>
      <c r="V1455" s="13">
        <f>IF(ISNA(VLOOKUP(LOWER(F1455)&amp;H1455,Prices!A:C,2,0)),0,VLOOKUP(LOWER(F1455)&amp;H1455,Prices!A:C,2,0))</f>
        <v>37.090000000000003</v>
      </c>
      <c r="W1455" s="13">
        <f t="shared" si="751"/>
        <v>3476.3120000000017</v>
      </c>
      <c r="X1455" s="13">
        <f t="shared" si="752"/>
        <v>336.00000000000279</v>
      </c>
      <c r="Y1455" s="43">
        <f t="shared" si="753"/>
        <v>7.1765317919075186E-2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36.85</v>
      </c>
      <c r="V1461" s="13">
        <f>IF(ISNA(VLOOKUP(LOWER(F1461)&amp;H1461,Prices!A:C,2,0)),0,VLOOKUP(LOWER(F1461)&amp;H1461,Prices!A:C,2,0))</f>
        <v>37.090000000000003</v>
      </c>
      <c r="W1461" s="13">
        <f t="shared" si="758"/>
        <v>-6668.7600000000257</v>
      </c>
      <c r="X1461" s="13">
        <f t="shared" si="759"/>
        <v>-672.00000000000557</v>
      </c>
      <c r="Y1461" s="43">
        <f t="shared" si="760"/>
        <v>-6.8538129496403144E-2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36.85</v>
      </c>
      <c r="V1462" s="13">
        <f>IF(ISNA(VLOOKUP(LOWER(F1462)&amp;H1462,Prices!A:C,2,0)),0,VLOOKUP(LOWER(F1462)&amp;H1462,Prices!A:C,2,0))</f>
        <v>37.090000000000003</v>
      </c>
      <c r="W1462" s="13">
        <f t="shared" si="758"/>
        <v>1395.0000000000032</v>
      </c>
      <c r="X1462" s="13">
        <f t="shared" si="759"/>
        <v>120.00000000000099</v>
      </c>
      <c r="Y1462" s="43">
        <f t="shared" si="760"/>
        <v>8.1364829396325639E-2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36.85</v>
      </c>
      <c r="V1463" s="13">
        <f>IF(ISNA(VLOOKUP(LOWER(F1463)&amp;H1463,Prices!A:C,2,0)),0,VLOOKUP(LOWER(F1463)&amp;H1463,Prices!A:C,2,0))</f>
        <v>37.090000000000003</v>
      </c>
      <c r="W1463" s="13">
        <f t="shared" si="758"/>
        <v>4288.4743999999973</v>
      </c>
      <c r="X1463" s="13">
        <f t="shared" si="759"/>
        <v>336.00000000000279</v>
      </c>
      <c r="Y1463" s="43">
        <f t="shared" si="760"/>
        <v>9.0041034685479054E-2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16.649999999999999</v>
      </c>
      <c r="V1464" s="13">
        <f>IF(ISNA(VLOOKUP(LOWER(F1464)&amp;H1464,Prices!A:C,2,0)),0,VLOOKUP(LOWER(F1464)&amp;H1464,Prices!A:C,2,0))</f>
        <v>16.54</v>
      </c>
      <c r="W1464" s="13">
        <f t="shared" si="758"/>
        <v>-838.2239999999897</v>
      </c>
      <c r="X1464" s="13">
        <f t="shared" si="759"/>
        <v>659.99999999999659</v>
      </c>
      <c r="Y1464" s="43">
        <f t="shared" si="760"/>
        <v>-8.5081607795370433E-3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66.38</v>
      </c>
      <c r="V1466" s="13">
        <f>IF(ISNA(VLOOKUP(LOWER(F1466)&amp;H1466,Prices!A:C,2,0)),0,VLOOKUP(LOWER(F1466)&amp;H1466,Prices!A:C,2,0))</f>
        <v>65.8</v>
      </c>
      <c r="W1466" s="13">
        <f t="shared" ref="W1466:W1481" si="765">IF(I1466="B",(V1466+T1466)*K1466,(V1466+T1466)*K1466)</f>
        <v>20748.359999999993</v>
      </c>
      <c r="X1466" s="13">
        <f t="shared" ref="X1466:X1481" si="766">K1466*(V1466-U1466)</f>
        <v>-695.99999999999795</v>
      </c>
      <c r="Y1466" s="43">
        <f t="shared" ref="Y1466:Y1481" si="767">W1466/O1466</f>
        <v>0.35650103092783492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9.02</v>
      </c>
      <c r="V1468" s="13">
        <f>IF(ISNA(VLOOKUP(LOWER(F1468)&amp;H1468,Prices!A:C,2,0)),0,VLOOKUP(LOWER(F1468)&amp;H1468,Prices!A:C,2,0))</f>
        <v>9.07</v>
      </c>
      <c r="W1468" s="13">
        <f t="shared" si="765"/>
        <v>-7334.9947000000002</v>
      </c>
      <c r="X1468" s="13">
        <f t="shared" si="766"/>
        <v>185.00000000000261</v>
      </c>
      <c r="Y1468" s="43">
        <f t="shared" si="767"/>
        <v>-0.17940552036199095</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66.38</v>
      </c>
      <c r="V1469" s="13">
        <f>IF(ISNA(VLOOKUP(LOWER(F1469)&amp;H1469,Prices!A:C,2,0)),0,VLOOKUP(LOWER(F1469)&amp;H1469,Prices!A:C,2,0))</f>
        <v>65.8</v>
      </c>
      <c r="W1469" s="13">
        <f t="shared" si="765"/>
        <v>17270.296000000002</v>
      </c>
      <c r="X1469" s="13">
        <f t="shared" si="766"/>
        <v>-579.99999999999829</v>
      </c>
      <c r="Y1469" s="43">
        <f t="shared" si="767"/>
        <v>0.35594179719703217</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66.38</v>
      </c>
      <c r="V1470" s="13">
        <f>IF(ISNA(VLOOKUP(LOWER(F1470)&amp;H1470,Prices!A:C,2,0)),0,VLOOKUP(LOWER(F1470)&amp;H1470,Prices!A:C,2,0))</f>
        <v>65.8</v>
      </c>
      <c r="W1470" s="13">
        <f t="shared" si="765"/>
        <v>17270.296000000002</v>
      </c>
      <c r="X1470" s="13">
        <f t="shared" si="766"/>
        <v>-579.99999999999829</v>
      </c>
      <c r="Y1470" s="43">
        <f t="shared" si="767"/>
        <v>0.35594179719703217</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66.38</v>
      </c>
      <c r="V1471" s="13">
        <f>IF(ISNA(VLOOKUP(LOWER(F1471)&amp;H1471,Prices!A:C,2,0)),0,VLOOKUP(LOWER(F1471)&amp;H1471,Prices!A:C,2,0))</f>
        <v>65.8</v>
      </c>
      <c r="W1471" s="13">
        <f t="shared" si="765"/>
        <v>17120.266</v>
      </c>
      <c r="X1471" s="13">
        <f t="shared" si="766"/>
        <v>-579.99999999999829</v>
      </c>
      <c r="Y1471" s="43">
        <f t="shared" si="767"/>
        <v>0.35176219437024858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66.38</v>
      </c>
      <c r="V1472" s="13">
        <f>IF(ISNA(VLOOKUP(LOWER(F1472)&amp;H1472,Prices!A:C,2,0)),0,VLOOKUP(LOWER(F1472)&amp;H1472,Prices!A:C,2,0))</f>
        <v>65.8</v>
      </c>
      <c r="W1472" s="13">
        <f t="shared" si="765"/>
        <v>17120.266</v>
      </c>
      <c r="X1472" s="13">
        <f t="shared" si="766"/>
        <v>-579.99999999999829</v>
      </c>
      <c r="Y1472" s="43">
        <f t="shared" si="767"/>
        <v>0.35176219437024858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66.38</v>
      </c>
      <c r="V1473" s="13">
        <f>IF(ISNA(VLOOKUP(LOWER(F1473)&amp;H1473,Prices!A:C,2,0)),0,VLOOKUP(LOWER(F1473)&amp;H1473,Prices!A:C,2,0))</f>
        <v>65.8</v>
      </c>
      <c r="W1473" s="13">
        <f t="shared" si="765"/>
        <v>17110.263999999999</v>
      </c>
      <c r="X1473" s="13">
        <f t="shared" si="766"/>
        <v>-579.99999999999829</v>
      </c>
      <c r="Y1473" s="43">
        <f t="shared" si="767"/>
        <v>0.35148447000821692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66.38</v>
      </c>
      <c r="V1474" s="13">
        <f>IF(ISNA(VLOOKUP(LOWER(F1474)&amp;H1474,Prices!A:C,2,0)),0,VLOOKUP(LOWER(F1474)&amp;H1474,Prices!A:C,2,0))</f>
        <v>65.8</v>
      </c>
      <c r="W1474" s="13">
        <f t="shared" si="765"/>
        <v>17110.263999999999</v>
      </c>
      <c r="X1474" s="13">
        <f t="shared" si="766"/>
        <v>-579.99999999999829</v>
      </c>
      <c r="Y1474" s="43">
        <f t="shared" si="767"/>
        <v>0.35148447000821692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66.38</v>
      </c>
      <c r="V1475" s="13">
        <f>IF(ISNA(VLOOKUP(LOWER(F1475)&amp;H1475,Prices!A:C,2,0)),0,VLOOKUP(LOWER(F1475)&amp;H1475,Prices!A:C,2,0))</f>
        <v>65.8</v>
      </c>
      <c r="W1475" s="13">
        <f t="shared" si="765"/>
        <v>17140.269999999993</v>
      </c>
      <c r="X1475" s="13">
        <f t="shared" si="766"/>
        <v>-579.99999999999829</v>
      </c>
      <c r="Y1475" s="43">
        <f t="shared" si="767"/>
        <v>0.35231798561151068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9.02</v>
      </c>
      <c r="V1476" s="13">
        <f>IF(ISNA(VLOOKUP(LOWER(F1476)&amp;H1476,Prices!A:C,2,0)),0,VLOOKUP(LOWER(F1476)&amp;H1476,Prices!A:C,2,0))</f>
        <v>9.07</v>
      </c>
      <c r="W1476" s="13">
        <f t="shared" si="765"/>
        <v>-8740.8998999999967</v>
      </c>
      <c r="X1476" s="13">
        <f t="shared" si="766"/>
        <v>225.00000000000318</v>
      </c>
      <c r="Y1476" s="43">
        <f t="shared" si="767"/>
        <v>-0.17642345140781102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9.02</v>
      </c>
      <c r="V1477" s="13">
        <f>IF(ISNA(VLOOKUP(LOWER(F1477)&amp;H1477,Prices!A:C,2,0)),0,VLOOKUP(LOWER(F1477)&amp;H1477,Prices!A:C,2,0))</f>
        <v>9.07</v>
      </c>
      <c r="W1477" s="13">
        <f t="shared" si="765"/>
        <v>-8785.9097999999994</v>
      </c>
      <c r="X1477" s="13">
        <f t="shared" si="766"/>
        <v>225.00000000000318</v>
      </c>
      <c r="Y1477" s="43">
        <f t="shared" si="767"/>
        <v>-0.17717099818511794</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9.02</v>
      </c>
      <c r="V1478" s="13">
        <f>IF(ISNA(VLOOKUP(LOWER(F1478)&amp;H1478,Prices!A:C,2,0)),0,VLOOKUP(LOWER(F1478)&amp;H1478,Prices!A:C,2,0))</f>
        <v>9.07</v>
      </c>
      <c r="W1478" s="13">
        <f t="shared" si="765"/>
        <v>-8830.9197000000022</v>
      </c>
      <c r="X1478" s="13">
        <f t="shared" si="766"/>
        <v>225.00000000000318</v>
      </c>
      <c r="Y1478" s="43">
        <f t="shared" si="767"/>
        <v>-0.1779171894832276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9.02</v>
      </c>
      <c r="V1479" s="13">
        <f>IF(ISNA(VLOOKUP(LOWER(F1479)&amp;H1479,Prices!A:C,2,0)),0,VLOOKUP(LOWER(F1479)&amp;H1479,Prices!A:C,2,0))</f>
        <v>9.07</v>
      </c>
      <c r="W1479" s="13">
        <f t="shared" si="765"/>
        <v>-8920.9395000000004</v>
      </c>
      <c r="X1479" s="13">
        <f t="shared" si="766"/>
        <v>225.00000000000318</v>
      </c>
      <c r="Y1479" s="43">
        <f t="shared" si="767"/>
        <v>-0.17940552036199095</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9.02</v>
      </c>
      <c r="V1480" s="13">
        <f>IF(ISNA(VLOOKUP(LOWER(F1480)&amp;H1480,Prices!A:C,2,0)),0,VLOOKUP(LOWER(F1480)&amp;H1480,Prices!A:C,2,0))</f>
        <v>9.07</v>
      </c>
      <c r="W1480" s="13">
        <f t="shared" si="765"/>
        <v>-9010.9592999999986</v>
      </c>
      <c r="X1480" s="13">
        <f t="shared" si="766"/>
        <v>225.00000000000318</v>
      </c>
      <c r="Y1480" s="43">
        <f t="shared" si="767"/>
        <v>-0.18088847335140015</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9.02</v>
      </c>
      <c r="V1481" s="13">
        <f>IF(ISNA(VLOOKUP(LOWER(F1481)&amp;H1481,Prices!A:C,2,0)),0,VLOOKUP(LOWER(F1481)&amp;H1481,Prices!A:C,2,0))</f>
        <v>9.07</v>
      </c>
      <c r="W1481" s="13">
        <f t="shared" si="765"/>
        <v>-9100.979099999995</v>
      </c>
      <c r="X1481" s="13">
        <f t="shared" si="766"/>
        <v>225.00000000000318</v>
      </c>
      <c r="Y1481" s="43">
        <f t="shared" si="767"/>
        <v>-0.18236607754733986</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36.85</v>
      </c>
      <c r="V1482" s="13">
        <f>IF(ISNA(VLOOKUP(LOWER(F1482)&amp;H1482,Prices!A:C,2,0)),0,VLOOKUP(LOWER(F1482)&amp;H1482,Prices!A:C,2,0))</f>
        <v>37.090000000000003</v>
      </c>
      <c r="W1482" s="13">
        <f t="shared" ref="W1482:W1498" si="775">IF(I1482="B",(V1482+T1482)*K1482,(V1482+T1482)*K1482)</f>
        <v>-1280.1248000000164</v>
      </c>
      <c r="X1482" s="13">
        <f t="shared" ref="X1482:X1498" si="776">K1482*(V1482-U1482)</f>
        <v>-456.00000000000375</v>
      </c>
      <c r="Y1482" s="43">
        <f t="shared" ref="Y1482:Y1498" si="777">W1482/O1482</f>
        <v>-1.8479152351531837E-2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66.38</v>
      </c>
      <c r="V1483" s="13">
        <f>IF(ISNA(VLOOKUP(LOWER(F1483)&amp;H1483,Prices!A:C,2,0)),0,VLOOKUP(LOWER(F1483)&amp;H1483,Prices!A:C,2,0))</f>
        <v>65.8</v>
      </c>
      <c r="W1483" s="13">
        <f t="shared" si="775"/>
        <v>-138078.35279999999</v>
      </c>
      <c r="X1483" s="13">
        <f t="shared" si="776"/>
        <v>4755.9999999999864</v>
      </c>
      <c r="Y1483" s="43">
        <f t="shared" si="777"/>
        <v>-0.34350925157476786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28.25</v>
      </c>
      <c r="V1484" s="13">
        <f>IF(ISNA(VLOOKUP(LOWER(F1484)&amp;H1484,Prices!A:C,2,0)),0,VLOOKUP(LOWER(F1484)&amp;H1484,Prices!A:C,2,0))</f>
        <v>28.77</v>
      </c>
      <c r="W1484" s="13">
        <f t="shared" si="775"/>
        <v>7457.0000000000009</v>
      </c>
      <c r="X1484" s="13">
        <f t="shared" si="776"/>
        <v>363.99999999999972</v>
      </c>
      <c r="Y1484" s="43">
        <f t="shared" si="777"/>
        <v>0.58823065394020679</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74.86</v>
      </c>
      <c r="V1485" s="30">
        <f>IF(ISNA(VLOOKUP(LOWER(F1485)&amp;H1485,Prices!A:C,2,0)),0,VLOOKUP(LOWER(F1485)&amp;H1485,Prices!A:C,2,0))</f>
        <v>72.930000000000007</v>
      </c>
      <c r="W1485" s="30">
        <f t="shared" si="775"/>
        <v>31296.216600000011</v>
      </c>
      <c r="X1485" s="30">
        <f t="shared" si="776"/>
        <v>-2122.9999999999918</v>
      </c>
      <c r="Y1485" s="40">
        <f t="shared" si="777"/>
        <v>0.63978201034405235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74.86</v>
      </c>
      <c r="V1486" s="30">
        <f>IF(ISNA(VLOOKUP(LOWER(F1486)&amp;H1486,Prices!A:C,2,0)),0,VLOOKUP(LOWER(F1486)&amp;H1486,Prices!A:C,2,0))</f>
        <v>72.930000000000007</v>
      </c>
      <c r="W1486" s="30">
        <f t="shared" si="775"/>
        <v>31131.1836</v>
      </c>
      <c r="X1486" s="30">
        <f t="shared" si="776"/>
        <v>-2122.9999999999918</v>
      </c>
      <c r="Y1486" s="40">
        <f t="shared" si="777"/>
        <v>0.63426884805020167</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74.86</v>
      </c>
      <c r="V1487" s="30">
        <f>IF(ISNA(VLOOKUP(LOWER(F1487)&amp;H1487,Prices!A:C,2,0)),0,VLOOKUP(LOWER(F1487)&amp;H1487,Prices!A:C,2,0))</f>
        <v>72.930000000000007</v>
      </c>
      <c r="W1487" s="30">
        <f t="shared" si="775"/>
        <v>31175.192400000011</v>
      </c>
      <c r="X1487" s="30">
        <f t="shared" si="776"/>
        <v>-2122.9999999999918</v>
      </c>
      <c r="Y1487" s="40">
        <f t="shared" si="777"/>
        <v>0.63573539703903115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74.86</v>
      </c>
      <c r="V1488" s="30">
        <f>IF(ISNA(VLOOKUP(LOWER(F1488)&amp;H1488,Prices!A:C,2,0)),0,VLOOKUP(LOWER(F1488)&amp;H1488,Prices!A:C,2,0))</f>
        <v>72.930000000000007</v>
      </c>
      <c r="W1488" s="30">
        <f t="shared" si="775"/>
        <v>31131.1836</v>
      </c>
      <c r="X1488" s="30">
        <f t="shared" si="776"/>
        <v>-2122.9999999999918</v>
      </c>
      <c r="Y1488" s="40">
        <f t="shared" si="777"/>
        <v>0.63426884805020167</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74.86</v>
      </c>
      <c r="V1489" s="30">
        <f>IF(ISNA(VLOOKUP(LOWER(F1489)&amp;H1489,Prices!A:C,2,0)),0,VLOOKUP(LOWER(F1489)&amp;H1489,Prices!A:C,2,0))</f>
        <v>72.930000000000007</v>
      </c>
      <c r="W1489" s="30">
        <f t="shared" si="775"/>
        <v>31120.181400000009</v>
      </c>
      <c r="X1489" s="30">
        <f t="shared" si="776"/>
        <v>-2122.9999999999918</v>
      </c>
      <c r="Y1489" s="40">
        <f t="shared" si="777"/>
        <v>0.63390262155500798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74.86</v>
      </c>
      <c r="V1490" s="30">
        <f>IF(ISNA(VLOOKUP(LOWER(F1490)&amp;H1490,Prices!A:C,2,0)),0,VLOOKUP(LOWER(F1490)&amp;H1490,Prices!A:C,2,0))</f>
        <v>72.930000000000007</v>
      </c>
      <c r="W1490" s="30">
        <f t="shared" si="775"/>
        <v>31098.177000000011</v>
      </c>
      <c r="X1490" s="30">
        <f t="shared" si="776"/>
        <v>-2122.9999999999918</v>
      </c>
      <c r="Y1490" s="40">
        <f t="shared" si="777"/>
        <v>0.63317066069428918</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74.86</v>
      </c>
      <c r="V1491" s="30">
        <f>IF(ISNA(VLOOKUP(LOWER(F1491)&amp;H1491,Prices!A:C,2,0)),0,VLOOKUP(LOWER(F1491)&amp;H1491,Prices!A:C,2,0))</f>
        <v>72.930000000000007</v>
      </c>
      <c r="W1491" s="30">
        <f t="shared" si="775"/>
        <v>31065.17040000001</v>
      </c>
      <c r="X1491" s="30">
        <f t="shared" si="776"/>
        <v>-2122.9999999999918</v>
      </c>
      <c r="Y1491" s="40">
        <f t="shared" si="777"/>
        <v>0.63207394807520167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66.38</v>
      </c>
      <c r="V1492" s="13">
        <f>IF(ISNA(VLOOKUP(LOWER(F1492)&amp;H1492,Prices!A:C,2,0)),0,VLOOKUP(LOWER(F1492)&amp;H1492,Prices!A:C,2,0))</f>
        <v>65.8</v>
      </c>
      <c r="W1492" s="13">
        <f t="shared" si="775"/>
        <v>17090.260000000002</v>
      </c>
      <c r="X1492" s="13">
        <f t="shared" si="776"/>
        <v>-579.99999999999829</v>
      </c>
      <c r="Y1492" s="43">
        <f t="shared" si="777"/>
        <v>0.35092936344969206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74.86</v>
      </c>
      <c r="V1493" s="30">
        <f>IF(ISNA(VLOOKUP(LOWER(F1493)&amp;H1493,Prices!A:C,2,0)),0,VLOOKUP(LOWER(F1493)&amp;H1493,Prices!A:C,2,0))</f>
        <v>72.930000000000007</v>
      </c>
      <c r="W1493" s="30">
        <f t="shared" si="775"/>
        <v>31076.172600000002</v>
      </c>
      <c r="X1493" s="30">
        <f t="shared" si="776"/>
        <v>-2122.9999999999918</v>
      </c>
      <c r="Y1493" s="40">
        <f t="shared" si="777"/>
        <v>0.63243935527199469</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9.02</v>
      </c>
      <c r="V1494" s="13">
        <f>IF(ISNA(VLOOKUP(LOWER(F1494)&amp;H1494,Prices!A:C,2,0)),0,VLOOKUP(LOWER(F1494)&amp;H1494,Prices!A:C,2,0))</f>
        <v>9.07</v>
      </c>
      <c r="W1494" s="13">
        <f t="shared" si="775"/>
        <v>-8560.8603000000021</v>
      </c>
      <c r="X1494" s="13">
        <f t="shared" si="776"/>
        <v>225.00000000000318</v>
      </c>
      <c r="Y1494" s="43">
        <f t="shared" si="777"/>
        <v>-0.17341963536918875</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74.86</v>
      </c>
      <c r="V1495" s="30">
        <f>IF(ISNA(VLOOKUP(LOWER(F1495)&amp;H1495,Prices!A:C,2,0)),0,VLOOKUP(LOWER(F1495)&amp;H1495,Prices!A:C,2,0))</f>
        <v>72.930000000000007</v>
      </c>
      <c r="W1495" s="30">
        <f t="shared" si="775"/>
        <v>31109.17920000001</v>
      </c>
      <c r="X1495" s="30">
        <f t="shared" si="776"/>
        <v>-2122.9999999999918</v>
      </c>
      <c r="Y1495" s="40">
        <f t="shared" si="777"/>
        <v>0.63353655913978513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74.86</v>
      </c>
      <c r="V1496" s="30">
        <f>IF(ISNA(VLOOKUP(LOWER(F1496)&amp;H1496,Prices!A:C,2,0)),0,VLOOKUP(LOWER(F1496)&amp;H1496,Prices!A:C,2,0))</f>
        <v>72.930000000000007</v>
      </c>
      <c r="W1496" s="30">
        <f t="shared" si="775"/>
        <v>31043.166000000001</v>
      </c>
      <c r="X1496" s="30">
        <f t="shared" si="776"/>
        <v>-2122.9999999999918</v>
      </c>
      <c r="Y1496" s="40">
        <f t="shared" si="777"/>
        <v>0.63134362416107381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9.02</v>
      </c>
      <c r="V1497" s="13">
        <f>IF(ISNA(VLOOKUP(LOWER(F1497)&amp;H1497,Prices!A:C,2,0)),0,VLOOKUP(LOWER(F1497)&amp;H1497,Prices!A:C,2,0))</f>
        <v>9.07</v>
      </c>
      <c r="W1497" s="13">
        <f t="shared" si="775"/>
        <v>-8695.8900000000012</v>
      </c>
      <c r="X1497" s="13">
        <f t="shared" si="776"/>
        <v>225.00000000000318</v>
      </c>
      <c r="Y1497" s="43">
        <f t="shared" si="777"/>
        <v>-0.17567454545454547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9.02</v>
      </c>
      <c r="V1498" s="13">
        <f>IF(ISNA(VLOOKUP(LOWER(F1498)&amp;H1498,Prices!A:C,2,0)),0,VLOOKUP(LOWER(F1498)&amp;H1498,Prices!A:C,2,0))</f>
        <v>9.07</v>
      </c>
      <c r="W1498" s="13">
        <f t="shared" si="775"/>
        <v>-8695.8900000000012</v>
      </c>
      <c r="X1498" s="13">
        <f t="shared" si="776"/>
        <v>225.00000000000318</v>
      </c>
      <c r="Y1498" s="43">
        <f t="shared" si="777"/>
        <v>-0.17567454545454547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23.9</v>
      </c>
      <c r="V1499" s="13">
        <f>IF(ISNA(VLOOKUP(LOWER(F1499)&amp;H1499,Prices!A:C,2,0)),0,VLOOKUP(LOWER(F1499)&amp;H1499,Prices!A:C,2,0))</f>
        <v>23.72</v>
      </c>
      <c r="W1499" s="13">
        <f t="shared" ref="W1499:W1534" si="783">IF(I1499="B",(V1499+T1499)*K1499,(V1499+T1499)*K1499)</f>
        <v>-2758.9999999999995</v>
      </c>
      <c r="X1499" s="13">
        <f t="shared" ref="X1499:X1534" si="784">K1499*(V1499-U1499)</f>
        <v>-107.99999999999983</v>
      </c>
      <c r="Y1499" s="43">
        <f t="shared" ref="Y1499:Y1534" si="785">W1499/O1499</f>
        <v>-0.16242788178499939</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23.9</v>
      </c>
      <c r="V1500" s="13">
        <f>IF(ISNA(VLOOKUP(LOWER(F1500)&amp;H1500,Prices!A:C,2,0)),0,VLOOKUP(LOWER(F1500)&amp;H1500,Prices!A:C,2,0))</f>
        <v>23.72</v>
      </c>
      <c r="W1500" s="13">
        <f t="shared" si="783"/>
        <v>-7812.6254000000017</v>
      </c>
      <c r="X1500" s="13">
        <f t="shared" si="784"/>
        <v>-305.99999999999955</v>
      </c>
      <c r="Y1500" s="43">
        <f t="shared" si="785"/>
        <v>-0.16233352172377255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6.39</v>
      </c>
      <c r="V1501" s="13">
        <f>IF(ISNA(VLOOKUP(LOWER(F1501)&amp;H1501,Prices!A:C,2,0)),0,VLOOKUP(LOWER(F1501)&amp;H1501,Prices!A:C,2,0))</f>
        <v>6.22</v>
      </c>
      <c r="W1501" s="13">
        <f t="shared" si="783"/>
        <v>-7149.8871999999974</v>
      </c>
      <c r="X1501" s="13">
        <f t="shared" si="784"/>
        <v>-1155.9999999999995</v>
      </c>
      <c r="Y1501" s="43">
        <f t="shared" si="785"/>
        <v>-0.14462916093535069</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28.25</v>
      </c>
      <c r="V1502" s="13">
        <f>IF(ISNA(VLOOKUP(LOWER(F1502)&amp;H1502,Prices!A:C,2,0)),0,VLOOKUP(LOWER(F1502)&amp;H1502,Prices!A:C,2,0))</f>
        <v>28.77</v>
      </c>
      <c r="W1502" s="13">
        <f t="shared" si="783"/>
        <v>-7458.7</v>
      </c>
      <c r="X1502" s="13">
        <f t="shared" si="784"/>
        <v>-363.99999999999972</v>
      </c>
      <c r="Y1502" s="43">
        <f t="shared" si="785"/>
        <v>-0.58739171523074496</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13.96</v>
      </c>
      <c r="V1503" s="13">
        <f>IF(ISNA(VLOOKUP(LOWER(F1503)&amp;H1503,Prices!A:C,2,0)),0,VLOOKUP(LOWER(F1503)&amp;H1503,Prices!A:C,2,0))</f>
        <v>13.79</v>
      </c>
      <c r="W1503" s="13">
        <f t="shared" si="783"/>
        <v>-16689.955199999993</v>
      </c>
      <c r="X1503" s="13">
        <f t="shared" si="784"/>
        <v>-408.00000000000409</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13.96</v>
      </c>
      <c r="V1504" s="13">
        <f>IF(ISNA(VLOOKUP(LOWER(F1504)&amp;H1504,Prices!A:C,2,0)),0,VLOOKUP(LOWER(F1504)&amp;H1504,Prices!A:C,2,0))</f>
        <v>13.79</v>
      </c>
      <c r="W1504" s="13">
        <f t="shared" si="783"/>
        <v>-16689.955199999993</v>
      </c>
      <c r="X1504" s="13">
        <f t="shared" si="784"/>
        <v>-408.00000000000409</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23.9</v>
      </c>
      <c r="V1505" s="13">
        <f>IF(ISNA(VLOOKUP(LOWER(F1505)&amp;H1505,Prices!A:C,2,0)),0,VLOOKUP(LOWER(F1505)&amp;H1505,Prices!A:C,2,0))</f>
        <v>23.72</v>
      </c>
      <c r="W1505" s="13">
        <f t="shared" si="783"/>
        <v>-7829.6288000000013</v>
      </c>
      <c r="X1505" s="13">
        <f t="shared" si="784"/>
        <v>-305.99999999999955</v>
      </c>
      <c r="Y1505" s="43">
        <f t="shared" si="785"/>
        <v>-0.16262937853107348</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13.96</v>
      </c>
      <c r="V1506" s="13">
        <f>IF(ISNA(VLOOKUP(LOWER(F1506)&amp;H1506,Prices!A:C,2,0)),0,VLOOKUP(LOWER(F1506)&amp;H1506,Prices!A:C,2,0))</f>
        <v>13.79</v>
      </c>
      <c r="W1506" s="13">
        <f t="shared" si="783"/>
        <v>-16785.974399999999</v>
      </c>
      <c r="X1506" s="13">
        <f t="shared" si="784"/>
        <v>-408.00000000000409</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13.59</v>
      </c>
      <c r="V1507" s="13">
        <f>IF(ISNA(VLOOKUP(LOWER(F1507)&amp;H1507,Prices!A:C,2,0)),0,VLOOKUP(LOWER(F1507)&amp;H1507,Prices!A:C,2,0))</f>
        <v>13.68</v>
      </c>
      <c r="W1507" s="13">
        <f t="shared" si="783"/>
        <v>-12538.882080000005</v>
      </c>
      <c r="X1507" s="13">
        <f t="shared" si="784"/>
        <v>242.9999999999996</v>
      </c>
      <c r="Y1507" s="43">
        <f t="shared" si="785"/>
        <v>-0.25349510917030577</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17.760000000000002</v>
      </c>
      <c r="V1508" s="13">
        <f>IF(ISNA(VLOOKUP(LOWER(F1508)&amp;H1508,Prices!A:C,2,0)),0,VLOOKUP(LOWER(F1508)&amp;H1508,Prices!A:C,2,0))</f>
        <v>17.62</v>
      </c>
      <c r="W1508" s="13">
        <f t="shared" si="783"/>
        <v>-9117.5743999999959</v>
      </c>
      <c r="X1508" s="13">
        <f t="shared" si="784"/>
        <v>-308.00000000000125</v>
      </c>
      <c r="Y1508" s="43">
        <f t="shared" si="785"/>
        <v>-0.19045735294117638</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6.39</v>
      </c>
      <c r="V1509" s="13">
        <f>IF(ISNA(VLOOKUP(LOWER(F1509)&amp;H1509,Prices!A:C,2,0)),0,VLOOKUP(LOWER(F1509)&amp;H1509,Prices!A:C,2,0))</f>
        <v>6.22</v>
      </c>
      <c r="W1509" s="13">
        <f t="shared" si="783"/>
        <v>-7013.8600000000033</v>
      </c>
      <c r="X1509" s="13">
        <f t="shared" si="784"/>
        <v>-1155.9999999999995</v>
      </c>
      <c r="Y1509" s="43">
        <f t="shared" si="785"/>
        <v>-0.14226896551724144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23.9</v>
      </c>
      <c r="V1510" s="13">
        <f>IF(ISNA(VLOOKUP(LOWER(F1510)&amp;H1510,Prices!A:C,2,0)),0,VLOOKUP(LOWER(F1510)&amp;H1510,Prices!A:C,2,0))</f>
        <v>23.72</v>
      </c>
      <c r="W1510" s="13">
        <f t="shared" si="783"/>
        <v>-7829.6288000000013</v>
      </c>
      <c r="X1510" s="13">
        <f t="shared" si="784"/>
        <v>-305.99999999999955</v>
      </c>
      <c r="Y1510" s="43">
        <f t="shared" si="785"/>
        <v>-0.16262937853107348</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23.9</v>
      </c>
      <c r="V1511" s="13">
        <f>IF(ISNA(VLOOKUP(LOWER(F1511)&amp;H1511,Prices!A:C,2,0)),0,VLOOKUP(LOWER(F1511)&amp;H1511,Prices!A:C,2,0))</f>
        <v>23.72</v>
      </c>
      <c r="W1511" s="13">
        <f t="shared" si="783"/>
        <v>-7863.6356000000014</v>
      </c>
      <c r="X1511" s="13">
        <f t="shared" si="784"/>
        <v>-305.99999999999955</v>
      </c>
      <c r="Y1511" s="43">
        <f t="shared" si="785"/>
        <v>-0.16322046577275939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13.59</v>
      </c>
      <c r="V1512" s="13">
        <f>IF(ISNA(VLOOKUP(LOWER(F1512)&amp;H1512,Prices!A:C,2,0)),0,VLOOKUP(LOWER(F1512)&amp;H1512,Prices!A:C,2,0))</f>
        <v>13.68</v>
      </c>
      <c r="W1512" s="13">
        <f t="shared" si="783"/>
        <v>-12511.876139999998</v>
      </c>
      <c r="X1512" s="13">
        <f t="shared" si="784"/>
        <v>242.9999999999996</v>
      </c>
      <c r="Y1512" s="43">
        <f t="shared" si="785"/>
        <v>-0.25308728563626431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13.96</v>
      </c>
      <c r="V1513" s="13">
        <f>IF(ISNA(VLOOKUP(LOWER(F1513)&amp;H1513,Prices!A:C,2,0)),0,VLOOKUP(LOWER(F1513)&amp;H1513,Prices!A:C,2,0))</f>
        <v>13.79</v>
      </c>
      <c r="W1513" s="13">
        <f t="shared" si="783"/>
        <v>-16905.998399999993</v>
      </c>
      <c r="X1513" s="13">
        <f t="shared" si="784"/>
        <v>-408.00000000000409</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13.96</v>
      </c>
      <c r="V1514" s="13">
        <f>IF(ISNA(VLOOKUP(LOWER(F1514)&amp;H1514,Prices!A:C,2,0)),0,VLOOKUP(LOWER(F1514)&amp;H1514,Prices!A:C,2,0))</f>
        <v>13.79</v>
      </c>
      <c r="W1514" s="13">
        <f t="shared" si="783"/>
        <v>-16201.581799999993</v>
      </c>
      <c r="X1514" s="13">
        <f t="shared" si="784"/>
        <v>-391.00000000000392</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6.39</v>
      </c>
      <c r="V1515" s="13">
        <f>IF(ISNA(VLOOKUP(LOWER(F1515)&amp;H1515,Prices!A:C,2,0)),0,VLOOKUP(LOWER(F1515)&amp;H1515,Prices!A:C,2,0))</f>
        <v>6.22</v>
      </c>
      <c r="W1515" s="13">
        <f t="shared" si="783"/>
        <v>-7149.8871999999974</v>
      </c>
      <c r="X1515" s="13">
        <f t="shared" si="784"/>
        <v>-1155.9999999999995</v>
      </c>
      <c r="Y1515" s="43">
        <f t="shared" si="785"/>
        <v>-0.14462916093535069</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9.02</v>
      </c>
      <c r="V1516" s="13">
        <f>IF(ISNA(VLOOKUP(LOWER(F1516)&amp;H1516,Prices!A:C,2,0)),0,VLOOKUP(LOWER(F1516)&amp;H1516,Prices!A:C,2,0))</f>
        <v>9.07</v>
      </c>
      <c r="W1516" s="13">
        <f t="shared" si="783"/>
        <v>37226.578159999997</v>
      </c>
      <c r="X1516" s="13">
        <f t="shared" si="784"/>
        <v>-1110.0000000000157</v>
      </c>
      <c r="Y1516" s="43">
        <f t="shared" si="785"/>
        <v>0.15584320539870725</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9.02</v>
      </c>
      <c r="V1517" s="13">
        <f>IF(ISNA(VLOOKUP(LOWER(F1517)&amp;H1517,Prices!A:C,2,0)),0,VLOOKUP(LOWER(F1517)&amp;H1517,Prices!A:C,2,0))</f>
        <v>9.07</v>
      </c>
      <c r="W1517" s="13">
        <f t="shared" si="783"/>
        <v>36891.2016</v>
      </c>
      <c r="X1517" s="13">
        <f t="shared" si="784"/>
        <v>-1100.0000000000157</v>
      </c>
      <c r="Y1517" s="43">
        <f t="shared" si="785"/>
        <v>0.15584319702602231</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74.86</v>
      </c>
      <c r="V1518" s="30">
        <f>IF(ISNA(VLOOKUP(LOWER(F1518)&amp;H1518,Prices!A:C,2,0)),0,VLOOKUP(LOWER(F1518)&amp;H1518,Prices!A:C,2,0))</f>
        <v>72.930000000000007</v>
      </c>
      <c r="W1518" s="30">
        <f t="shared" si="783"/>
        <v>-262874.28440000012</v>
      </c>
      <c r="X1518" s="30">
        <f t="shared" si="784"/>
        <v>17755.999999999931</v>
      </c>
      <c r="Y1518" s="40">
        <f t="shared" si="785"/>
        <v>-0.64339769832489779</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17.760000000000002</v>
      </c>
      <c r="V1519" s="13">
        <f>IF(ISNA(VLOOKUP(LOWER(F1519)&amp;H1519,Prices!A:C,2,0)),0,VLOOKUP(LOWER(F1519)&amp;H1519,Prices!A:C,2,0))</f>
        <v>17.62</v>
      </c>
      <c r="W1519" s="13">
        <f t="shared" si="783"/>
        <v>-9271.6051999999891</v>
      </c>
      <c r="X1519" s="13">
        <f t="shared" si="784"/>
        <v>-308.00000000000125</v>
      </c>
      <c r="Y1519" s="43">
        <f t="shared" si="785"/>
        <v>-0.19305387081997233</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6.39</v>
      </c>
      <c r="V1520" s="13">
        <f>IF(ISNA(VLOOKUP(LOWER(F1520)&amp;H1520,Prices!A:C,2,0)),0,VLOOKUP(LOWER(F1520)&amp;H1520,Prices!A:C,2,0))</f>
        <v>6.22</v>
      </c>
      <c r="W1520" s="13">
        <f t="shared" si="783"/>
        <v>-7081.8736000000035</v>
      </c>
      <c r="X1520" s="13">
        <f t="shared" si="784"/>
        <v>-1155.9999999999995</v>
      </c>
      <c r="Y1520" s="43">
        <f t="shared" si="785"/>
        <v>-0.14345068870523422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74.86</v>
      </c>
      <c r="V1521" s="30">
        <f>IF(ISNA(VLOOKUP(LOWER(F1521)&amp;H1521,Prices!A:C,2,0)),0,VLOOKUP(LOWER(F1521)&amp;H1521,Prices!A:C,2,0))</f>
        <v>72.930000000000007</v>
      </c>
      <c r="W1521" s="30">
        <f t="shared" si="783"/>
        <v>-51395.964800000016</v>
      </c>
      <c r="X1521" s="30">
        <f t="shared" si="784"/>
        <v>3473.9999999999868</v>
      </c>
      <c r="Y1521" s="40">
        <f t="shared" si="785"/>
        <v>-0.64265842398779627</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17.760000000000002</v>
      </c>
      <c r="V1522" s="13">
        <f>IF(ISNA(VLOOKUP(LOWER(F1522)&amp;H1522,Prices!A:C,2,0)),0,VLOOKUP(LOWER(F1522)&amp;H1522,Prices!A:C,2,0))</f>
        <v>17.62</v>
      </c>
      <c r="W1522" s="13">
        <f t="shared" si="783"/>
        <v>-9227.596400000004</v>
      </c>
      <c r="X1522" s="13">
        <f t="shared" si="784"/>
        <v>-308.00000000000125</v>
      </c>
      <c r="Y1522" s="43">
        <f t="shared" si="785"/>
        <v>-0.19231370930765712</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14.56</v>
      </c>
      <c r="V1523" s="13">
        <f>IF(ISNA(VLOOKUP(LOWER(F1523)&amp;H1523,Prices!A:C,2,0)),0,VLOOKUP(LOWER(F1523)&amp;H1523,Prices!A:C,2,0))</f>
        <v>14.5</v>
      </c>
      <c r="W1523" s="13">
        <f t="shared" si="783"/>
        <v>-2666.7923199999905</v>
      </c>
      <c r="X1523" s="13">
        <f t="shared" si="784"/>
        <v>-192.00000000000159</v>
      </c>
      <c r="Y1523" s="43">
        <f t="shared" si="785"/>
        <v>-5.4362204827136142E-2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17.760000000000002</v>
      </c>
      <c r="V1524" s="13">
        <f>IF(ISNA(VLOOKUP(LOWER(F1524)&amp;H1524,Prices!A:C,2,0)),0,VLOOKUP(LOWER(F1524)&amp;H1524,Prices!A:C,2,0))</f>
        <v>17.62</v>
      </c>
      <c r="W1524" s="13">
        <f t="shared" si="783"/>
        <v>-9249.6007999999965</v>
      </c>
      <c r="X1524" s="13">
        <f t="shared" si="784"/>
        <v>-308.00000000000125</v>
      </c>
      <c r="Y1524" s="43">
        <f t="shared" si="785"/>
        <v>-0.19268395967002744</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17.760000000000002</v>
      </c>
      <c r="V1525" s="13">
        <f>IF(ISNA(VLOOKUP(LOWER(F1525)&amp;H1525,Prices!A:C,2,0)),0,VLOOKUP(LOWER(F1525)&amp;H1525,Prices!A:C,2,0))</f>
        <v>17.62</v>
      </c>
      <c r="W1525" s="13">
        <f t="shared" si="783"/>
        <v>-9245.1999200000046</v>
      </c>
      <c r="X1525" s="13">
        <f t="shared" si="784"/>
        <v>-308.00000000000125</v>
      </c>
      <c r="Y1525" s="43">
        <f t="shared" si="785"/>
        <v>-0.19260993674947299</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6.39</v>
      </c>
      <c r="V1526" s="13">
        <f>IF(ISNA(VLOOKUP(LOWER(F1526)&amp;H1526,Prices!A:C,2,0)),0,VLOOKUP(LOWER(F1526)&amp;H1526,Prices!A:C,2,0))</f>
        <v>6.22</v>
      </c>
      <c r="W1526" s="13">
        <f t="shared" si="783"/>
        <v>-7217.900800000004</v>
      </c>
      <c r="X1526" s="13">
        <f t="shared" si="784"/>
        <v>-1155.9999999999995</v>
      </c>
      <c r="Y1526" s="43">
        <f t="shared" si="785"/>
        <v>-0.14580439560439568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14.56</v>
      </c>
      <c r="V1527" s="13">
        <f>IF(ISNA(VLOOKUP(LOWER(F1527)&amp;H1527,Prices!A:C,2,0)),0,VLOOKUP(LOWER(F1527)&amp;H1527,Prices!A:C,2,0))</f>
        <v>14.5</v>
      </c>
      <c r="W1527" s="13">
        <f t="shared" si="783"/>
        <v>-2679.5951359999945</v>
      </c>
      <c r="X1527" s="13">
        <f t="shared" si="784"/>
        <v>-192.00000000000159</v>
      </c>
      <c r="Y1527" s="43">
        <f t="shared" si="785"/>
        <v>-5.4608939611321142E-2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14.56</v>
      </c>
      <c r="V1528" s="13">
        <f>IF(ISNA(VLOOKUP(LOWER(F1528)&amp;H1528,Prices!A:C,2,0)),0,VLOOKUP(LOWER(F1528)&amp;H1528,Prices!A:C,2,0))</f>
        <v>14.5</v>
      </c>
      <c r="W1528" s="13">
        <f t="shared" si="783"/>
        <v>-2698.7993600000036</v>
      </c>
      <c r="X1528" s="13">
        <f t="shared" si="784"/>
        <v>-192.00000000000159</v>
      </c>
      <c r="Y1528" s="43">
        <f t="shared" si="785"/>
        <v>-5.4978800521512459E-2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13.59</v>
      </c>
      <c r="V1529" s="13">
        <f>IF(ISNA(VLOOKUP(LOWER(F1529)&amp;H1529,Prices!A:C,2,0)),0,VLOOKUP(LOWER(F1529)&amp;H1529,Prices!A:C,2,0))</f>
        <v>13.68</v>
      </c>
      <c r="W1529" s="13">
        <f t="shared" si="783"/>
        <v>-12646.905840000003</v>
      </c>
      <c r="X1529" s="13">
        <f t="shared" si="784"/>
        <v>242.9999999999996</v>
      </c>
      <c r="Y1529" s="43">
        <f t="shared" si="785"/>
        <v>-0.25512196078431376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6.39</v>
      </c>
      <c r="V1530" s="13">
        <f>IF(ISNA(VLOOKUP(LOWER(F1530)&amp;H1530,Prices!A:C,2,0)),0,VLOOKUP(LOWER(F1530)&amp;H1530,Prices!A:C,2,0))</f>
        <v>6.22</v>
      </c>
      <c r="W1530" s="13">
        <f t="shared" si="783"/>
        <v>-7217.900800000004</v>
      </c>
      <c r="X1530" s="13">
        <f t="shared" si="784"/>
        <v>-1155.9999999999995</v>
      </c>
      <c r="Y1530" s="43">
        <f t="shared" si="785"/>
        <v>-0.14580439560439568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6.39</v>
      </c>
      <c r="V1531" s="13">
        <f>IF(ISNA(VLOOKUP(LOWER(F1531)&amp;H1531,Prices!A:C,2,0)),0,VLOOKUP(LOWER(F1531)&amp;H1531,Prices!A:C,2,0))</f>
        <v>6.22</v>
      </c>
      <c r="W1531" s="13">
        <f t="shared" si="783"/>
        <v>-7353.927999999999</v>
      </c>
      <c r="X1531" s="13">
        <f t="shared" si="784"/>
        <v>-1155.9999999999995</v>
      </c>
      <c r="Y1531" s="43">
        <f t="shared" si="785"/>
        <v>-0.14814520547945204</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17.760000000000002</v>
      </c>
      <c r="V1532" s="13">
        <f>IF(ISNA(VLOOKUP(LOWER(F1532)&amp;H1532,Prices!A:C,2,0)),0,VLOOKUP(LOWER(F1532)&amp;H1532,Prices!A:C,2,0))</f>
        <v>17.62</v>
      </c>
      <c r="W1532" s="13">
        <f t="shared" si="783"/>
        <v>-9161.5831999999955</v>
      </c>
      <c r="X1532" s="13">
        <f t="shared" si="784"/>
        <v>-308.00000000000125</v>
      </c>
      <c r="Y1532" s="43">
        <f t="shared" si="785"/>
        <v>-0.19120091827364546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28.25</v>
      </c>
      <c r="V1533" s="13">
        <f>IF(ISNA(VLOOKUP(LOWER(F1533)&amp;H1533,Prices!A:C,2,0)),0,VLOOKUP(LOWER(F1533)&amp;H1533,Prices!A:C,2,0))</f>
        <v>28.77</v>
      </c>
      <c r="W1533" s="13">
        <f t="shared" si="783"/>
        <v>29123.290800000002</v>
      </c>
      <c r="X1533" s="13">
        <f t="shared" si="784"/>
        <v>1403.9999999999989</v>
      </c>
      <c r="Y1533" s="43">
        <f t="shared" si="785"/>
        <v>0.59991123470522811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28.25</v>
      </c>
      <c r="V1534" s="13">
        <f>IF(ISNA(VLOOKUP(LOWER(F1534)&amp;H1534,Prices!A:C,2,0)),0,VLOOKUP(LOWER(F1534)&amp;H1534,Prices!A:C,2,0))</f>
        <v>28.77</v>
      </c>
      <c r="W1534" s="13">
        <f t="shared" si="783"/>
        <v>29312.328600000004</v>
      </c>
      <c r="X1534" s="13">
        <f t="shared" si="784"/>
        <v>1403.9999999999989</v>
      </c>
      <c r="Y1534" s="43">
        <f t="shared" si="785"/>
        <v>0.60616515912897828</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6.39</v>
      </c>
      <c r="V1535" s="13">
        <f>IF(ISNA(VLOOKUP(LOWER(F1535)&amp;H1535,Prices!A:C,2,0)),0,VLOOKUP(LOWER(F1535)&amp;H1535,Prices!A:C,2,0))</f>
        <v>6.22</v>
      </c>
      <c r="W1535" s="13">
        <f t="shared" ref="W1535:W1542" si="790">IF(I1535="B",(V1535+T1535)*K1535,(V1535+T1535)*K1535)</f>
        <v>46236.736000000034</v>
      </c>
      <c r="X1535" s="13">
        <f t="shared" ref="X1535:X1542" si="791">K1535*(V1535-U1535)</f>
        <v>8091.9999999999964</v>
      </c>
      <c r="Y1535" s="43">
        <f t="shared" ref="Y1535:Y1542" si="792">W1535/O1535</f>
        <v>0.1349111111111112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23.9</v>
      </c>
      <c r="V1536" s="13">
        <f>IF(ISNA(VLOOKUP(LOWER(F1536)&amp;H1536,Prices!A:C,2,0)),0,VLOOKUP(LOWER(F1536)&amp;H1536,Prices!A:C,2,0))</f>
        <v>23.72</v>
      </c>
      <c r="W1536" s="13">
        <f t="shared" si="790"/>
        <v>4056.6279999999965</v>
      </c>
      <c r="X1536" s="13">
        <f t="shared" si="791"/>
        <v>179.99999999999972</v>
      </c>
      <c r="Y1536" s="43">
        <f t="shared" si="792"/>
        <v>0.14586939949658384</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14.56</v>
      </c>
      <c r="V1537" s="13">
        <f>IF(ISNA(VLOOKUP(LOWER(F1537)&amp;H1537,Prices!A:C,2,0)),0,VLOOKUP(LOWER(F1537)&amp;H1537,Prices!A:C,2,0))</f>
        <v>14.5</v>
      </c>
      <c r="W1537" s="13">
        <f t="shared" si="790"/>
        <v>8651.4029600000122</v>
      </c>
      <c r="X1537" s="13">
        <f t="shared" si="791"/>
        <v>576.00000000000477</v>
      </c>
      <c r="Y1537" s="43">
        <f t="shared" si="792"/>
        <v>5.8442789126675394E-2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690.25</v>
      </c>
      <c r="V1538" s="13">
        <f>IF(ISNA(VLOOKUP(LOWER(F1538)&amp;H1538,Prices!A:C,2,0)),0,VLOOKUP(LOWER(F1538)&amp;H1538,Prices!A:C,2,0))</f>
        <v>679.15</v>
      </c>
      <c r="W1538" s="13">
        <f t="shared" si="790"/>
        <v>26269.840080000002</v>
      </c>
      <c r="X1538" s="13">
        <f t="shared" si="791"/>
        <v>-1110.0000000000023</v>
      </c>
      <c r="Y1538" s="43">
        <f t="shared" si="792"/>
        <v>0.63094053415313678</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690.25</v>
      </c>
      <c r="V1539" s="13">
        <f>IF(ISNA(VLOOKUP(LOWER(F1539)&amp;H1539,Prices!A:C,2,0)),0,VLOOKUP(LOWER(F1539)&amp;H1539,Prices!A:C,2,0))</f>
        <v>679.15</v>
      </c>
      <c r="W1539" s="13">
        <f t="shared" si="790"/>
        <v>26185.821600000003</v>
      </c>
      <c r="X1539" s="13">
        <f t="shared" si="791"/>
        <v>-1110.0000000000023</v>
      </c>
      <c r="Y1539" s="43">
        <f t="shared" si="792"/>
        <v>0.62765631831255997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690.25</v>
      </c>
      <c r="V1540" s="13">
        <f>IF(ISNA(VLOOKUP(LOWER(F1540)&amp;H1540,Prices!A:C,2,0)),0,VLOOKUP(LOWER(F1540)&amp;H1540,Prices!A:C,2,0))</f>
        <v>679.15</v>
      </c>
      <c r="W1540" s="13">
        <f t="shared" si="790"/>
        <v>26170.818299999995</v>
      </c>
      <c r="X1540" s="13">
        <f t="shared" si="791"/>
        <v>-1110.0000000000023</v>
      </c>
      <c r="Y1540" s="43">
        <f t="shared" si="792"/>
        <v>0.62707124236252532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690.25</v>
      </c>
      <c r="V1541" s="13">
        <f>IF(ISNA(VLOOKUP(LOWER(F1541)&amp;H1541,Prices!A:C,2,0)),0,VLOOKUP(LOWER(F1541)&amp;H1541,Prices!A:C,2,0))</f>
        <v>679.15</v>
      </c>
      <c r="W1541" s="13">
        <f t="shared" si="790"/>
        <v>26170.818299999995</v>
      </c>
      <c r="X1541" s="13">
        <f t="shared" si="791"/>
        <v>-1110.0000000000023</v>
      </c>
      <c r="Y1541" s="43">
        <f t="shared" si="792"/>
        <v>0.62707124236252532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690.25</v>
      </c>
      <c r="V1542" s="13">
        <f>IF(ISNA(VLOOKUP(LOWER(F1542)&amp;H1542,Prices!A:C,2,0)),0,VLOOKUP(LOWER(F1542)&amp;H1542,Prices!A:C,2,0))</f>
        <v>679.15</v>
      </c>
      <c r="W1542" s="13">
        <f t="shared" si="790"/>
        <v>26145.8128</v>
      </c>
      <c r="X1542" s="13">
        <f t="shared" si="791"/>
        <v>-1110.0000000000023</v>
      </c>
      <c r="Y1542" s="43">
        <f t="shared" si="792"/>
        <v>0.62609704980842906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66.38</v>
      </c>
      <c r="V1543" s="13">
        <f>IF(ISNA(VLOOKUP(LOWER(F1543)&amp;H1543,Prices!A:C,2,0)),0,VLOOKUP(LOWER(F1543)&amp;H1543,Prices!A:C,2,0))</f>
        <v>65.8</v>
      </c>
      <c r="W1543" s="13">
        <f t="shared" ref="W1543:W1556" si="800">IF(I1543="B",(V1543+T1543)*K1543,(V1543+T1543)*K1543)</f>
        <v>-20005.019999999993</v>
      </c>
      <c r="X1543" s="13">
        <f t="shared" ref="X1543:X1556" si="801">K1543*(V1543-U1543)</f>
        <v>579.99999999999829</v>
      </c>
      <c r="Y1543" s="43">
        <f t="shared" ref="Y1543:Y1556" si="802">W1543/O1543</f>
        <v>-0.43631450381679376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13.59</v>
      </c>
      <c r="V1544" s="13">
        <f>IF(ISNA(VLOOKUP(LOWER(F1544)&amp;H1544,Prices!A:C,2,0)),0,VLOOKUP(LOWER(F1544)&amp;H1544,Prices!A:C,2,0))</f>
        <v>13.68</v>
      </c>
      <c r="W1544" s="13">
        <f t="shared" si="800"/>
        <v>34733.221819999999</v>
      </c>
      <c r="X1544" s="13">
        <f t="shared" si="801"/>
        <v>-728.99999999999886</v>
      </c>
      <c r="Y1544" s="43">
        <f t="shared" si="802"/>
        <v>0.23835753621696551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55.5</v>
      </c>
      <c r="V1545" s="13">
        <f>IF(ISNA(VLOOKUP(LOWER(F1545)&amp;H1545,Prices!A:C,2,0)),0,VLOOKUP(LOWER(F1545)&amp;H1545,Prices!A:C,2,0))</f>
        <v>55.89</v>
      </c>
      <c r="W1545" s="13">
        <f t="shared" si="800"/>
        <v>40758.268799999998</v>
      </c>
      <c r="X1545" s="13">
        <f t="shared" si="801"/>
        <v>624.00000000000091</v>
      </c>
      <c r="Y1545" s="43">
        <f t="shared" si="802"/>
        <v>0.83768227556724761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66.38</v>
      </c>
      <c r="V1546" s="13">
        <f>IF(ISNA(VLOOKUP(LOWER(F1546)&amp;H1546,Prices!A:C,2,0)),0,VLOOKUP(LOWER(F1546)&amp;H1546,Prices!A:C,2,0))</f>
        <v>65.8</v>
      </c>
      <c r="W1546" s="13">
        <f t="shared" si="800"/>
        <v>19930.827999999998</v>
      </c>
      <c r="X1546" s="13">
        <f t="shared" si="801"/>
        <v>-579.99999999999829</v>
      </c>
      <c r="Y1546" s="43">
        <f t="shared" si="802"/>
        <v>0.43460156999563887</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55.5</v>
      </c>
      <c r="V1547" s="13">
        <f>IF(ISNA(VLOOKUP(LOWER(F1547)&amp;H1547,Prices!A:C,2,0)),0,VLOOKUP(LOWER(F1547)&amp;H1547,Prices!A:C,2,0))</f>
        <v>55.89</v>
      </c>
      <c r="W1547" s="13">
        <f t="shared" si="800"/>
        <v>41126.342400000001</v>
      </c>
      <c r="X1547" s="13">
        <f t="shared" si="801"/>
        <v>624.00000000000091</v>
      </c>
      <c r="Y1547" s="43">
        <f t="shared" si="802"/>
        <v>0.85168866799204779</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55.5</v>
      </c>
      <c r="V1548" s="13">
        <f>IF(ISNA(VLOOKUP(LOWER(F1548)&amp;H1548,Prices!A:C,2,0)),0,VLOOKUP(LOWER(F1548)&amp;H1548,Prices!A:C,2,0))</f>
        <v>55.89</v>
      </c>
      <c r="W1548" s="13">
        <f t="shared" si="800"/>
        <v>41142.345600000001</v>
      </c>
      <c r="X1548" s="13">
        <f t="shared" si="801"/>
        <v>624.00000000000091</v>
      </c>
      <c r="Y1548" s="43">
        <f t="shared" si="802"/>
        <v>0.85230248591315882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690.25</v>
      </c>
      <c r="V1549" s="13">
        <f>IF(ISNA(VLOOKUP(LOWER(F1549)&amp;H1549,Prices!A:C,2,0)),0,VLOOKUP(LOWER(F1549)&amp;H1549,Prices!A:C,2,0))</f>
        <v>679.15</v>
      </c>
      <c r="W1549" s="13">
        <f t="shared" si="800"/>
        <v>27069.015859999996</v>
      </c>
      <c r="X1549" s="13">
        <f t="shared" si="801"/>
        <v>-1110.0000000000023</v>
      </c>
      <c r="Y1549" s="43">
        <f t="shared" si="802"/>
        <v>0.66285515243529147</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27.36</v>
      </c>
      <c r="V1550" s="13">
        <f>IF(ISNA(VLOOKUP(LOWER(F1550)&amp;H1550,Prices!A:C,2,0)),0,VLOOKUP(LOWER(F1550)&amp;H1550,Prices!A:C,2,0))</f>
        <v>25.09</v>
      </c>
      <c r="W1550" s="13">
        <f t="shared" si="800"/>
        <v>-2746.5375599999961</v>
      </c>
      <c r="X1550" s="13">
        <f t="shared" si="801"/>
        <v>-4085.9999999999991</v>
      </c>
      <c r="Y1550" s="43">
        <f t="shared" si="802"/>
        <v>-5.7341382938744752E-2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55.5</v>
      </c>
      <c r="V1551" s="13">
        <f>IF(ISNA(VLOOKUP(LOWER(F1551)&amp;H1551,Prices!A:C,2,0)),0,VLOOKUP(LOWER(F1551)&amp;H1551,Prices!A:C,2,0))</f>
        <v>55.89</v>
      </c>
      <c r="W1551" s="13">
        <f t="shared" si="800"/>
        <v>40134.144</v>
      </c>
      <c r="X1551" s="13">
        <f t="shared" si="801"/>
        <v>624.00000000000091</v>
      </c>
      <c r="Y1551" s="43">
        <f t="shared" si="802"/>
        <v>0.81441038961038958</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690.25</v>
      </c>
      <c r="V1552" s="13">
        <f>IF(ISNA(VLOOKUP(LOWER(F1552)&amp;H1552,Prices!A:C,2,0)),0,VLOOKUP(LOWER(F1552)&amp;H1552,Prices!A:C,2,0))</f>
        <v>679.15</v>
      </c>
      <c r="W1552" s="13">
        <f t="shared" si="800"/>
        <v>26898.978459999995</v>
      </c>
      <c r="X1552" s="13">
        <f t="shared" si="801"/>
        <v>-1110.0000000000023</v>
      </c>
      <c r="Y1552" s="43">
        <f t="shared" si="802"/>
        <v>0.6559606520837904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690.25</v>
      </c>
      <c r="V1553" s="13">
        <f>IF(ISNA(VLOOKUP(LOWER(F1553)&amp;H1553,Prices!A:C,2,0)),0,VLOOKUP(LOWER(F1553)&amp;H1553,Prices!A:C,2,0))</f>
        <v>679.15</v>
      </c>
      <c r="W1553" s="13">
        <f t="shared" si="800"/>
        <v>26698.934460000004</v>
      </c>
      <c r="X1553" s="13">
        <f t="shared" si="801"/>
        <v>-1110.0000000000023</v>
      </c>
      <c r="Y1553" s="43">
        <f t="shared" si="802"/>
        <v>0.64792230591889732</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690.25</v>
      </c>
      <c r="V1554" s="13">
        <f>IF(ISNA(VLOOKUP(LOWER(F1554)&amp;H1554,Prices!A:C,2,0)),0,VLOOKUP(LOWER(F1554)&amp;H1554,Prices!A:C,2,0))</f>
        <v>679.15</v>
      </c>
      <c r="W1554" s="13">
        <f t="shared" si="800"/>
        <v>26517.894639999999</v>
      </c>
      <c r="X1554" s="13">
        <f t="shared" si="801"/>
        <v>-1110.0000000000023</v>
      </c>
      <c r="Y1554" s="43">
        <f t="shared" si="802"/>
        <v>0.64071457040688118</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55.5</v>
      </c>
      <c r="V1555" s="13">
        <f>IF(ISNA(VLOOKUP(LOWER(F1555)&amp;H1555,Prices!A:C,2,0)),0,VLOOKUP(LOWER(F1555)&amp;H1555,Prices!A:C,2,0))</f>
        <v>55.89</v>
      </c>
      <c r="W1555" s="13">
        <f t="shared" si="800"/>
        <v>40022.121599999999</v>
      </c>
      <c r="X1555" s="13">
        <f t="shared" si="801"/>
        <v>624.00000000000091</v>
      </c>
      <c r="Y1555" s="43">
        <f t="shared" si="802"/>
        <v>0.81029562682215739</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690.25</v>
      </c>
      <c r="V1556" s="13">
        <f>IF(ISNA(VLOOKUP(LOWER(F1556)&amp;H1556,Prices!A:C,2,0)),0,VLOOKUP(LOWER(F1556)&amp;H1556,Prices!A:C,2,0))</f>
        <v>679.15</v>
      </c>
      <c r="W1556" s="13">
        <f t="shared" si="800"/>
        <v>26307.848439999991</v>
      </c>
      <c r="X1556" s="13">
        <f t="shared" si="801"/>
        <v>-1110.0000000000023</v>
      </c>
      <c r="Y1556" s="43">
        <f t="shared" si="802"/>
        <v>0.63243060820231722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33.22</v>
      </c>
      <c r="V1557" s="13">
        <f>IF(ISNA(VLOOKUP(LOWER(F1557)&amp;H1557,Prices!A:C,2,0)),0,VLOOKUP(LOWER(F1557)&amp;H1557,Prices!A:C,2,0))</f>
        <v>33.1</v>
      </c>
      <c r="W1557" s="13">
        <f t="shared" ref="W1557:W1577" si="808">IF(I1557="B",(V1557+T1557)*K1557,(V1557+T1557)*K1557)</f>
        <v>10609.228800000001</v>
      </c>
      <c r="X1557" s="13">
        <f t="shared" ref="X1557:X1577" si="809">K1557*(V1557-U1557)</f>
        <v>-215.9999999999954</v>
      </c>
      <c r="Y1557" s="43">
        <f t="shared" ref="Y1557:Y1577" si="810">W1557/O1557</f>
        <v>0.21669176470588236</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39.69</v>
      </c>
      <c r="V1558" s="13">
        <f>IF(ISNA(VLOOKUP(LOWER(F1558)&amp;H1558,Prices!A:C,2,0)),0,VLOOKUP(LOWER(F1558)&amp;H1558,Prices!A:C,2,0))</f>
        <v>40.520000000000003</v>
      </c>
      <c r="W1558" s="13">
        <f t="shared" si="808"/>
        <v>13069.506000000008</v>
      </c>
      <c r="X1558" s="13">
        <f t="shared" si="809"/>
        <v>1245.0000000000082</v>
      </c>
      <c r="Y1558" s="43">
        <f t="shared" si="810"/>
        <v>0.27399383647798758</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690.25</v>
      </c>
      <c r="V1559" s="13">
        <f>IF(ISNA(VLOOKUP(LOWER(F1559)&amp;H1559,Prices!A:C,2,0)),0,VLOOKUP(LOWER(F1559)&amp;H1559,Prices!A:C,2,0))</f>
        <v>679.15</v>
      </c>
      <c r="W1559" s="13">
        <f t="shared" si="808"/>
        <v>27788.174039999994</v>
      </c>
      <c r="X1559" s="13">
        <f t="shared" si="809"/>
        <v>-1110.0000000000023</v>
      </c>
      <c r="Y1559" s="43">
        <f t="shared" si="810"/>
        <v>0.69266100104691142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47.74</v>
      </c>
      <c r="V1560" s="13">
        <f>IF(ISNA(VLOOKUP(LOWER(F1560)&amp;H1560,Prices!A:C,2,0)),0,VLOOKUP(LOWER(F1560)&amp;H1560,Prices!A:C,2,0))</f>
        <v>47.71</v>
      </c>
      <c r="W1560" s="13">
        <f t="shared" si="808"/>
        <v>36763.197119999997</v>
      </c>
      <c r="X1560" s="13">
        <f t="shared" si="809"/>
        <v>-54.000000000002046</v>
      </c>
      <c r="Y1560" s="43">
        <f t="shared" si="810"/>
        <v>0.74868029325513186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33.22</v>
      </c>
      <c r="V1561" s="13">
        <f>IF(ISNA(VLOOKUP(LOWER(F1561)&amp;H1561,Prices!A:C,2,0)),0,VLOOKUP(LOWER(F1561)&amp;H1561,Prices!A:C,2,0))</f>
        <v>33.1</v>
      </c>
      <c r="W1561" s="13">
        <f t="shared" si="808"/>
        <v>10807.272360000004</v>
      </c>
      <c r="X1561" s="13">
        <f t="shared" si="809"/>
        <v>-215.9999999999954</v>
      </c>
      <c r="Y1561" s="43">
        <f t="shared" si="810"/>
        <v>0.2216330823181987</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33.22</v>
      </c>
      <c r="V1562" s="13">
        <f>IF(ISNA(VLOOKUP(LOWER(F1562)&amp;H1562,Prices!A:C,2,0)),0,VLOOKUP(LOWER(F1562)&amp;H1562,Prices!A:C,2,0))</f>
        <v>33.1</v>
      </c>
      <c r="W1562" s="13">
        <f t="shared" si="808"/>
        <v>10699.248600000003</v>
      </c>
      <c r="X1562" s="13">
        <f t="shared" si="809"/>
        <v>-215.9999999999954</v>
      </c>
      <c r="Y1562" s="43">
        <f t="shared" si="810"/>
        <v>0.21893285451197059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33.22</v>
      </c>
      <c r="V1563" s="13">
        <f>IF(ISNA(VLOOKUP(LOWER(F1563)&amp;H1563,Prices!A:C,2,0)),0,VLOOKUP(LOWER(F1563)&amp;H1563,Prices!A:C,2,0))</f>
        <v>33.1</v>
      </c>
      <c r="W1563" s="13">
        <f t="shared" si="808"/>
        <v>10465.197119999999</v>
      </c>
      <c r="X1563" s="13">
        <f t="shared" si="809"/>
        <v>-215.9999999999954</v>
      </c>
      <c r="Y1563" s="43">
        <f t="shared" si="810"/>
        <v>0.21312310850439881</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33.22</v>
      </c>
      <c r="V1564" s="13">
        <f>IF(ISNA(VLOOKUP(LOWER(F1564)&amp;H1564,Prices!A:C,2,0)),0,VLOOKUP(LOWER(F1564)&amp;H1564,Prices!A:C,2,0))</f>
        <v>33.1</v>
      </c>
      <c r="W1564" s="13">
        <f t="shared" si="808"/>
        <v>10447.193160000006</v>
      </c>
      <c r="X1564" s="13">
        <f t="shared" si="809"/>
        <v>-215.9999999999954</v>
      </c>
      <c r="Y1564" s="43">
        <f t="shared" si="810"/>
        <v>0.21267849761817528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33.22</v>
      </c>
      <c r="V1565" s="13">
        <f>IF(ISNA(VLOOKUP(LOWER(F1565)&amp;H1565,Prices!A:C,2,0)),0,VLOOKUP(LOWER(F1565)&amp;H1565,Prices!A:C,2,0))</f>
        <v>33.1</v>
      </c>
      <c r="W1565" s="13">
        <f t="shared" si="808"/>
        <v>10267.153560000002</v>
      </c>
      <c r="X1565" s="13">
        <f t="shared" si="809"/>
        <v>-215.9999999999954</v>
      </c>
      <c r="Y1565" s="43">
        <f t="shared" si="810"/>
        <v>0.20825024461482297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45.95</v>
      </c>
      <c r="V1566" s="13">
        <f>IF(ISNA(VLOOKUP(LOWER(F1566)&amp;H1566,Prices!A:C,2,0)),0,VLOOKUP(LOWER(F1566)&amp;H1566,Prices!A:C,2,0))</f>
        <v>45.82</v>
      </c>
      <c r="W1566" s="13">
        <f t="shared" si="808"/>
        <v>24278.195200000006</v>
      </c>
      <c r="X1566" s="13">
        <f t="shared" si="809"/>
        <v>-208.00000000000409</v>
      </c>
      <c r="Y1566" s="43">
        <f t="shared" si="810"/>
        <v>0.49523080939947794</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33.22</v>
      </c>
      <c r="V1567" s="13">
        <f>IF(ISNA(VLOOKUP(LOWER(F1567)&amp;H1567,Prices!A:C,2,0)),0,VLOOKUP(LOWER(F1567)&amp;H1567,Prices!A:C,2,0))</f>
        <v>33.1</v>
      </c>
      <c r="W1567" s="13">
        <f t="shared" si="808"/>
        <v>10465.197119999999</v>
      </c>
      <c r="X1567" s="13">
        <f t="shared" si="809"/>
        <v>-215.9999999999954</v>
      </c>
      <c r="Y1567" s="43">
        <f t="shared" si="810"/>
        <v>0.21312310850439881</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55.5</v>
      </c>
      <c r="V1568" s="13">
        <f>IF(ISNA(VLOOKUP(LOWER(F1568)&amp;H1568,Prices!A:C,2,0)),0,VLOOKUP(LOWER(F1568)&amp;H1568,Prices!A:C,2,0))</f>
        <v>55.89</v>
      </c>
      <c r="W1568" s="13">
        <f t="shared" si="808"/>
        <v>41494.415999999997</v>
      </c>
      <c r="X1568" s="13">
        <f t="shared" si="809"/>
        <v>624.00000000000091</v>
      </c>
      <c r="Y1568" s="43">
        <f t="shared" si="810"/>
        <v>0.86591018363939898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33.22</v>
      </c>
      <c r="V1569" s="13">
        <f>IF(ISNA(VLOOKUP(LOWER(F1569)&amp;H1569,Prices!A:C,2,0)),0,VLOOKUP(LOWER(F1569)&amp;H1569,Prices!A:C,2,0))</f>
        <v>33.1</v>
      </c>
      <c r="W1569" s="13">
        <f t="shared" si="808"/>
        <v>10411.185240000004</v>
      </c>
      <c r="X1569" s="13">
        <f t="shared" si="809"/>
        <v>-215.9999999999954</v>
      </c>
      <c r="Y1569" s="43">
        <f t="shared" si="810"/>
        <v>0.21179025265470533</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690.25</v>
      </c>
      <c r="V1570" s="13">
        <f>IF(ISNA(VLOOKUP(LOWER(F1570)&amp;H1570,Prices!A:C,2,0)),0,VLOOKUP(LOWER(F1570)&amp;H1570,Prices!A:C,2,0))</f>
        <v>679.15</v>
      </c>
      <c r="W1570" s="13">
        <f t="shared" si="808"/>
        <v>28095.241579999998</v>
      </c>
      <c r="X1570" s="13">
        <f t="shared" si="809"/>
        <v>-1110.0000000000023</v>
      </c>
      <c r="Y1570" s="43">
        <f t="shared" si="810"/>
        <v>0.70571554545226189</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55.5</v>
      </c>
      <c r="V1571" s="13">
        <f>IF(ISNA(VLOOKUP(LOWER(F1571)&amp;H1571,Prices!A:C,2,0)),0,VLOOKUP(LOWER(F1571)&amp;H1571,Prices!A:C,2,0))</f>
        <v>55.89</v>
      </c>
      <c r="W1571" s="13">
        <f t="shared" si="808"/>
        <v>41478.412799999998</v>
      </c>
      <c r="X1571" s="13">
        <f t="shared" si="809"/>
        <v>624.00000000000091</v>
      </c>
      <c r="Y1571" s="43">
        <f t="shared" si="810"/>
        <v>0.86528731642189582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23.9</v>
      </c>
      <c r="V1572" s="13">
        <f>IF(ISNA(VLOOKUP(LOWER(F1572)&amp;H1572,Prices!A:C,2,0)),0,VLOOKUP(LOWER(F1572)&amp;H1572,Prices!A:C,2,0))</f>
        <v>23.72</v>
      </c>
      <c r="W1572" s="13">
        <f t="shared" si="808"/>
        <v>24172.571599999992</v>
      </c>
      <c r="X1572" s="13">
        <f t="shared" si="809"/>
        <v>1151.9999999999982</v>
      </c>
      <c r="Y1572" s="43">
        <f t="shared" si="810"/>
        <v>0.13719449010170717</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28.25</v>
      </c>
      <c r="V1573" s="13">
        <f>IF(ISNA(VLOOKUP(LOWER(F1573)&amp;H1573,Prices!A:C,2,0)),0,VLOOKUP(LOWER(F1573)&amp;H1573,Prices!A:C,2,0))</f>
        <v>28.77</v>
      </c>
      <c r="W1573" s="13">
        <f t="shared" si="808"/>
        <v>-62265.840799999984</v>
      </c>
      <c r="X1573" s="13">
        <f t="shared" si="809"/>
        <v>-2807.9999999999977</v>
      </c>
      <c r="Y1573" s="43">
        <f t="shared" si="810"/>
        <v>-0.66805974850864747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17.760000000000002</v>
      </c>
      <c r="V1574" s="13">
        <f>IF(ISNA(VLOOKUP(LOWER(F1574)&amp;H1574,Prices!A:C,2,0)),0,VLOOKUP(LOWER(F1574)&amp;H1574,Prices!A:C,2,0))</f>
        <v>17.62</v>
      </c>
      <c r="W1574" s="13">
        <f t="shared" si="808"/>
        <v>21079.236399999936</v>
      </c>
      <c r="X1574" s="13">
        <f t="shared" si="809"/>
        <v>1848.0000000000075</v>
      </c>
      <c r="Y1574" s="43">
        <f t="shared" si="810"/>
        <v>8.299957632457608E-2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13.96</v>
      </c>
      <c r="V1575" s="13">
        <f>IF(ISNA(VLOOKUP(LOWER(F1575)&amp;H1575,Prices!A:C,2,0)),0,VLOOKUP(LOWER(F1575)&amp;H1575,Prices!A:C,2,0))</f>
        <v>13.79</v>
      </c>
      <c r="W1575" s="13">
        <f t="shared" si="808"/>
        <v>44017.956200000059</v>
      </c>
      <c r="X1575" s="13">
        <f t="shared" si="809"/>
        <v>2023.0000000000202</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33.22</v>
      </c>
      <c r="V1576" s="13">
        <f>IF(ISNA(VLOOKUP(LOWER(F1576)&amp;H1576,Prices!A:C,2,0)),0,VLOOKUP(LOWER(F1576)&amp;H1576,Prices!A:C,2,0))</f>
        <v>33.1</v>
      </c>
      <c r="W1576" s="13">
        <f t="shared" si="808"/>
        <v>10249.149599999997</v>
      </c>
      <c r="X1576" s="13">
        <f t="shared" si="809"/>
        <v>-215.9999999999954</v>
      </c>
      <c r="Y1576" s="43">
        <f t="shared" si="810"/>
        <v>0.20780919708029191</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58.24</v>
      </c>
      <c r="V1577" s="8">
        <f>IF(ISNA(VLOOKUP(LOWER(F1577)&amp;H1577,Prices!A:C,2,0)),0,VLOOKUP(LOWER(F1577)&amp;H1577,Prices!A:C,2,0))</f>
        <v>58.82</v>
      </c>
      <c r="W1577" s="8">
        <f t="shared" si="808"/>
        <v>17062.474000000006</v>
      </c>
      <c r="X1577" s="8">
        <f t="shared" si="809"/>
        <v>637.99999999999818</v>
      </c>
      <c r="Y1577" s="57">
        <f t="shared" si="810"/>
        <v>0.35822956120092392</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45.95</v>
      </c>
      <c r="V1578" s="13">
        <f>IF(ISNA(VLOOKUP(LOWER(F1578)&amp;H1578,Prices!A:C,2,0)),0,VLOOKUP(LOWER(F1578)&amp;H1578,Prices!A:C,2,0))</f>
        <v>45.82</v>
      </c>
      <c r="W1578" s="13">
        <f t="shared" ref="W1578" si="815">IF(I1578="B",(V1578+T1578)*K1578,(V1578+T1578)*K1578)</f>
        <v>23846.108800000002</v>
      </c>
      <c r="X1578" s="13">
        <f t="shared" ref="X1578" si="816">K1578*(V1578-U1578)</f>
        <v>-208.00000000000409</v>
      </c>
      <c r="Y1578" s="43">
        <f t="shared" ref="Y1578" si="817">W1578/O1578</f>
        <v>0.48216816564218701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27.36</v>
      </c>
      <c r="V1579" s="13">
        <f>IF(ISNA(VLOOKUP(LOWER(F1579)&amp;H1579,Prices!A:C,2,0)),0,VLOOKUP(LOWER(F1579)&amp;H1579,Prices!A:C,2,0))</f>
        <v>25.09</v>
      </c>
      <c r="W1579" s="13">
        <f t="shared" ref="W1579:W1583" si="822">IF(I1579="B",(V1579+T1579)*K1579,(V1579+T1579)*K1579)</f>
        <v>-1811.7801000000013</v>
      </c>
      <c r="X1579" s="13">
        <f t="shared" ref="X1579:X1582" si="823">K1579*(V1579-U1579)</f>
        <v>-3858.9999999999991</v>
      </c>
      <c r="Y1579" s="43">
        <f t="shared" ref="Y1579:Y1583" si="824">W1579/O1579</f>
        <v>-4.0755372848948403E-2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27.36</v>
      </c>
      <c r="V1580" s="13">
        <f>IF(ISNA(VLOOKUP(LOWER(F1580)&amp;H1580,Prices!A:C,2,0)),0,VLOOKUP(LOWER(F1580)&amp;H1580,Prices!A:C,2,0))</f>
        <v>25.09</v>
      </c>
      <c r="W1580" s="13">
        <f t="shared" si="822"/>
        <v>-2252.9808600000024</v>
      </c>
      <c r="X1580" s="13">
        <f t="shared" si="823"/>
        <v>-4312.9999999999991</v>
      </c>
      <c r="Y1580" s="43">
        <f t="shared" si="824"/>
        <v>-4.5138157594213982E-2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55.5</v>
      </c>
      <c r="V1581" s="13">
        <f>IF(ISNA(VLOOKUP(LOWER(F1581)&amp;H1581,Prices!A:C,2,0)),0,VLOOKUP(LOWER(F1581)&amp;H1581,Prices!A:C,2,0))</f>
        <v>55.89</v>
      </c>
      <c r="W1581" s="13">
        <f t="shared" si="822"/>
        <v>-73777.811000000002</v>
      </c>
      <c r="X1581" s="13">
        <f t="shared" si="823"/>
        <v>-1170.0000000000018</v>
      </c>
      <c r="Y1581" s="43">
        <f t="shared" si="824"/>
        <v>-0.78482858358597951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27.36</v>
      </c>
      <c r="V1582" s="13">
        <f>IF(ISNA(VLOOKUP(LOWER(F1582)&amp;H1582,Prices!A:C,2,0)),0,VLOOKUP(LOWER(F1582)&amp;H1582,Prices!A:C,2,0))</f>
        <v>25.09</v>
      </c>
      <c r="W1582" s="13">
        <f t="shared" si="822"/>
        <v>-2073.2857599999988</v>
      </c>
      <c r="X1582" s="13">
        <f t="shared" si="823"/>
        <v>-3631.9999999999991</v>
      </c>
      <c r="Y1582" s="43">
        <f t="shared" si="824"/>
        <v>-4.912068233510232E-2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27.36</v>
      </c>
      <c r="V1583" s="13">
        <f>IF(ISNA(VLOOKUP(LOWER(F1583)&amp;H1583,Prices!A:C,2,0)),0,VLOOKUP(LOWER(F1583)&amp;H1583,Prices!A:C,2,0))</f>
        <v>25.09</v>
      </c>
      <c r="W1583" s="13">
        <f t="shared" si="822"/>
        <v>-2332.4464799999987</v>
      </c>
      <c r="X1583" s="13">
        <f>K1583*(V1583-U1583)</f>
        <v>-4085.9999999999991</v>
      </c>
      <c r="Y1583" s="43">
        <f t="shared" si="824"/>
        <v>-4.912068233510232E-2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41.45</v>
      </c>
      <c r="V1584" s="13">
        <f>IF(ISNA(VLOOKUP(LOWER(F1584)&amp;H1584,Prices!A:C,2,0)),0,VLOOKUP(LOWER(F1584)&amp;H1584,Prices!A:C,2,0))</f>
        <v>41.99</v>
      </c>
      <c r="W1584" s="13">
        <f t="shared" ref="W1584:W1585" si="829">IF(I1584="B",(V1584+T1584)*K1584,(V1584+T1584)*K1584)</f>
        <v>-6099.6159999999973</v>
      </c>
      <c r="X1584" s="13">
        <f t="shared" ref="X1584:X1585" si="830">K1584*(V1584-U1584)</f>
        <v>539.99999999999909</v>
      </c>
      <c r="Y1584" s="43">
        <f t="shared" ref="Y1584:Y1585" si="831">W1584/O1584</f>
        <v>-0.12686389351081526</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33.22</v>
      </c>
      <c r="V1585" s="13">
        <f>IF(ISNA(VLOOKUP(LOWER(F1585)&amp;H1585,Prices!A:C,2,0)),0,VLOOKUP(LOWER(F1585)&amp;H1585,Prices!A:C,2,0))</f>
        <v>33.1</v>
      </c>
      <c r="W1585" s="13">
        <f t="shared" si="829"/>
        <v>-42263.915920000007</v>
      </c>
      <c r="X1585" s="13">
        <f t="shared" si="830"/>
        <v>983.99999999997908</v>
      </c>
      <c r="Y1585" s="43">
        <f t="shared" si="831"/>
        <v>-0.18420786589724369</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690.25</v>
      </c>
      <c r="V1586" s="13">
        <f>IF(ISNA(VLOOKUP(LOWER(F1586)&amp;H1586,Prices!A:C,2,0)),0,VLOOKUP(LOWER(F1586)&amp;H1586,Prices!A:C,2,0))</f>
        <v>679.15</v>
      </c>
      <c r="W1586" s="13">
        <f t="shared" ref="W1586:W1590" si="836">IF(I1586="B",(V1586+T1586)*K1586,(V1586+T1586)*K1586)</f>
        <v>-150517.89291999998</v>
      </c>
      <c r="X1586" s="13">
        <f t="shared" ref="X1586:X1590" si="837">K1586*(V1586-U1586)</f>
        <v>6660.0000000000136</v>
      </c>
      <c r="Y1586" s="43">
        <f t="shared" ref="Y1586:Y1590" si="838">W1586/O1586</f>
        <v>-0.58502169927629166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47.74</v>
      </c>
      <c r="V1587" s="13">
        <f>IF(ISNA(VLOOKUP(LOWER(F1587)&amp;H1587,Prices!A:C,2,0)),0,VLOOKUP(LOWER(F1587)&amp;H1587,Prices!A:C,2,0))</f>
        <v>47.71</v>
      </c>
      <c r="W1587" s="13">
        <f t="shared" si="836"/>
        <v>-34352.939359999997</v>
      </c>
      <c r="X1587" s="13">
        <f t="shared" si="837"/>
        <v>54.000000000002046</v>
      </c>
      <c r="Y1587" s="43">
        <f t="shared" si="838"/>
        <v>-0.66590950143444205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27.36</v>
      </c>
      <c r="V1588" s="13">
        <f>IF(ISNA(VLOOKUP(LOWER(F1588)&amp;H1588,Prices!A:C,2,0)),0,VLOOKUP(LOWER(F1588)&amp;H1588,Prices!A:C,2,0))</f>
        <v>25.09</v>
      </c>
      <c r="W1588" s="13">
        <f t="shared" si="836"/>
        <v>11420.35088000004</v>
      </c>
      <c r="X1588" s="13">
        <f t="shared" si="837"/>
        <v>19975.999999999996</v>
      </c>
      <c r="Y1588" s="43">
        <f t="shared" si="838"/>
        <v>4.9120633817356166E-2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41.45</v>
      </c>
      <c r="V1589" s="13">
        <f>IF(ISNA(VLOOKUP(LOWER(F1589)&amp;H1589,Prices!A:C,2,0)),0,VLOOKUP(LOWER(F1589)&amp;H1589,Prices!A:C,2,0))</f>
        <v>41.99</v>
      </c>
      <c r="W1589" s="13">
        <f t="shared" si="836"/>
        <v>-5929.5820000000031</v>
      </c>
      <c r="X1589" s="13">
        <f t="shared" si="837"/>
        <v>539.99999999999909</v>
      </c>
      <c r="Y1589" s="43">
        <f t="shared" si="838"/>
        <v>-0.1237650177415989</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41.45</v>
      </c>
      <c r="V1590" s="13">
        <f>IF(ISNA(VLOOKUP(LOWER(F1590)&amp;H1590,Prices!A:C,2,0)),0,VLOOKUP(LOWER(F1590)&amp;H1590,Prices!A:C,2,0))</f>
        <v>41.99</v>
      </c>
      <c r="W1590" s="13">
        <f t="shared" si="836"/>
        <v>-5839.5639999999958</v>
      </c>
      <c r="X1590" s="13">
        <f t="shared" si="837"/>
        <v>539.99999999999909</v>
      </c>
      <c r="Y1590" s="43">
        <f t="shared" si="838"/>
        <v>-0.12211551652028431</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41.45</v>
      </c>
      <c r="V1591" s="13">
        <f>IF(ISNA(VLOOKUP(LOWER(F1591)&amp;H1591,Prices!A:C,2,0)),0,VLOOKUP(LOWER(F1591)&amp;H1591,Prices!A:C,2,0))</f>
        <v>41.99</v>
      </c>
      <c r="W1591" s="13">
        <f t="shared" ref="W1591:W1606" si="843">IF(I1591="B",(V1591+T1591)*K1591,(V1591+T1591)*K1591)</f>
        <v>-5579.5120000000015</v>
      </c>
      <c r="X1591" s="13">
        <f t="shared" ref="X1591:X1606" si="844">K1591*(V1591-U1591)</f>
        <v>539.99999999999909</v>
      </c>
      <c r="Y1591" s="43">
        <f t="shared" ref="Y1591:Y1606" si="845">W1591/O1591</f>
        <v>-0.11731522287636673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55.5</v>
      </c>
      <c r="V1592" s="13">
        <f>IF(ISNA(VLOOKUP(LOWER(F1592)&amp;H1592,Prices!A:C,2,0)),0,VLOOKUP(LOWER(F1592)&amp;H1592,Prices!A:C,2,0))</f>
        <v>55.89</v>
      </c>
      <c r="W1592" s="13">
        <f t="shared" si="843"/>
        <v>34056.546300000002</v>
      </c>
      <c r="X1592" s="13">
        <f t="shared" si="844"/>
        <v>585.00000000000091</v>
      </c>
      <c r="Y1592" s="43">
        <f t="shared" si="845"/>
        <v>0.68429923144157456</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55.5</v>
      </c>
      <c r="V1593" s="13">
        <f>IF(ISNA(VLOOKUP(LOWER(F1593)&amp;H1593,Prices!A:C,2,0)),0,VLOOKUP(LOWER(F1593)&amp;H1593,Prices!A:C,2,0))</f>
        <v>55.89</v>
      </c>
      <c r="W1593" s="13">
        <f t="shared" si="843"/>
        <v>34055.046000000002</v>
      </c>
      <c r="X1593" s="13">
        <f t="shared" si="844"/>
        <v>585.00000000000091</v>
      </c>
      <c r="Y1593" s="43">
        <f t="shared" si="845"/>
        <v>0.68424846292947561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39.799999999999997</v>
      </c>
      <c r="V1594" s="13">
        <f>IF(ISNA(VLOOKUP(LOWER(F1594)&amp;H1594,Prices!A:C,2,0)),0,VLOOKUP(LOWER(F1594)&amp;H1594,Prices!A:C,2,0))</f>
        <v>41.55</v>
      </c>
      <c r="W1594" s="13">
        <f t="shared" si="843"/>
        <v>27350.513999999999</v>
      </c>
      <c r="X1594" s="13">
        <f t="shared" si="844"/>
        <v>3150</v>
      </c>
      <c r="Y1594" s="43">
        <f t="shared" si="845"/>
        <v>0.5766500948766603</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28.66</v>
      </c>
      <c r="V1595" s="8">
        <f>IF(ISNA(VLOOKUP(LOWER(F1595)&amp;H1595,Prices!A:C,2,0)),0,VLOOKUP(LOWER(F1595)&amp;H1595,Prices!A:C,2,0))</f>
        <v>28.37</v>
      </c>
      <c r="W1595" s="8">
        <f t="shared" si="843"/>
        <v>11392.401720000002</v>
      </c>
      <c r="X1595" s="8">
        <f t="shared" si="844"/>
        <v>-608.99999999999818</v>
      </c>
      <c r="Y1595" s="57">
        <f t="shared" si="845"/>
        <v>0.23648444638186578</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28.66</v>
      </c>
      <c r="V1596" s="8">
        <f>IF(ISNA(VLOOKUP(LOWER(F1596)&amp;H1596,Prices!A:C,2,0)),0,VLOOKUP(LOWER(F1596)&amp;H1596,Prices!A:C,2,0))</f>
        <v>28.37</v>
      </c>
      <c r="W1596" s="8">
        <f t="shared" si="843"/>
        <v>11413.406340000007</v>
      </c>
      <c r="X1596" s="8">
        <f t="shared" si="844"/>
        <v>-608.99999999999818</v>
      </c>
      <c r="Y1596" s="57">
        <f t="shared" si="845"/>
        <v>0.23702378543392949</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39.799999999999997</v>
      </c>
      <c r="V1597" s="13">
        <f>IF(ISNA(VLOOKUP(LOWER(F1597)&amp;H1597,Prices!A:C,2,0)),0,VLOOKUP(LOWER(F1597)&amp;H1597,Prices!A:C,2,0))</f>
        <v>41.55</v>
      </c>
      <c r="W1597" s="13">
        <f t="shared" si="843"/>
        <v>27386.521199999999</v>
      </c>
      <c r="X1597" s="13">
        <f t="shared" si="844"/>
        <v>3150</v>
      </c>
      <c r="Y1597" s="43">
        <f t="shared" si="845"/>
        <v>0.57784785415875428</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29.38</v>
      </c>
      <c r="V1598" s="13">
        <f>IF(ISNA(VLOOKUP(LOWER(F1598)&amp;H1598,Prices!A:C,2,0)),0,VLOOKUP(LOWER(F1598)&amp;H1598,Prices!A:C,2,0))</f>
        <v>30.53</v>
      </c>
      <c r="W1598" s="13">
        <f t="shared" si="843"/>
        <v>24733.323840000005</v>
      </c>
      <c r="X1598" s="13">
        <f t="shared" si="844"/>
        <v>2760.000000000005</v>
      </c>
      <c r="Y1598" s="43">
        <f t="shared" si="845"/>
        <v>0.5096711968348171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34.53</v>
      </c>
      <c r="V1599" s="8">
        <f>IF(ISNA(VLOOKUP(LOWER(F1599)&amp;H1599,Prices!A:C,2,0)),0,VLOOKUP(LOWER(F1599)&amp;H1599,Prices!A:C,2,0))</f>
        <v>34.08</v>
      </c>
      <c r="W1599" s="8">
        <f t="shared" si="843"/>
        <v>13885.561439999994</v>
      </c>
      <c r="X1599" s="8">
        <f t="shared" si="844"/>
        <v>-810.00000000000512</v>
      </c>
      <c r="Y1599" s="57">
        <f t="shared" si="845"/>
        <v>0.2926479817905917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41.45</v>
      </c>
      <c r="V1600" s="13">
        <f>IF(ISNA(VLOOKUP(LOWER(F1600)&amp;H1600,Prices!A:C,2,0)),0,VLOOKUP(LOWER(F1600)&amp;H1600,Prices!A:C,2,0))</f>
        <v>41.99</v>
      </c>
      <c r="W1600" s="13">
        <f t="shared" si="843"/>
        <v>-5319.4599999999991</v>
      </c>
      <c r="X1600" s="13">
        <f t="shared" si="844"/>
        <v>539.99999999999909</v>
      </c>
      <c r="Y1600" s="43">
        <f t="shared" si="845"/>
        <v>-0.11246215644820294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29.38</v>
      </c>
      <c r="V1601" s="13">
        <f>IF(ISNA(VLOOKUP(LOWER(F1601)&amp;H1601,Prices!A:C,2,0)),0,VLOOKUP(LOWER(F1601)&amp;H1601,Prices!A:C,2,0))</f>
        <v>30.53</v>
      </c>
      <c r="W1601" s="13">
        <f t="shared" si="843"/>
        <v>24733.323840000005</v>
      </c>
      <c r="X1601" s="13">
        <f t="shared" si="844"/>
        <v>2760.000000000005</v>
      </c>
      <c r="Y1601" s="43">
        <f t="shared" si="845"/>
        <v>0.5096711968348171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34.53</v>
      </c>
      <c r="V1602" s="8">
        <f>IF(ISNA(VLOOKUP(LOWER(F1602)&amp;H1602,Prices!A:C,2,0)),0,VLOOKUP(LOWER(F1602)&amp;H1602,Prices!A:C,2,0))</f>
        <v>34.08</v>
      </c>
      <c r="W1602" s="8">
        <f t="shared" si="843"/>
        <v>13633.505999999998</v>
      </c>
      <c r="X1602" s="8">
        <f t="shared" si="844"/>
        <v>-810.00000000000512</v>
      </c>
      <c r="Y1602" s="57">
        <f t="shared" si="845"/>
        <v>0.28581773584905656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34.53</v>
      </c>
      <c r="V1603" s="8">
        <f>IF(ISNA(VLOOKUP(LOWER(F1603)&amp;H1603,Prices!A:C,2,0)),0,VLOOKUP(LOWER(F1603)&amp;H1603,Prices!A:C,2,0))</f>
        <v>34.08</v>
      </c>
      <c r="W1603" s="8">
        <f t="shared" si="843"/>
        <v>13525.482239999998</v>
      </c>
      <c r="X1603" s="8">
        <f t="shared" si="844"/>
        <v>-810.00000000000512</v>
      </c>
      <c r="Y1603" s="57">
        <f t="shared" si="845"/>
        <v>0.2829125301204819</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29.38</v>
      </c>
      <c r="V1604" s="13">
        <f>IF(ISNA(VLOOKUP(LOWER(F1604)&amp;H1604,Prices!A:C,2,0)),0,VLOOKUP(LOWER(F1604)&amp;H1604,Prices!A:C,2,0))</f>
        <v>30.53</v>
      </c>
      <c r="W1604" s="13">
        <f t="shared" si="843"/>
        <v>24325.234080000006</v>
      </c>
      <c r="X1604" s="13">
        <f t="shared" si="844"/>
        <v>2760.000000000005</v>
      </c>
      <c r="Y1604" s="43">
        <f t="shared" si="845"/>
        <v>0.49708259931338905</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55.5</v>
      </c>
      <c r="V1605" s="13">
        <f>IF(ISNA(VLOOKUP(LOWER(F1605)&amp;H1605,Prices!A:C,2,0)),0,VLOOKUP(LOWER(F1605)&amp;H1605,Prices!A:C,2,0))</f>
        <v>55.89</v>
      </c>
      <c r="W1605" s="13">
        <f t="shared" si="843"/>
        <v>-91857.660399999979</v>
      </c>
      <c r="X1605" s="13">
        <f t="shared" si="844"/>
        <v>-1638.0000000000023</v>
      </c>
      <c r="Y1605" s="43">
        <f t="shared" si="845"/>
        <v>-0.64212776053463061</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41.45</v>
      </c>
      <c r="V1606" s="13">
        <f>IF(ISNA(VLOOKUP(LOWER(F1606)&amp;H1606,Prices!A:C,2,0)),0,VLOOKUP(LOWER(F1606)&amp;H1606,Prices!A:C,2,0))</f>
        <v>41.99</v>
      </c>
      <c r="W1606" s="13">
        <f t="shared" si="843"/>
        <v>-6319.6599999999989</v>
      </c>
      <c r="X1606" s="13">
        <f t="shared" si="844"/>
        <v>539.99999999999909</v>
      </c>
      <c r="Y1606" s="43">
        <f t="shared" si="845"/>
        <v>-0.13084182194616975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41.45</v>
      </c>
      <c r="V1607" s="13">
        <f>IF(ISNA(VLOOKUP(LOWER(F1607)&amp;H1607,Prices!A:C,2,0)),0,VLOOKUP(LOWER(F1607)&amp;H1607,Prices!A:C,2,0))</f>
        <v>41.99</v>
      </c>
      <c r="W1607" s="13">
        <f t="shared" ref="W1607:W1609" si="853">IF(I1607="B",(V1607+T1607)*K1607,(V1607+T1607)*K1607)</f>
        <v>-4017.1995999999981</v>
      </c>
      <c r="X1607" s="13">
        <f t="shared" ref="X1607:X1609" si="854">K1607*(V1607-U1607)</f>
        <v>539.99999999999909</v>
      </c>
      <c r="Y1607" s="43">
        <f t="shared" ref="Y1607:Y1609" si="855">W1607/O1607</f>
        <v>-8.7334223227096788E-2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39.69</v>
      </c>
      <c r="V1608" s="13">
        <f>IF(ISNA(VLOOKUP(LOWER(F1608)&amp;H1608,Prices!A:C,2,0)),0,VLOOKUP(LOWER(F1608)&amp;H1608,Prices!A:C,2,0))</f>
        <v>40.520000000000003</v>
      </c>
      <c r="W1608" s="13">
        <f t="shared" si="853"/>
        <v>-11130.646200000008</v>
      </c>
      <c r="X1608" s="13">
        <f t="shared" si="854"/>
        <v>-1245.0000000000082</v>
      </c>
      <c r="Y1608" s="43">
        <f t="shared" si="855"/>
        <v>-0.22391161134580584</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28.66</v>
      </c>
      <c r="V1609" s="8">
        <f>IF(ISNA(VLOOKUP(LOWER(F1609)&amp;H1609,Prices!A:C,2,0)),0,VLOOKUP(LOWER(F1609)&amp;H1609,Prices!A:C,2,0))</f>
        <v>28.37</v>
      </c>
      <c r="W1609" s="8">
        <f t="shared" si="853"/>
        <v>11249.994400000005</v>
      </c>
      <c r="X1609" s="8">
        <f t="shared" si="854"/>
        <v>-579.99999999999829</v>
      </c>
      <c r="Y1609" s="57">
        <f t="shared" si="855"/>
        <v>0.24736135444151286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41.45</v>
      </c>
      <c r="V1610" s="13">
        <f>IF(ISNA(VLOOKUP(LOWER(F1610)&amp;H1610,Prices!A:C,2,0)),0,VLOOKUP(LOWER(F1610)&amp;H1610,Prices!A:C,2,0))</f>
        <v>41.99</v>
      </c>
      <c r="W1610" s="13">
        <f t="shared" ref="W1610" si="860">IF(I1610="B",(V1610+T1610)*K1610,(V1610+T1610)*K1610)</f>
        <v>20833.399999999991</v>
      </c>
      <c r="X1610" s="13">
        <f t="shared" ref="X1610" si="861">K1610*(V1610-U1610)</f>
        <v>-1889.999999999997</v>
      </c>
      <c r="Y1610" s="43">
        <f t="shared" ref="Y1610" si="862">W1610/O1610</f>
        <v>0.12400833333333328</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27.36</v>
      </c>
      <c r="V1611" s="13">
        <f>IF(ISNA(VLOOKUP(LOWER(F1611)&amp;H1611,Prices!A:C,2,0)),0,VLOOKUP(LOWER(F1611)&amp;H1611,Prices!A:C,2,0))</f>
        <v>25.09</v>
      </c>
      <c r="W1611" s="13">
        <f t="shared" ref="W1611:W1613" si="868">IF(I1611="B",(V1611+T1611)*K1611,(V1611+T1611)*K1611)</f>
        <v>-1606.8387400000024</v>
      </c>
      <c r="X1611" s="13">
        <f t="shared" ref="X1611:X1613" si="869">K1611*(V1611-U1611)</f>
        <v>-4312.9999999999991</v>
      </c>
      <c r="Y1611" s="43">
        <f t="shared" ref="Y1611:Y1613" si="870">W1611/O1611</f>
        <v>-3.2614909371384546E-2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27.36</v>
      </c>
      <c r="V1612" s="13">
        <f>IF(ISNA(VLOOKUP(LOWER(F1612)&amp;H1612,Prices!A:C,2,0)),0,VLOOKUP(LOWER(F1612)&amp;H1612,Prices!A:C,2,0))</f>
        <v>25.09</v>
      </c>
      <c r="W1612" s="13">
        <f t="shared" si="868"/>
        <v>-1701.8596400000049</v>
      </c>
      <c r="X1612" s="13">
        <f t="shared" si="869"/>
        <v>-4312.9999999999991</v>
      </c>
      <c r="Y1612" s="43">
        <f t="shared" si="870"/>
        <v>-3.4477120862201796E-2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27.36</v>
      </c>
      <c r="V1613" s="13">
        <f>IF(ISNA(VLOOKUP(LOWER(F1613)&amp;H1613,Prices!A:C,2,0)),0,VLOOKUP(LOWER(F1613)&amp;H1613,Prices!A:C,2,0))</f>
        <v>25.09</v>
      </c>
      <c r="W1613" s="13">
        <f t="shared" si="868"/>
        <v>-1948.9139799999969</v>
      </c>
      <c r="X1613" s="13">
        <f t="shared" si="869"/>
        <v>-4312.9999999999991</v>
      </c>
      <c r="Y1613" s="43">
        <f t="shared" si="870"/>
        <v>-3.9285492148602004E-2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41.45</v>
      </c>
      <c r="V1614" s="13">
        <f>IF(ISNA(VLOOKUP(LOWER(F1614)&amp;H1614,Prices!A:C,2,0)),0,VLOOKUP(LOWER(F1614)&amp;H1614,Prices!A:C,2,0))</f>
        <v>41.99</v>
      </c>
      <c r="W1614" s="13">
        <f t="shared" ref="W1614:W1621" si="875">IF(I1614="B",(V1614+T1614)*K1614,(V1614+T1614)*K1614)</f>
        <v>-5906.4169999999995</v>
      </c>
      <c r="X1614" s="13">
        <f t="shared" ref="X1614:X1621" si="876">K1614*(V1614-U1614)</f>
        <v>593.99999999999909</v>
      </c>
      <c r="Y1614" s="43">
        <f t="shared" ref="Y1614:Y1621" si="877">W1614/O1614</f>
        <v>-0.11339957761351635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58.24</v>
      </c>
      <c r="V1615" s="8">
        <f>IF(ISNA(VLOOKUP(LOWER(F1615)&amp;H1615,Prices!A:C,2,0)),0,VLOOKUP(LOWER(F1615)&amp;H1615,Prices!A:C,2,0))</f>
        <v>58.82</v>
      </c>
      <c r="W1615" s="8">
        <f t="shared" si="875"/>
        <v>-13602.3922</v>
      </c>
      <c r="X1615" s="8">
        <f t="shared" si="876"/>
        <v>-637.99999999999818</v>
      </c>
      <c r="Y1615" s="57">
        <f t="shared" si="877"/>
        <v>-0.26587424405308729</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58.24</v>
      </c>
      <c r="V1616" s="8">
        <f>IF(ISNA(VLOOKUP(LOWER(F1616)&amp;H1616,Prices!A:C,2,0)),0,VLOOKUP(LOWER(F1616)&amp;H1616,Prices!A:C,2,0))</f>
        <v>58.82</v>
      </c>
      <c r="W1616" s="8">
        <f t="shared" si="875"/>
        <v>6620.0000000000009</v>
      </c>
      <c r="X1616" s="8">
        <f t="shared" si="876"/>
        <v>289.99999999999915</v>
      </c>
      <c r="Y1616" s="57">
        <f t="shared" si="877"/>
        <v>0.29054202326091733</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27.36</v>
      </c>
      <c r="V1617" s="13">
        <f>IF(ISNA(VLOOKUP(LOWER(F1617)&amp;H1617,Prices!A:C,2,0)),0,VLOOKUP(LOWER(F1617)&amp;H1617,Prices!A:C,2,0))</f>
        <v>25.09</v>
      </c>
      <c r="W1617" s="13">
        <f t="shared" si="875"/>
        <v>-200.52942000000195</v>
      </c>
      <c r="X1617" s="13">
        <f t="shared" si="876"/>
        <v>-4312.9999999999991</v>
      </c>
      <c r="Y1617" s="43">
        <f t="shared" si="877"/>
        <v>-4.1898292973402548E-3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28.66</v>
      </c>
      <c r="V1618" s="8">
        <f>IF(ISNA(VLOOKUP(LOWER(F1618)&amp;H1618,Prices!A:C,2,0)),0,VLOOKUP(LOWER(F1618)&amp;H1618,Prices!A:C,2,0))</f>
        <v>28.37</v>
      </c>
      <c r="W1618" s="8">
        <f t="shared" si="875"/>
        <v>-14814.328840000002</v>
      </c>
      <c r="X1618" s="8">
        <f t="shared" si="876"/>
        <v>898.99999999999739</v>
      </c>
      <c r="Y1618" s="57">
        <f t="shared" si="877"/>
        <v>-0.20232073475185056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27.36</v>
      </c>
      <c r="V1619" s="13">
        <f>IF(ISNA(VLOOKUP(LOWER(F1619)&amp;H1619,Prices!A:C,2,0)),0,VLOOKUP(LOWER(F1619)&amp;H1619,Prices!A:C,2,0))</f>
        <v>25.09</v>
      </c>
      <c r="W1619" s="13">
        <f t="shared" si="875"/>
        <v>-78.639599999998211</v>
      </c>
      <c r="X1619" s="13">
        <f t="shared" si="876"/>
        <v>-2723.9999999999995</v>
      </c>
      <c r="Y1619" s="43">
        <f t="shared" si="877"/>
        <v>-2.6056858846917898E-3</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27.36</v>
      </c>
      <c r="V1620" s="13">
        <f>IF(ISNA(VLOOKUP(LOWER(F1620)&amp;H1620,Prices!A:C,2,0)),0,VLOOKUP(LOWER(F1620)&amp;H1620,Prices!A:C,2,0))</f>
        <v>25.09</v>
      </c>
      <c r="W1620" s="13">
        <f t="shared" si="875"/>
        <v>-371.56703999999581</v>
      </c>
      <c r="X1620" s="13">
        <f t="shared" si="876"/>
        <v>-4312.9999999999991</v>
      </c>
      <c r="Y1620" s="43">
        <f t="shared" si="877"/>
        <v>-7.7358227848100397E-3</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29.38</v>
      </c>
      <c r="V1621" s="13">
        <f>IF(ISNA(VLOOKUP(LOWER(F1621)&amp;H1621,Prices!A:C,2,0)),0,VLOOKUP(LOWER(F1621)&amp;H1621,Prices!A:C,2,0))</f>
        <v>30.53</v>
      </c>
      <c r="W1621" s="13">
        <f t="shared" si="875"/>
        <v>-33177.721279999998</v>
      </c>
      <c r="X1621" s="13">
        <f t="shared" si="876"/>
        <v>-4140.0000000000073</v>
      </c>
      <c r="Y1621" s="43">
        <f t="shared" si="877"/>
        <v>-0.43186662084765176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27.36</v>
      </c>
      <c r="V1622" s="13">
        <f>IF(ISNA(VLOOKUP(LOWER(F1622)&amp;H1622,Prices!A:C,2,0)),0,VLOOKUP(LOWER(F1622)&amp;H1622,Prices!A:C,2,0))</f>
        <v>25.09</v>
      </c>
      <c r="W1622" s="13">
        <f t="shared" ref="W1622" si="882">IF(I1622="B",(V1622+T1622)*K1622,(V1622+T1622)*K1622)</f>
        <v>-149.4545000000013</v>
      </c>
      <c r="X1622" s="13">
        <f t="shared" ref="X1622" si="883">K1622*(V1622-U1622)</f>
        <v>-2042.9999999999995</v>
      </c>
      <c r="Y1622" s="43">
        <f t="shared" ref="Y1622" si="884">W1622/O1622</f>
        <v>-6.5766556655666138E-3</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55.5</v>
      </c>
      <c r="V1623" s="13">
        <f>IF(ISNA(VLOOKUP(LOWER(F1623)&amp;H1623,Prices!A:C,2,0)),0,VLOOKUP(LOWER(F1623)&amp;H1623,Prices!A:C,2,0))</f>
        <v>55.89</v>
      </c>
      <c r="W1623" s="13">
        <f t="shared" ref="W1623:W1637" si="889">IF(I1623="B",(V1623+T1623)*K1623,(V1623+T1623)*K1623)</f>
        <v>-79904.02</v>
      </c>
      <c r="X1623" s="13">
        <f t="shared" ref="X1623:X1637" si="890">K1623*(V1623-U1623)</f>
        <v>-1365.000000000002</v>
      </c>
      <c r="Y1623" s="43">
        <f t="shared" ref="Y1623:Y1637" si="891">W1623/O1623</f>
        <v>-0.68971963746223564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66.38</v>
      </c>
      <c r="V1624" s="13">
        <f>IF(ISNA(VLOOKUP(LOWER(F1624)&amp;H1624,Prices!A:C,2,0)),0,VLOOKUP(LOWER(F1624)&amp;H1624,Prices!A:C,2,0))</f>
        <v>65.8</v>
      </c>
      <c r="W1624" s="13">
        <f t="shared" si="889"/>
        <v>-17158.439999999991</v>
      </c>
      <c r="X1624" s="13">
        <f t="shared" si="890"/>
        <v>579.99999999999829</v>
      </c>
      <c r="Y1624" s="43">
        <f t="shared" si="891"/>
        <v>-0.35232936344969179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58.24</v>
      </c>
      <c r="V1625" s="8">
        <f>IF(ISNA(VLOOKUP(LOWER(F1625)&amp;H1625,Prices!A:C,2,0)),0,VLOOKUP(LOWER(F1625)&amp;H1625,Prices!A:C,2,0))</f>
        <v>58.82</v>
      </c>
      <c r="W1625" s="8">
        <f t="shared" si="889"/>
        <v>12360.709999999997</v>
      </c>
      <c r="X1625" s="8">
        <f t="shared" si="890"/>
        <v>579.99999999999829</v>
      </c>
      <c r="Y1625" s="57">
        <f t="shared" si="891"/>
        <v>0.26610785791173297</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58.24</v>
      </c>
      <c r="V1626" s="8">
        <f>IF(ISNA(VLOOKUP(LOWER(F1626)&amp;H1626,Prices!A:C,2,0)),0,VLOOKUP(LOWER(F1626)&amp;H1626,Prices!A:C,2,0))</f>
        <v>58.82</v>
      </c>
      <c r="W1626" s="8">
        <f t="shared" si="889"/>
        <v>12390.715999999997</v>
      </c>
      <c r="X1626" s="8">
        <f t="shared" si="890"/>
        <v>579.99999999999829</v>
      </c>
      <c r="Y1626" s="57">
        <f t="shared" si="891"/>
        <v>0.26692623869021964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58.24</v>
      </c>
      <c r="V1627" s="8">
        <f>IF(ISNA(VLOOKUP(LOWER(F1627)&amp;H1627,Prices!A:C,2,0)),0,VLOOKUP(LOWER(F1627)&amp;H1627,Prices!A:C,2,0))</f>
        <v>58.82</v>
      </c>
      <c r="W1627" s="8">
        <f t="shared" si="889"/>
        <v>12360.709999999997</v>
      </c>
      <c r="X1627" s="8">
        <f t="shared" si="890"/>
        <v>579.99999999999829</v>
      </c>
      <c r="Y1627" s="57">
        <f t="shared" si="891"/>
        <v>0.26610785791173297</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58.24</v>
      </c>
      <c r="V1628" s="8">
        <f>IF(ISNA(VLOOKUP(LOWER(F1628)&amp;H1628,Prices!A:C,2,0)),0,VLOOKUP(LOWER(F1628)&amp;H1628,Prices!A:C,2,0))</f>
        <v>58.82</v>
      </c>
      <c r="W1628" s="8">
        <f t="shared" si="889"/>
        <v>12380.713999999998</v>
      </c>
      <c r="X1628" s="8">
        <f t="shared" si="890"/>
        <v>579.99999999999829</v>
      </c>
      <c r="Y1628" s="57">
        <f t="shared" si="891"/>
        <v>0.26665332758992027</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41.45</v>
      </c>
      <c r="V1629" s="13">
        <f>IF(ISNA(VLOOKUP(LOWER(F1629)&amp;H1629,Prices!A:C,2,0)),0,VLOOKUP(LOWER(F1629)&amp;H1629,Prices!A:C,2,0))</f>
        <v>41.99</v>
      </c>
      <c r="W1629" s="13">
        <f t="shared" si="889"/>
        <v>31883.628400000012</v>
      </c>
      <c r="X1629" s="13">
        <f t="shared" si="890"/>
        <v>-2483.9999999999959</v>
      </c>
      <c r="Y1629" s="43">
        <f t="shared" si="891"/>
        <v>0.14151130186233959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39.799999999999997</v>
      </c>
      <c r="V1630" s="13">
        <f>IF(ISNA(VLOOKUP(LOWER(F1630)&amp;H1630,Prices!A:C,2,0)),0,VLOOKUP(LOWER(F1630)&amp;H1630,Prices!A:C,2,0))</f>
        <v>41.55</v>
      </c>
      <c r="W1630" s="13">
        <f t="shared" si="889"/>
        <v>25622.168399999995</v>
      </c>
      <c r="X1630" s="13">
        <f t="shared" si="890"/>
        <v>3150</v>
      </c>
      <c r="Y1630" s="43">
        <f t="shared" si="891"/>
        <v>0.52122072500915406</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29.38</v>
      </c>
      <c r="V1631" s="13">
        <f>IF(ISNA(VLOOKUP(LOWER(F1631)&amp;H1631,Prices!A:C,2,0)),0,VLOOKUP(LOWER(F1631)&amp;H1631,Prices!A:C,2,0))</f>
        <v>30.53</v>
      </c>
      <c r="W1631" s="13">
        <f t="shared" si="889"/>
        <v>-13730.350279999999</v>
      </c>
      <c r="X1631" s="13">
        <f t="shared" si="890"/>
        <v>-2070.0000000000036</v>
      </c>
      <c r="Y1631" s="43">
        <f t="shared" si="891"/>
        <v>-0.33266342685467848</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55.5</v>
      </c>
      <c r="V1632" s="13">
        <f>IF(ISNA(VLOOKUP(LOWER(F1632)&amp;H1632,Prices!A:C,2,0)),0,VLOOKUP(LOWER(F1632)&amp;H1632,Prices!A:C,2,0))</f>
        <v>55.89</v>
      </c>
      <c r="W1632" s="13">
        <f t="shared" si="889"/>
        <v>35360.307000000001</v>
      </c>
      <c r="X1632" s="13">
        <f t="shared" si="890"/>
        <v>585.00000000000091</v>
      </c>
      <c r="Y1632" s="43">
        <f t="shared" si="891"/>
        <v>0.7296050139275766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34.53</v>
      </c>
      <c r="V1633" s="8">
        <f>IF(ISNA(VLOOKUP(LOWER(F1633)&amp;H1633,Prices!A:C,2,0)),0,VLOOKUP(LOWER(F1633)&amp;H1633,Prices!A:C,2,0))</f>
        <v>34.08</v>
      </c>
      <c r="W1633" s="8">
        <f t="shared" si="889"/>
        <v>-14809.306219999993</v>
      </c>
      <c r="X1633" s="8">
        <f t="shared" si="890"/>
        <v>1215.0000000000077</v>
      </c>
      <c r="Y1633" s="57">
        <f t="shared" si="891"/>
        <v>-0.19157974955045851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27.36</v>
      </c>
      <c r="V1634" s="13">
        <f>IF(ISNA(VLOOKUP(LOWER(F1634)&amp;H1634,Prices!A:C,2,0)),0,VLOOKUP(LOWER(F1634)&amp;H1634,Prices!A:C,2,0))</f>
        <v>25.09</v>
      </c>
      <c r="W1634" s="13">
        <f t="shared" si="889"/>
        <v>168.99999999999693</v>
      </c>
      <c r="X1634" s="13">
        <f t="shared" si="890"/>
        <v>-4539.9999999999991</v>
      </c>
      <c r="Y1634" s="43">
        <f t="shared" si="891"/>
        <v>3.3799999999999386E-3</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58.24</v>
      </c>
      <c r="V1635" s="8">
        <f>IF(ISNA(VLOOKUP(LOWER(F1635)&amp;H1635,Prices!A:C,2,0)),0,VLOOKUP(LOWER(F1635)&amp;H1635,Prices!A:C,2,0))</f>
        <v>58.82</v>
      </c>
      <c r="W1635" s="8">
        <f t="shared" si="889"/>
        <v>12440.726000000004</v>
      </c>
      <c r="X1635" s="8">
        <f t="shared" si="890"/>
        <v>579.99999999999829</v>
      </c>
      <c r="Y1635" s="57">
        <f t="shared" si="891"/>
        <v>0.26829255984472727</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27.36</v>
      </c>
      <c r="V1636" s="13">
        <f>IF(ISNA(VLOOKUP(LOWER(F1636)&amp;H1636,Prices!A:C,2,0)),0,VLOOKUP(LOWER(F1636)&amp;H1636,Prices!A:C,2,0))</f>
        <v>25.09</v>
      </c>
      <c r="W1636" s="13">
        <f t="shared" si="889"/>
        <v>61.728264000001687</v>
      </c>
      <c r="X1636" s="13">
        <f t="shared" si="890"/>
        <v>-4312.9999999999991</v>
      </c>
      <c r="Y1636" s="43">
        <f t="shared" si="891"/>
        <v>1.2968449624780813E-3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27.36</v>
      </c>
      <c r="V1637" s="13">
        <f>IF(ISNA(VLOOKUP(LOWER(F1637)&amp;H1637,Prices!A:C,2,0)),0,VLOOKUP(LOWER(F1637)&amp;H1637,Prices!A:C,2,0))</f>
        <v>25.09</v>
      </c>
      <c r="W1637" s="13">
        <f t="shared" si="889"/>
        <v>8.5165599999942998</v>
      </c>
      <c r="X1637" s="13">
        <f t="shared" si="890"/>
        <v>-4312.9999999999991</v>
      </c>
      <c r="Y1637" s="43">
        <f t="shared" si="891"/>
        <v>1.7872408293448963E-4</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690.25</v>
      </c>
      <c r="V1638" s="13">
        <f>IF(ISNA(VLOOKUP(LOWER(F1638)&amp;H1638,Prices!A:C,2,0)),0,VLOOKUP(LOWER(F1638)&amp;H1638,Prices!A:C,2,0))</f>
        <v>679.15</v>
      </c>
      <c r="W1638" s="13">
        <f t="shared" ref="W1638:W1642" si="896">IF(I1638="B",(V1638+T1638)*K1638,(V1638+T1638)*K1638)</f>
        <v>47214.508879999994</v>
      </c>
      <c r="X1638" s="13">
        <f t="shared" ref="X1638:X1642" si="897">K1638*(V1638-U1638)</f>
        <v>-2220.0000000000045</v>
      </c>
      <c r="Y1638" s="43">
        <f t="shared" ref="Y1638:Y1642" si="898">W1638/O1638</f>
        <v>0.53291919364305385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55.5</v>
      </c>
      <c r="V1639" s="13">
        <f>IF(ISNA(VLOOKUP(LOWER(F1639)&amp;H1639,Prices!A:C,2,0)),0,VLOOKUP(LOWER(F1639)&amp;H1639,Prices!A:C,2,0))</f>
        <v>55.89</v>
      </c>
      <c r="W1639" s="13">
        <f t="shared" si="896"/>
        <v>-49474.856</v>
      </c>
      <c r="X1639" s="13">
        <f t="shared" si="897"/>
        <v>-780.00000000000114</v>
      </c>
      <c r="Y1639" s="43">
        <f t="shared" si="898"/>
        <v>-0.79312048733568452</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58.24</v>
      </c>
      <c r="V1640" s="8">
        <f>IF(ISNA(VLOOKUP(LOWER(F1640)&amp;H1640,Prices!A:C,2,0)),0,VLOOKUP(LOWER(F1640)&amp;H1640,Prices!A:C,2,0))</f>
        <v>58.82</v>
      </c>
      <c r="W1640" s="8">
        <f t="shared" si="896"/>
        <v>15552.996000000001</v>
      </c>
      <c r="X1640" s="8">
        <f t="shared" si="897"/>
        <v>695.99999999999795</v>
      </c>
      <c r="Y1640" s="57">
        <f t="shared" si="898"/>
        <v>0.28267895310796076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34.53</v>
      </c>
      <c r="V1641" s="8">
        <f>IF(ISNA(VLOOKUP(LOWER(F1641)&amp;H1641,Prices!A:C,2,0)),0,VLOOKUP(LOWER(F1641)&amp;H1641,Prices!A:C,2,0))</f>
        <v>34.08</v>
      </c>
      <c r="W1641" s="8">
        <f t="shared" si="896"/>
        <v>12007.649199999996</v>
      </c>
      <c r="X1641" s="8">
        <f t="shared" si="897"/>
        <v>-900.00000000000568</v>
      </c>
      <c r="Y1641" s="57">
        <f t="shared" si="898"/>
        <v>0.21388758817242601</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33.22</v>
      </c>
      <c r="V1642" s="13">
        <f>IF(ISNA(VLOOKUP(LOWER(F1642)&amp;H1642,Prices!A:C,2,0)),0,VLOOKUP(LOWER(F1642)&amp;H1642,Prices!A:C,2,0))</f>
        <v>33.1</v>
      </c>
      <c r="W1642" s="13">
        <f t="shared" si="896"/>
        <v>-12266.741600000003</v>
      </c>
      <c r="X1642" s="13">
        <f t="shared" si="897"/>
        <v>479.99999999998977</v>
      </c>
      <c r="Y1642" s="43">
        <f t="shared" si="898"/>
        <v>-0.10198488194213505</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27.36</v>
      </c>
      <c r="V1643" s="13">
        <f>IF(ISNA(VLOOKUP(LOWER(F1643)&amp;H1643,Prices!A:C,2,0)),0,VLOOKUP(LOWER(F1643)&amp;H1643,Prices!A:C,2,0))</f>
        <v>25.09</v>
      </c>
      <c r="W1643" s="13">
        <f t="shared" ref="W1643" si="903">IF(I1643="B",(V1643+T1643)*K1643,(V1643+T1643)*K1643)</f>
        <v>-329.30755999999946</v>
      </c>
      <c r="X1643" s="13">
        <f t="shared" ref="X1643" si="904">K1643*(V1643-U1643)</f>
        <v>-1361.9999999999998</v>
      </c>
      <c r="Y1643" s="43">
        <f t="shared" ref="Y1643" si="905">W1643/O1643</f>
        <v>-2.1414199505787452E-2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45.95</v>
      </c>
      <c r="V1644" s="13">
        <f>IF(ISNA(VLOOKUP(LOWER(F1644)&amp;H1644,Prices!A:C,2,0)),0,VLOOKUP(LOWER(F1644)&amp;H1644,Prices!A:C,2,0))</f>
        <v>45.82</v>
      </c>
      <c r="W1644" s="13">
        <f t="shared" ref="W1644:W1648" si="910">IF(I1644="B",(V1644+T1644)*K1644,(V1644+T1644)*K1644)</f>
        <v>17238.620000000006</v>
      </c>
      <c r="X1644" s="13">
        <f t="shared" ref="X1644:X1648" si="911">K1644*(V1644-U1644)</f>
        <v>-182.00000000000358</v>
      </c>
      <c r="Y1644" s="43">
        <f t="shared" ref="Y1644:Y1648" si="912">W1644/O1644</f>
        <v>0.36756119402985088</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29.38</v>
      </c>
      <c r="V1645" s="13">
        <f>IF(ISNA(VLOOKUP(LOWER(F1645)&amp;H1645,Prices!A:C,2,0)),0,VLOOKUP(LOWER(F1645)&amp;H1645,Prices!A:C,2,0))</f>
        <v>30.53</v>
      </c>
      <c r="W1645" s="13">
        <f t="shared" si="910"/>
        <v>18447.284240000005</v>
      </c>
      <c r="X1645" s="13">
        <f t="shared" si="911"/>
        <v>2530.0000000000045</v>
      </c>
      <c r="Y1645" s="43">
        <f t="shared" si="912"/>
        <v>0.37873212285456198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45.95</v>
      </c>
      <c r="V1646" s="13">
        <f>IF(ISNA(VLOOKUP(LOWER(F1646)&amp;H1646,Prices!A:C,2,0)),0,VLOOKUP(LOWER(F1646)&amp;H1646,Prices!A:C,2,0))</f>
        <v>45.82</v>
      </c>
      <c r="W1646" s="13">
        <f t="shared" si="910"/>
        <v>17238.620000000006</v>
      </c>
      <c r="X1646" s="13">
        <f t="shared" si="911"/>
        <v>-182.00000000000358</v>
      </c>
      <c r="Y1646" s="43">
        <f t="shared" si="912"/>
        <v>0.36756119402985088</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29.38</v>
      </c>
      <c r="V1647" s="13">
        <f>IF(ISNA(VLOOKUP(LOWER(F1647)&amp;H1647,Prices!A:C,2,0)),0,VLOOKUP(LOWER(F1647)&amp;H1647,Prices!A:C,2,0))</f>
        <v>30.53</v>
      </c>
      <c r="W1647" s="13">
        <f t="shared" si="910"/>
        <v>18447.284240000005</v>
      </c>
      <c r="X1647" s="13">
        <f t="shared" si="911"/>
        <v>2530.0000000000045</v>
      </c>
      <c r="Y1647" s="43">
        <f t="shared" si="912"/>
        <v>0.37873212285456198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27.36</v>
      </c>
      <c r="V1648" s="13">
        <f>IF(ISNA(VLOOKUP(LOWER(F1648)&amp;H1648,Prices!A:C,2,0)),0,VLOOKUP(LOWER(F1648)&amp;H1648,Prices!A:C,2,0))</f>
        <v>25.09</v>
      </c>
      <c r="W1648" s="13">
        <f t="shared" si="910"/>
        <v>9702.3240000000078</v>
      </c>
      <c r="X1648" s="13">
        <f t="shared" si="911"/>
        <v>20429.999999999996</v>
      </c>
      <c r="Y1648" s="43">
        <f t="shared" si="912"/>
        <v>4.1146412213740491E-2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33.22</v>
      </c>
      <c r="V1649" s="13">
        <f>IF(ISNA(VLOOKUP(LOWER(F1649)&amp;H1649,Prices!A:C,2,0)),0,VLOOKUP(LOWER(F1649)&amp;H1649,Prices!A:C,2,0))</f>
        <v>33.1</v>
      </c>
      <c r="W1649" s="13">
        <f t="shared" ref="W1649:W1652" si="917">IF(I1649="B",(V1649+T1649)*K1649,(V1649+T1649)*K1649)</f>
        <v>6517.0567600000049</v>
      </c>
      <c r="X1649" s="13">
        <f t="shared" ref="X1649:X1652" si="918">K1649*(V1649-U1649)</f>
        <v>-203.99999999999565</v>
      </c>
      <c r="Y1649" s="43">
        <f t="shared" ref="Y1649:Y1652" si="919">W1649/O1649</f>
        <v>0.1310171838687629</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55.5</v>
      </c>
      <c r="V1650" s="13">
        <f>IF(ISNA(VLOOKUP(LOWER(F1650)&amp;H1650,Prices!A:C,2,0)),0,VLOOKUP(LOWER(F1650)&amp;H1650,Prices!A:C,2,0))</f>
        <v>55.89</v>
      </c>
      <c r="W1650" s="13">
        <f t="shared" si="917"/>
        <v>-35083.572</v>
      </c>
      <c r="X1650" s="13">
        <f t="shared" si="918"/>
        <v>-585.00000000000091</v>
      </c>
      <c r="Y1650" s="43">
        <f t="shared" si="919"/>
        <v>-0.71877836508912107</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58.24</v>
      </c>
      <c r="V1651" s="8">
        <f>IF(ISNA(VLOOKUP(LOWER(F1651)&amp;H1651,Prices!A:C,2,0)),0,VLOOKUP(LOWER(F1651)&amp;H1651,Prices!A:C,2,0))</f>
        <v>58.82</v>
      </c>
      <c r="W1651" s="8">
        <f t="shared" si="917"/>
        <v>-23533.063999999995</v>
      </c>
      <c r="X1651" s="8">
        <f t="shared" si="918"/>
        <v>-1159.9999999999966</v>
      </c>
      <c r="Y1651" s="57">
        <f t="shared" si="919"/>
        <v>-0.2497671831882827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12.86</v>
      </c>
      <c r="V1652" s="13">
        <f>IF(ISNA(VLOOKUP(LOWER(F1652)&amp;H1652,Prices!A:C,2,0)),0,VLOOKUP(LOWER(F1652)&amp;H1652,Prices!A:C,2,0))</f>
        <v>12.74</v>
      </c>
      <c r="W1652" s="13">
        <f t="shared" si="917"/>
        <v>2346.7888000000057</v>
      </c>
      <c r="X1652" s="13">
        <f t="shared" si="918"/>
        <v>-455.99999999999704</v>
      </c>
      <c r="Y1652" s="43">
        <f t="shared" si="919"/>
        <v>5.0955115511551283E-2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34.53</v>
      </c>
      <c r="V1653" s="8">
        <f>IF(ISNA(VLOOKUP(LOWER(F1653)&amp;H1653,Prices!A:C,2,0)),0,VLOOKUP(LOWER(F1653)&amp;H1653,Prices!A:C,2,0))</f>
        <v>34.08</v>
      </c>
      <c r="W1653" s="8">
        <f t="shared" ref="W1653:W1662" si="924">IF(I1653="B",(V1653+T1653)*K1653,(V1653+T1653)*K1653)</f>
        <v>-30661.198059999984</v>
      </c>
      <c r="X1653" s="8">
        <f t="shared" ref="X1653:X1662" si="925">K1653*(V1653-U1653)</f>
        <v>2115.0000000000132</v>
      </c>
      <c r="Y1653" s="57">
        <f t="shared" ref="Y1653:Y1662" si="926">W1653/O1653</f>
        <v>-0.23645013271845322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28.66</v>
      </c>
      <c r="V1654" s="8">
        <f>IF(ISNA(VLOOKUP(LOWER(F1654)&amp;H1654,Prices!A:C,2,0)),0,VLOOKUP(LOWER(F1654)&amp;H1654,Prices!A:C,2,0))</f>
        <v>28.37</v>
      </c>
      <c r="W1654" s="8">
        <f t="shared" si="924"/>
        <v>-3560.3368000000019</v>
      </c>
      <c r="X1654" s="8">
        <f t="shared" si="925"/>
        <v>289.99999999999915</v>
      </c>
      <c r="Y1654" s="57">
        <f t="shared" si="926"/>
        <v>-0.14333078904991955</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58.24</v>
      </c>
      <c r="V1655" s="8">
        <f>IF(ISNA(VLOOKUP(LOWER(F1655)&amp;H1655,Prices!A:C,2,0)),0,VLOOKUP(LOWER(F1655)&amp;H1655,Prices!A:C,2,0))</f>
        <v>58.82</v>
      </c>
      <c r="W1655" s="8">
        <f t="shared" si="924"/>
        <v>-26419.799400000004</v>
      </c>
      <c r="X1655" s="8">
        <f t="shared" si="925"/>
        <v>-1333.9999999999961</v>
      </c>
      <c r="Y1655" s="57">
        <f t="shared" si="926"/>
        <v>-0.24239015202253275</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690.25</v>
      </c>
      <c r="V1656" s="13">
        <f>IF(ISNA(VLOOKUP(LOWER(F1656)&amp;H1656,Prices!A:C,2,0)),0,VLOOKUP(LOWER(F1656)&amp;H1656,Prices!A:C,2,0))</f>
        <v>679.15</v>
      </c>
      <c r="W1656" s="13">
        <f t="shared" si="924"/>
        <v>-46177.507639999989</v>
      </c>
      <c r="X1656" s="13">
        <f t="shared" si="925"/>
        <v>2220.0000000000045</v>
      </c>
      <c r="Y1656" s="43">
        <f t="shared" si="926"/>
        <v>-0.51444383636728219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34.53</v>
      </c>
      <c r="V1657" s="8">
        <f>IF(ISNA(VLOOKUP(LOWER(F1657)&amp;H1657,Prices!A:C,2,0)),0,VLOOKUP(LOWER(F1657)&amp;H1657,Prices!A:C,2,0))</f>
        <v>34.08</v>
      </c>
      <c r="W1657" s="8">
        <f t="shared" si="924"/>
        <v>12589.276319999995</v>
      </c>
      <c r="X1657" s="8">
        <f t="shared" si="925"/>
        <v>-810.00000000000512</v>
      </c>
      <c r="Y1657" s="57">
        <f t="shared" si="926"/>
        <v>0.25827335302806492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34.53</v>
      </c>
      <c r="V1658" s="8">
        <f>IF(ISNA(VLOOKUP(LOWER(F1658)&amp;H1658,Prices!A:C,2,0)),0,VLOOKUP(LOWER(F1658)&amp;H1658,Prices!A:C,2,0))</f>
        <v>34.08</v>
      </c>
      <c r="W1658" s="8">
        <f t="shared" si="924"/>
        <v>5586.5665599999975</v>
      </c>
      <c r="X1658" s="8">
        <f t="shared" si="925"/>
        <v>-360.00000000000227</v>
      </c>
      <c r="Y1658" s="57">
        <f t="shared" si="926"/>
        <v>0.25777808047249895</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34.53</v>
      </c>
      <c r="V1659" s="8">
        <f>IF(ISNA(VLOOKUP(LOWER(F1659)&amp;H1659,Prices!A:C,2,0)),0,VLOOKUP(LOWER(F1659)&amp;H1659,Prices!A:C,2,0))</f>
        <v>34.08</v>
      </c>
      <c r="W1659" s="8">
        <f t="shared" si="924"/>
        <v>12607.280279999994</v>
      </c>
      <c r="X1659" s="8">
        <f t="shared" si="925"/>
        <v>-810.00000000000512</v>
      </c>
      <c r="Y1659" s="57">
        <f t="shared" si="926"/>
        <v>0.2587382563723678</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27.36</v>
      </c>
      <c r="V1660" s="13">
        <f>IF(ISNA(VLOOKUP(LOWER(F1660)&amp;H1660,Prices!A:C,2,0)),0,VLOOKUP(LOWER(F1660)&amp;H1660,Prices!A:C,2,0))</f>
        <v>25.09</v>
      </c>
      <c r="W1660" s="13">
        <f t="shared" si="924"/>
        <v>7502.9178999999949</v>
      </c>
      <c r="X1660" s="13">
        <f t="shared" si="925"/>
        <v>10214.999999999998</v>
      </c>
      <c r="Y1660" s="43">
        <f t="shared" si="926"/>
        <v>6.2236472149641203E-2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29.38</v>
      </c>
      <c r="V1661" s="13">
        <f>IF(ISNA(VLOOKUP(LOWER(F1661)&amp;H1661,Prices!A:C,2,0)),0,VLOOKUP(LOWER(F1661)&amp;H1661,Prices!A:C,2,0))</f>
        <v>30.53</v>
      </c>
      <c r="W1661" s="13">
        <f t="shared" si="924"/>
        <v>17590.4388</v>
      </c>
      <c r="X1661" s="13">
        <f t="shared" si="925"/>
        <v>2300.0000000000041</v>
      </c>
      <c r="Y1661" s="43">
        <f t="shared" si="926"/>
        <v>0.40475008743672342</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29.38</v>
      </c>
      <c r="V1662" s="13">
        <f>IF(ISNA(VLOOKUP(LOWER(F1662)&amp;H1662,Prices!A:C,2,0)),0,VLOOKUP(LOWER(F1662)&amp;H1662,Prices!A:C,2,0))</f>
        <v>30.53</v>
      </c>
      <c r="W1662" s="13">
        <f t="shared" si="924"/>
        <v>20252.009680000006</v>
      </c>
      <c r="X1662" s="13">
        <f t="shared" si="925"/>
        <v>2645.000000000005</v>
      </c>
      <c r="Y1662" s="43">
        <f t="shared" si="926"/>
        <v>0.40539694290976069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33.22</v>
      </c>
      <c r="V1663" s="13">
        <f>IF(ISNA(VLOOKUP(LOWER(F1663)&amp;H1663,Prices!A:C,2,0)),0,VLOOKUP(LOWER(F1663)&amp;H1663,Prices!A:C,2,0))</f>
        <v>33.1</v>
      </c>
      <c r="W1663" s="13">
        <f t="shared" ref="W1663:W1667" si="931">IF(I1663="B",(V1663+T1663)*K1663,(V1663+T1663)*K1663)</f>
        <v>5479.828620000003</v>
      </c>
      <c r="X1663" s="13">
        <f t="shared" ref="X1663:X1667" si="932">K1663*(V1663-U1663)</f>
        <v>-203.99999999999565</v>
      </c>
      <c r="Y1663" s="43">
        <f t="shared" ref="Y1663:Y1667" si="933">W1663/O1663</f>
        <v>0.10791525276196859</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33.22</v>
      </c>
      <c r="V1664" s="13">
        <f>IF(ISNA(VLOOKUP(LOWER(F1664)&amp;H1664,Prices!A:C,2,0)),0,VLOOKUP(LOWER(F1664)&amp;H1664,Prices!A:C,2,0))</f>
        <v>33.1</v>
      </c>
      <c r="W1664" s="13">
        <f t="shared" si="931"/>
        <v>6406.848400000008</v>
      </c>
      <c r="X1664" s="13">
        <f t="shared" si="932"/>
        <v>-239.99999999999488</v>
      </c>
      <c r="Y1664" s="43">
        <f t="shared" si="933"/>
        <v>0.10717377718300448</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28.66</v>
      </c>
      <c r="V1665" s="8">
        <f>IF(ISNA(VLOOKUP(LOWER(F1665)&amp;H1665,Prices!A:C,2,0)),0,VLOOKUP(LOWER(F1665)&amp;H1665,Prices!A:C,2,0))</f>
        <v>28.37</v>
      </c>
      <c r="W1665" s="8">
        <f t="shared" si="931"/>
        <v>8506.8950400000085</v>
      </c>
      <c r="X1665" s="8">
        <f t="shared" si="932"/>
        <v>-695.99999999999795</v>
      </c>
      <c r="Y1665" s="57">
        <f t="shared" si="933"/>
        <v>0.14280981466559239</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58.24</v>
      </c>
      <c r="V1666" s="8">
        <f>IF(ISNA(VLOOKUP(LOWER(F1666)&amp;H1666,Prices!A:C,2,0)),0,VLOOKUP(LOWER(F1666)&amp;H1666,Prices!A:C,2,0))</f>
        <v>58.82</v>
      </c>
      <c r="W1666" s="8">
        <f t="shared" si="931"/>
        <v>-8638.1527999999944</v>
      </c>
      <c r="X1666" s="8">
        <f t="shared" si="932"/>
        <v>-463.99999999999864</v>
      </c>
      <c r="Y1666" s="57">
        <f t="shared" si="933"/>
        <v>-0.2245775998336105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29.38</v>
      </c>
      <c r="V1667" s="13">
        <f>IF(ISNA(VLOOKUP(LOWER(F1667)&amp;H1667,Prices!A:C,2,0)),0,VLOOKUP(LOWER(F1667)&amp;H1667,Prices!A:C,2,0))</f>
        <v>30.53</v>
      </c>
      <c r="W1667" s="13">
        <f t="shared" si="931"/>
        <v>-28166.1227</v>
      </c>
      <c r="X1667" s="13">
        <f t="shared" si="932"/>
        <v>-4025.0000000000073</v>
      </c>
      <c r="Y1667" s="43">
        <f t="shared" si="933"/>
        <v>-0.35750615853271561</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33.22</v>
      </c>
      <c r="V1668" s="13">
        <f>IF(ISNA(VLOOKUP(LOWER(F1668)&amp;H1668,Prices!A:C,2,0)),0,VLOOKUP(LOWER(F1668)&amp;H1668,Prices!A:C,2,0))</f>
        <v>33.1</v>
      </c>
      <c r="W1668" s="13">
        <f t="shared" ref="W1668:W1672" si="941">IF(I1668="B",(V1668+T1668)*K1668,(V1668+T1668)*K1668)</f>
        <v>-10798.838560000009</v>
      </c>
      <c r="X1668" s="13">
        <f t="shared" ref="X1668:X1672" si="942">K1668*(V1668-U1668)</f>
        <v>563.99999999998795</v>
      </c>
      <c r="Y1668" s="43">
        <f t="shared" ref="Y1668:Y1672" si="943">W1668/O1668</f>
        <v>-7.4501466456936338E-2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45.95</v>
      </c>
      <c r="V1669" s="13">
        <f>IF(ISNA(VLOOKUP(LOWER(F1669)&amp;H1669,Prices!A:C,2,0)),0,VLOOKUP(LOWER(F1669)&amp;H1669,Prices!A:C,2,0))</f>
        <v>45.82</v>
      </c>
      <c r="W1669" s="13">
        <f t="shared" si="941"/>
        <v>-29649.528000000017</v>
      </c>
      <c r="X1669" s="13">
        <f t="shared" si="942"/>
        <v>390.00000000000767</v>
      </c>
      <c r="Y1669" s="43">
        <f t="shared" si="943"/>
        <v>-0.27468526959421918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28.66</v>
      </c>
      <c r="V1670" s="8">
        <f>IF(ISNA(VLOOKUP(LOWER(F1670)&amp;H1670,Prices!A:C,2,0)),0,VLOOKUP(LOWER(F1670)&amp;H1670,Prices!A:C,2,0))</f>
        <v>28.37</v>
      </c>
      <c r="W1670" s="8">
        <f t="shared" si="941"/>
        <v>-7131.991800000008</v>
      </c>
      <c r="X1670" s="8">
        <f t="shared" si="942"/>
        <v>666.99999999999807</v>
      </c>
      <c r="Y1670" s="57">
        <f t="shared" si="943"/>
        <v>-0.12256387351778669</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58.24</v>
      </c>
      <c r="V1671" s="8">
        <f>IF(ISNA(VLOOKUP(LOWER(F1671)&amp;H1671,Prices!A:C,2,0)),0,VLOOKUP(LOWER(F1671)&amp;H1671,Prices!A:C,2,0))</f>
        <v>58.82</v>
      </c>
      <c r="W1671" s="8">
        <f t="shared" si="941"/>
        <v>-8350.500399999999</v>
      </c>
      <c r="X1671" s="8">
        <f t="shared" si="942"/>
        <v>-463.99999999999864</v>
      </c>
      <c r="Y1671" s="57">
        <f t="shared" si="943"/>
        <v>-0.21548566267547478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39.799999999999997</v>
      </c>
      <c r="V1672" s="13">
        <f>IF(ISNA(VLOOKUP(LOWER(F1672)&amp;H1672,Prices!A:C,2,0)),0,VLOOKUP(LOWER(F1672)&amp;H1672,Prices!A:C,2,0))</f>
        <v>41.55</v>
      </c>
      <c r="W1672" s="13">
        <f t="shared" si="941"/>
        <v>-31875.491199999993</v>
      </c>
      <c r="X1672" s="13">
        <f t="shared" si="942"/>
        <v>-4725</v>
      </c>
      <c r="Y1672" s="43">
        <f t="shared" si="943"/>
        <v>-0.39643174887446203</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45.95</v>
      </c>
      <c r="V1673" s="13">
        <f>IF(ISNA(VLOOKUP(LOWER(F1673)&amp;H1673,Prices!A:C,2,0)),0,VLOOKUP(LOWER(F1673)&amp;H1673,Prices!A:C,2,0))</f>
        <v>45.82</v>
      </c>
      <c r="W1673" s="13">
        <f t="shared" ref="W1673:W1679" si="948">IF(I1673="B",(V1673+T1673)*K1673,(V1673+T1673)*K1673)</f>
        <v>12678.624400000002</v>
      </c>
      <c r="X1673" s="13">
        <f t="shared" ref="X1673:X1679" si="949">K1673*(V1673-U1673)</f>
        <v>-169.00000000000333</v>
      </c>
      <c r="Y1673" s="43">
        <f t="shared" ref="Y1673:Y1679" si="950">W1673/O1673</f>
        <v>0.27046001109262346</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45.95</v>
      </c>
      <c r="V1674" s="13">
        <f>IF(ISNA(VLOOKUP(LOWER(F1674)&amp;H1674,Prices!A:C,2,0)),0,VLOOKUP(LOWER(F1674)&amp;H1674,Prices!A:C,2,0))</f>
        <v>45.82</v>
      </c>
      <c r="W1674" s="13">
        <f t="shared" si="948"/>
        <v>12704.629600000004</v>
      </c>
      <c r="X1674" s="13">
        <f t="shared" si="949"/>
        <v>-169.00000000000333</v>
      </c>
      <c r="Y1674" s="43">
        <f t="shared" si="950"/>
        <v>0.27116514983351842</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12.86</v>
      </c>
      <c r="V1675" s="13">
        <f>IF(ISNA(VLOOKUP(LOWER(F1675)&amp;H1675,Prices!A:C,2,0)),0,VLOOKUP(LOWER(F1675)&amp;H1675,Prices!A:C,2,0))</f>
        <v>12.74</v>
      </c>
      <c r="W1675" s="13">
        <f t="shared" si="948"/>
        <v>1350.0800000000054</v>
      </c>
      <c r="X1675" s="13">
        <f t="shared" si="949"/>
        <v>-479.99999999999687</v>
      </c>
      <c r="Y1675" s="43">
        <f t="shared" si="950"/>
        <v>2.7219354838709787E-2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45.95</v>
      </c>
      <c r="V1676" s="13">
        <f>IF(ISNA(VLOOKUP(LOWER(F1676)&amp;H1676,Prices!A:C,2,0)),0,VLOOKUP(LOWER(F1676)&amp;H1676,Prices!A:C,2,0))</f>
        <v>45.82</v>
      </c>
      <c r="W1676" s="13">
        <f t="shared" si="948"/>
        <v>12509.590600000001</v>
      </c>
      <c r="X1676" s="13">
        <f t="shared" si="949"/>
        <v>-169.00000000000333</v>
      </c>
      <c r="Y1676" s="43">
        <f t="shared" si="950"/>
        <v>0.26589560652113847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12.86</v>
      </c>
      <c r="V1677" s="13">
        <f>IF(ISNA(VLOOKUP(LOWER(F1677)&amp;H1677,Prices!A:C,2,0)),0,VLOOKUP(LOWER(F1677)&amp;H1677,Prices!A:C,2,0))</f>
        <v>12.74</v>
      </c>
      <c r="W1677" s="13">
        <f t="shared" si="948"/>
        <v>1390.0880000000056</v>
      </c>
      <c r="X1677" s="13">
        <f t="shared" si="949"/>
        <v>-479.99999999999687</v>
      </c>
      <c r="Y1677" s="43">
        <f t="shared" si="950"/>
        <v>2.8048587570621585E-2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33.22</v>
      </c>
      <c r="V1678" s="13">
        <f>IF(ISNA(VLOOKUP(LOWER(F1678)&amp;H1678,Prices!A:C,2,0)),0,VLOOKUP(LOWER(F1678)&amp;H1678,Prices!A:C,2,0))</f>
        <v>33.1</v>
      </c>
      <c r="W1678" s="13">
        <f t="shared" si="948"/>
        <v>3493.1196800000066</v>
      </c>
      <c r="X1678" s="13">
        <f t="shared" si="949"/>
        <v>-191.99999999999591</v>
      </c>
      <c r="Y1678" s="43">
        <f t="shared" si="950"/>
        <v>7.0630857327725782E-2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29.38</v>
      </c>
      <c r="V1679" s="13">
        <f>IF(ISNA(VLOOKUP(LOWER(F1679)&amp;H1679,Prices!A:C,2,0)),0,VLOOKUP(LOWER(F1679)&amp;H1679,Prices!A:C,2,0))</f>
        <v>30.53</v>
      </c>
      <c r="W1679" s="13">
        <f t="shared" si="948"/>
        <v>16327.489500000009</v>
      </c>
      <c r="X1679" s="13">
        <f t="shared" si="949"/>
        <v>2415.0000000000045</v>
      </c>
      <c r="Y1679" s="43">
        <f t="shared" si="950"/>
        <v>0.34175802197802219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45.95</v>
      </c>
      <c r="V1680" s="13">
        <f>IF(ISNA(VLOOKUP(LOWER(F1680)&amp;H1680,Prices!A:C,2,0)),0,VLOOKUP(LOWER(F1680)&amp;H1680,Prices!A:C,2,0))</f>
        <v>45.82</v>
      </c>
      <c r="W1680" s="13">
        <f t="shared" ref="W1680:W1687" si="956">IF(I1680="B",(V1680+T1680)*K1680,(V1680+T1680)*K1680)</f>
        <v>-16590.168000000005</v>
      </c>
      <c r="X1680" s="13">
        <f t="shared" ref="X1680:X1687" si="957">K1680*(V1680-U1680)</f>
        <v>260.00000000000512</v>
      </c>
      <c r="Y1680" s="43">
        <f t="shared" ref="Y1680:Y1687" si="958">W1680/O1680</f>
        <v>-0.22079009848283213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58.24</v>
      </c>
      <c r="V1681" s="8">
        <f>IF(ISNA(VLOOKUP(LOWER(F1681)&amp;H1681,Prices!A:C,2,0)),0,VLOOKUP(LOWER(F1681)&amp;H1681,Prices!A:C,2,0))</f>
        <v>58.82</v>
      </c>
      <c r="W1681" s="8">
        <f t="shared" si="956"/>
        <v>9450.1279999999988</v>
      </c>
      <c r="X1681" s="8">
        <f t="shared" si="957"/>
        <v>579.99999999999829</v>
      </c>
      <c r="Y1681" s="57">
        <f t="shared" si="958"/>
        <v>0.19145316045380872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12.86</v>
      </c>
      <c r="V1682" s="13">
        <f>IF(ISNA(VLOOKUP(LOWER(F1682)&amp;H1682,Prices!A:C,2,0)),0,VLOOKUP(LOWER(F1682)&amp;H1682,Prices!A:C,2,0))</f>
        <v>12.74</v>
      </c>
      <c r="W1682" s="13">
        <f t="shared" si="956"/>
        <v>1750.160000000001</v>
      </c>
      <c r="X1682" s="13">
        <f t="shared" si="957"/>
        <v>-479.99999999999687</v>
      </c>
      <c r="Y1682" s="43">
        <f t="shared" si="958"/>
        <v>3.5572357723577253E-2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39.799999999999997</v>
      </c>
      <c r="V1683" s="13">
        <f>IF(ISNA(VLOOKUP(LOWER(F1683)&amp;H1683,Prices!A:C,2,0)),0,VLOOKUP(LOWER(F1683)&amp;H1683,Prices!A:C,2,0))</f>
        <v>41.55</v>
      </c>
      <c r="W1683" s="13">
        <f t="shared" si="956"/>
        <v>17638.233599999996</v>
      </c>
      <c r="X1683" s="13">
        <f t="shared" si="957"/>
        <v>2800</v>
      </c>
      <c r="Y1683" s="43">
        <f t="shared" si="958"/>
        <v>0.36120235910878107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39.799999999999997</v>
      </c>
      <c r="V1684" s="13">
        <f>IF(ISNA(VLOOKUP(LOWER(F1684)&amp;H1684,Prices!A:C,2,0)),0,VLOOKUP(LOWER(F1684)&amp;H1684,Prices!A:C,2,0))</f>
        <v>41.55</v>
      </c>
      <c r="W1684" s="13">
        <f t="shared" si="956"/>
        <v>17590.223999999995</v>
      </c>
      <c r="X1684" s="13">
        <f t="shared" si="957"/>
        <v>2800</v>
      </c>
      <c r="Y1684" s="43">
        <f t="shared" si="958"/>
        <v>0.35986546644844508</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55.5</v>
      </c>
      <c r="V1685" s="13">
        <f>IF(ISNA(VLOOKUP(LOWER(F1685)&amp;H1685,Prices!A:C,2,0)),0,VLOOKUP(LOWER(F1685)&amp;H1685,Prices!A:C,2,0))</f>
        <v>55.89</v>
      </c>
      <c r="W1685" s="13">
        <f t="shared" si="956"/>
        <v>39157.948799999998</v>
      </c>
      <c r="X1685" s="13">
        <f t="shared" si="957"/>
        <v>624.00000000000091</v>
      </c>
      <c r="Y1685" s="43">
        <f t="shared" si="958"/>
        <v>0.77916962750716334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39.799999999999997</v>
      </c>
      <c r="V1686" s="13">
        <f>IF(ISNA(VLOOKUP(LOWER(F1686)&amp;H1686,Prices!A:C,2,0)),0,VLOOKUP(LOWER(F1686)&amp;H1686,Prices!A:C,2,0))</f>
        <v>41.55</v>
      </c>
      <c r="W1686" s="13">
        <f t="shared" si="956"/>
        <v>17238.153599999994</v>
      </c>
      <c r="X1686" s="13">
        <f t="shared" si="957"/>
        <v>2800</v>
      </c>
      <c r="Y1686" s="43">
        <f t="shared" si="958"/>
        <v>0.35014124146896314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55.5</v>
      </c>
      <c r="V1687" s="13">
        <f>IF(ISNA(VLOOKUP(LOWER(F1687)&amp;H1687,Prices!A:C,2,0)),0,VLOOKUP(LOWER(F1687)&amp;H1687,Prices!A:C,2,0))</f>
        <v>55.89</v>
      </c>
      <c r="W1687" s="13">
        <f t="shared" si="956"/>
        <v>48067.26</v>
      </c>
      <c r="X1687" s="13">
        <f t="shared" si="957"/>
        <v>780.00000000000114</v>
      </c>
      <c r="Y1687" s="43">
        <f t="shared" si="958"/>
        <v>0.7545880690737834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55.5</v>
      </c>
      <c r="V1688" s="13">
        <f>IF(ISNA(VLOOKUP(LOWER(F1688)&amp;H1688,Prices!A:C,2,0)),0,VLOOKUP(LOWER(F1688)&amp;H1688,Prices!A:C,2,0))</f>
        <v>55.89</v>
      </c>
      <c r="W1688" s="13">
        <f t="shared" ref="W1688:W1692" si="963">IF(I1688="B",(V1688+T1688)*K1688,(V1688+T1688)*K1688)</f>
        <v>-47876.776000000005</v>
      </c>
      <c r="X1688" s="13">
        <f t="shared" ref="X1688:X1692" si="964">K1688*(V1688-U1688)</f>
        <v>-780.00000000000114</v>
      </c>
      <c r="Y1688" s="43">
        <f t="shared" ref="Y1688:Y1692" si="965">W1688/O1688</f>
        <v>-0.74830847139731171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690.25</v>
      </c>
      <c r="V1689" s="13">
        <f>IF(ISNA(VLOOKUP(LOWER(F1689)&amp;H1689,Prices!A:C,2,0)),0,VLOOKUP(LOWER(F1689)&amp;H1689,Prices!A:C,2,0))</f>
        <v>679.15</v>
      </c>
      <c r="W1689" s="13">
        <f t="shared" si="963"/>
        <v>-62042.092720000015</v>
      </c>
      <c r="X1689" s="13">
        <f t="shared" si="964"/>
        <v>3330.0000000000068</v>
      </c>
      <c r="Y1689" s="43">
        <f t="shared" si="965"/>
        <v>-0.43729801178493904</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33.22</v>
      </c>
      <c r="V1690" s="13">
        <f>IF(ISNA(VLOOKUP(LOWER(F1690)&amp;H1690,Prices!A:C,2,0)),0,VLOOKUP(LOWER(F1690)&amp;H1690,Prices!A:C,2,0))</f>
        <v>33.1</v>
      </c>
      <c r="W1690" s="13">
        <f t="shared" si="963"/>
        <v>-1425.5977600000015</v>
      </c>
      <c r="X1690" s="13">
        <f t="shared" si="964"/>
        <v>371.99999999999204</v>
      </c>
      <c r="Y1690" s="43">
        <f t="shared" si="965"/>
        <v>-1.4071916926600085E-2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55.5</v>
      </c>
      <c r="V1691" s="13">
        <f>IF(ISNA(VLOOKUP(LOWER(F1691)&amp;H1691,Prices!A:C,2,0)),0,VLOOKUP(LOWER(F1691)&amp;H1691,Prices!A:C,2,0))</f>
        <v>55.89</v>
      </c>
      <c r="W1691" s="13">
        <f t="shared" si="963"/>
        <v>39141.945599999999</v>
      </c>
      <c r="X1691" s="13">
        <f t="shared" si="964"/>
        <v>624.00000000000091</v>
      </c>
      <c r="Y1691" s="43">
        <f t="shared" si="965"/>
        <v>0.77860330999363458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55.5</v>
      </c>
      <c r="V1692" s="13">
        <f>IF(ISNA(VLOOKUP(LOWER(F1692)&amp;H1692,Prices!A:C,2,0)),0,VLOOKUP(LOWER(F1692)&amp;H1692,Prices!A:C,2,0))</f>
        <v>55.89</v>
      </c>
      <c r="W1692" s="13">
        <f t="shared" si="963"/>
        <v>39157.948799999998</v>
      </c>
      <c r="X1692" s="13">
        <f t="shared" si="964"/>
        <v>624.00000000000091</v>
      </c>
      <c r="Y1692" s="43">
        <f t="shared" si="965"/>
        <v>0.77916962750716334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45.95</v>
      </c>
      <c r="V1693" s="13">
        <f>IF(ISNA(VLOOKUP(LOWER(F1693)&amp;H1693,Prices!A:C,2,0)),0,VLOOKUP(LOWER(F1693)&amp;H1693,Prices!A:C,2,0))</f>
        <v>45.82</v>
      </c>
      <c r="W1693" s="13">
        <f t="shared" ref="W1693:W1699" si="970">IF(I1693="B",(V1693+T1693)*K1693,(V1693+T1693)*K1693)</f>
        <v>9272.6920000000064</v>
      </c>
      <c r="X1693" s="13">
        <f t="shared" ref="X1693:X1699" si="971">K1693*(V1693-U1693)</f>
        <v>-130.00000000000256</v>
      </c>
      <c r="Y1693" s="43">
        <f t="shared" ref="Y1693:Y1699" si="972">W1693/O1693</f>
        <v>0.25376825396825414</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28.66</v>
      </c>
      <c r="V1694" s="8">
        <f>IF(ISNA(VLOOKUP(LOWER(F1694)&amp;H1694,Prices!A:C,2,0)),0,VLOOKUP(LOWER(F1694)&amp;H1694,Prices!A:C,2,0))</f>
        <v>28.37</v>
      </c>
      <c r="W1694" s="8">
        <f t="shared" si="970"/>
        <v>2814.3790000000026</v>
      </c>
      <c r="X1694" s="8">
        <f t="shared" si="971"/>
        <v>-289.99999999999915</v>
      </c>
      <c r="Y1694" s="57">
        <f t="shared" si="972"/>
        <v>0.11015181996086117</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45.95</v>
      </c>
      <c r="V1695" s="13">
        <f>IF(ISNA(VLOOKUP(LOWER(F1695)&amp;H1695,Prices!A:C,2,0)),0,VLOOKUP(LOWER(F1695)&amp;H1695,Prices!A:C,2,0))</f>
        <v>45.82</v>
      </c>
      <c r="W1695" s="13">
        <f t="shared" si="970"/>
        <v>13909.037999999999</v>
      </c>
      <c r="X1695" s="13">
        <f t="shared" si="971"/>
        <v>-195.00000000000384</v>
      </c>
      <c r="Y1695" s="43">
        <f t="shared" si="972"/>
        <v>0.25376825396825392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39.799999999999997</v>
      </c>
      <c r="V1696" s="13">
        <f>IF(ISNA(VLOOKUP(LOWER(F1696)&amp;H1696,Prices!A:C,2,0)),0,VLOOKUP(LOWER(F1696)&amp;H1696,Prices!A:C,2,0))</f>
        <v>41.55</v>
      </c>
      <c r="W1696" s="13">
        <f t="shared" si="970"/>
        <v>19094.524799999992</v>
      </c>
      <c r="X1696" s="13">
        <f t="shared" si="971"/>
        <v>2800</v>
      </c>
      <c r="Y1696" s="43">
        <f t="shared" si="972"/>
        <v>0.40304214792299881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28.66</v>
      </c>
      <c r="V1697" s="8">
        <f>IF(ISNA(VLOOKUP(LOWER(F1697)&amp;H1697,Prices!A:C,2,0)),0,VLOOKUP(LOWER(F1697)&amp;H1697,Prices!A:C,2,0))</f>
        <v>28.37</v>
      </c>
      <c r="W1697" s="8">
        <f t="shared" si="970"/>
        <v>5088.6392000000033</v>
      </c>
      <c r="X1697" s="8">
        <f t="shared" si="971"/>
        <v>-579.99999999999829</v>
      </c>
      <c r="Y1697" s="57">
        <f t="shared" si="972"/>
        <v>9.8540650658404394E-2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34.53</v>
      </c>
      <c r="V1698" s="8">
        <f>IF(ISNA(VLOOKUP(LOWER(F1698)&amp;H1698,Prices!A:C,2,0)),0,VLOOKUP(LOWER(F1698)&amp;H1698,Prices!A:C,2,0))</f>
        <v>34.08</v>
      </c>
      <c r="W1698" s="8">
        <f t="shared" si="970"/>
        <v>11987.644799999991</v>
      </c>
      <c r="X1698" s="8">
        <f t="shared" si="971"/>
        <v>-900.00000000000568</v>
      </c>
      <c r="Y1698" s="57">
        <f t="shared" si="972"/>
        <v>0.2134552136752135</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28.66</v>
      </c>
      <c r="V1699" s="8">
        <f>IF(ISNA(VLOOKUP(LOWER(F1699)&amp;H1699,Prices!A:C,2,0)),0,VLOOKUP(LOWER(F1699)&amp;H1699,Prices!A:C,2,0))</f>
        <v>28.37</v>
      </c>
      <c r="W1699" s="8">
        <f t="shared" si="970"/>
        <v>5168.6568000000079</v>
      </c>
      <c r="X1699" s="8">
        <f t="shared" si="971"/>
        <v>-579.99999999999829</v>
      </c>
      <c r="Y1699" s="57">
        <f t="shared" si="972"/>
        <v>0.10024547711404205</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27.36</v>
      </c>
      <c r="V1700" s="13">
        <f>IF(ISNA(VLOOKUP(LOWER(F1700)&amp;H1700,Prices!A:C,2,0)),0,VLOOKUP(LOWER(F1700)&amp;H1700,Prices!A:C,2,0))</f>
        <v>25.09</v>
      </c>
      <c r="W1700" s="13">
        <f t="shared" ref="W1700" si="977">IF(I1700="B",(V1700+T1700)*K1700,(V1700+T1700)*K1700)</f>
        <v>2576.2059999999992</v>
      </c>
      <c r="X1700" s="13">
        <f t="shared" ref="X1700" si="978">K1700*(V1700-U1700)</f>
        <v>2269.9999999999995</v>
      </c>
      <c r="Y1700" s="43">
        <f t="shared" ref="Y1700" si="979">W1700/O1700</f>
        <v>9.300382671480141E-2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45.95</v>
      </c>
      <c r="V1701" s="13">
        <f>IF(ISNA(VLOOKUP(LOWER(F1701)&amp;H1701,Prices!A:C,2,0)),0,VLOOKUP(LOWER(F1701)&amp;H1701,Prices!A:C,2,0))</f>
        <v>45.82</v>
      </c>
      <c r="W1701" s="13">
        <f t="shared" ref="W1701:W1705" si="984">IF(I1701="B",(V1701+T1701)*K1701,(V1701+T1701)*K1701)</f>
        <v>-17109.543999999998</v>
      </c>
      <c r="X1701" s="13">
        <f t="shared" ref="X1701:X1705" si="985">K1701*(V1701-U1701)</f>
        <v>260.00000000000512</v>
      </c>
      <c r="Y1701" s="43">
        <f t="shared" ref="Y1701:Y1705" si="986">W1701/O1701</f>
        <v>-0.22928898418654514</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690.25</v>
      </c>
      <c r="V1702" s="13">
        <f>IF(ISNA(VLOOKUP(LOWER(F1702)&amp;H1702,Prices!A:C,2,0)),0,VLOOKUP(LOWER(F1702)&amp;H1702,Prices!A:C,2,0))</f>
        <v>679.15</v>
      </c>
      <c r="W1702" s="13">
        <f t="shared" si="984"/>
        <v>-20981.328020000001</v>
      </c>
      <c r="X1702" s="13">
        <f t="shared" si="985"/>
        <v>1110.0000000000023</v>
      </c>
      <c r="Y1702" s="43">
        <f t="shared" si="986"/>
        <v>-0.44649673384265076</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33.22</v>
      </c>
      <c r="V1703" s="13">
        <f>IF(ISNA(VLOOKUP(LOWER(F1703)&amp;H1703,Prices!A:C,2,0)),0,VLOOKUP(LOWER(F1703)&amp;H1703,Prices!A:C,2,0))</f>
        <v>33.1</v>
      </c>
      <c r="W1703" s="13">
        <f t="shared" si="984"/>
        <v>6636.082940000003</v>
      </c>
      <c r="X1703" s="13">
        <f t="shared" si="985"/>
        <v>-203.99999999999565</v>
      </c>
      <c r="Y1703" s="43">
        <f t="shared" si="986"/>
        <v>0.13372998287084625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45.95</v>
      </c>
      <c r="V1704" s="13">
        <f>IF(ISNA(VLOOKUP(LOWER(F1704)&amp;H1704,Prices!A:C,2,0)),0,VLOOKUP(LOWER(F1704)&amp;H1704,Prices!A:C,2,0))</f>
        <v>45.82</v>
      </c>
      <c r="W1704" s="13">
        <f t="shared" si="984"/>
        <v>-17349.256000000012</v>
      </c>
      <c r="X1704" s="13">
        <f t="shared" si="985"/>
        <v>260.00000000000512</v>
      </c>
      <c r="Y1704" s="43">
        <f t="shared" si="986"/>
        <v>-0.23325162678139302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33.22</v>
      </c>
      <c r="V1705" s="13">
        <f>IF(ISNA(VLOOKUP(LOWER(F1705)&amp;H1705,Prices!A:C,2,0)),0,VLOOKUP(LOWER(F1705)&amp;H1705,Prices!A:C,2,0))</f>
        <v>33.1</v>
      </c>
      <c r="W1705" s="13">
        <f t="shared" si="984"/>
        <v>3114.5328000000009</v>
      </c>
      <c r="X1705" s="13">
        <f t="shared" si="985"/>
        <v>-95.999999999997954</v>
      </c>
      <c r="Y1705" s="43">
        <f t="shared" si="986"/>
        <v>0.13332760273972608</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12.86</v>
      </c>
      <c r="V1706" s="13">
        <f>IF(ISNA(VLOOKUP(LOWER(F1706)&amp;H1706,Prices!A:C,2,0)),0,VLOOKUP(LOWER(F1706)&amp;H1706,Prices!A:C,2,0))</f>
        <v>12.74</v>
      </c>
      <c r="W1706" s="13">
        <f t="shared" ref="W1706:W1725" si="991">IF(I1706="B",(V1706+T1706)*K1706,(V1706+T1706)*K1706)</f>
        <v>130.0000000000006</v>
      </c>
      <c r="X1706" s="13">
        <f t="shared" ref="X1706:X1725" si="992">K1706*(V1706-U1706)</f>
        <v>-35.999999999999766</v>
      </c>
      <c r="Y1706" s="43">
        <f t="shared" ref="Y1706:Y1725" si="993">W1706/O1706</f>
        <v>3.5259018171955689E-2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12.86</v>
      </c>
      <c r="V1707" s="13">
        <f>IF(ISNA(VLOOKUP(LOWER(F1707)&amp;H1707,Prices!A:C,2,0)),0,VLOOKUP(LOWER(F1707)&amp;H1707,Prices!A:C,2,0))</f>
        <v>12.74</v>
      </c>
      <c r="W1707" s="13">
        <f t="shared" si="991"/>
        <v>205.00000000000006</v>
      </c>
      <c r="X1707" s="13">
        <f t="shared" si="992"/>
        <v>-59.999999999999609</v>
      </c>
      <c r="Y1707" s="43">
        <f t="shared" si="993"/>
        <v>3.327922077922079E-2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33.22</v>
      </c>
      <c r="V1708" s="13">
        <f>IF(ISNA(VLOOKUP(LOWER(F1708)&amp;H1708,Prices!A:C,2,0)),0,VLOOKUP(LOWER(F1708)&amp;H1708,Prices!A:C,2,0))</f>
        <v>33.1</v>
      </c>
      <c r="W1708" s="13">
        <f t="shared" si="991"/>
        <v>2189.7129000000018</v>
      </c>
      <c r="X1708" s="13">
        <f t="shared" si="992"/>
        <v>-59.999999999998721</v>
      </c>
      <c r="Y1708" s="43">
        <f t="shared" si="993"/>
        <v>0.15254008359456647</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33.22</v>
      </c>
      <c r="V1709" s="13">
        <f>IF(ISNA(VLOOKUP(LOWER(F1709)&amp;H1709,Prices!A:C,2,0)),0,VLOOKUP(LOWER(F1709)&amp;H1709,Prices!A:C,2,0))</f>
        <v>33.1</v>
      </c>
      <c r="W1709" s="13">
        <f t="shared" si="991"/>
        <v>2616.655240000001</v>
      </c>
      <c r="X1709" s="13">
        <f t="shared" si="992"/>
        <v>-71.999999999998465</v>
      </c>
      <c r="Y1709" s="43">
        <f t="shared" si="993"/>
        <v>0.15179575588815414</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33.22</v>
      </c>
      <c r="V1710" s="13">
        <f>IF(ISNA(VLOOKUP(LOWER(F1710)&amp;H1710,Prices!A:C,2,0)),0,VLOOKUP(LOWER(F1710)&amp;H1710,Prices!A:C,2,0))</f>
        <v>33.1</v>
      </c>
      <c r="W1710" s="13">
        <f t="shared" si="991"/>
        <v>2616.655240000001</v>
      </c>
      <c r="X1710" s="13">
        <f t="shared" si="992"/>
        <v>-71.999999999998465</v>
      </c>
      <c r="Y1710" s="43">
        <f t="shared" si="993"/>
        <v>0.15179575588815414</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55.5</v>
      </c>
      <c r="V1711" s="13">
        <f>IF(ISNA(VLOOKUP(LOWER(F1711)&amp;H1711,Prices!A:C,2,0)),0,VLOOKUP(LOWER(F1711)&amp;H1711,Prices!A:C,2,0))</f>
        <v>55.89</v>
      </c>
      <c r="W1711" s="13">
        <f t="shared" si="991"/>
        <v>-47417.327999999994</v>
      </c>
      <c r="X1711" s="13">
        <f t="shared" si="992"/>
        <v>-780.00000000000114</v>
      </c>
      <c r="Y1711" s="43">
        <f t="shared" si="993"/>
        <v>-0.73583687150837984</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12.86</v>
      </c>
      <c r="V1712" s="13">
        <f>IF(ISNA(VLOOKUP(LOWER(F1712)&amp;H1712,Prices!A:C,2,0)),0,VLOOKUP(LOWER(F1712)&amp;H1712,Prices!A:C,2,0))</f>
        <v>12.74</v>
      </c>
      <c r="W1712" s="13">
        <f t="shared" si="991"/>
        <v>391</v>
      </c>
      <c r="X1712" s="13">
        <f t="shared" si="992"/>
        <v>-131.99999999999915</v>
      </c>
      <c r="Y1712" s="43">
        <f t="shared" si="993"/>
        <v>2.8711998825084448E-2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12.86</v>
      </c>
      <c r="V1713" s="13">
        <f>IF(ISNA(VLOOKUP(LOWER(F1713)&amp;H1713,Prices!A:C,2,0)),0,VLOOKUP(LOWER(F1713)&amp;H1713,Prices!A:C,2,0))</f>
        <v>12.74</v>
      </c>
      <c r="W1713" s="13">
        <f t="shared" si="991"/>
        <v>294.99999999999994</v>
      </c>
      <c r="X1713" s="13">
        <f t="shared" si="992"/>
        <v>-119.99999999999922</v>
      </c>
      <c r="Y1713" s="43">
        <f t="shared" si="993"/>
        <v>2.3713826366559481E-2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12.86</v>
      </c>
      <c r="V1714" s="13">
        <f>IF(ISNA(VLOOKUP(LOWER(F1714)&amp;H1714,Prices!A:C,2,0)),0,VLOOKUP(LOWER(F1714)&amp;H1714,Prices!A:C,2,0))</f>
        <v>12.74</v>
      </c>
      <c r="W1714" s="13">
        <f t="shared" si="991"/>
        <v>304.99999999999972</v>
      </c>
      <c r="X1714" s="13">
        <f t="shared" si="992"/>
        <v>-119.99999999999922</v>
      </c>
      <c r="Y1714" s="43">
        <f t="shared" si="993"/>
        <v>2.4537409493161681E-2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33.22</v>
      </c>
      <c r="V1715" s="13">
        <f>IF(ISNA(VLOOKUP(LOWER(F1715)&amp;H1715,Prices!A:C,2,0)),0,VLOOKUP(LOWER(F1715)&amp;H1715,Prices!A:C,2,0))</f>
        <v>33.1</v>
      </c>
      <c r="W1715" s="13">
        <f t="shared" si="991"/>
        <v>2256.6480400000009</v>
      </c>
      <c r="X1715" s="13">
        <f t="shared" si="992"/>
        <v>-71.999999999998465</v>
      </c>
      <c r="Y1715" s="43">
        <f t="shared" si="993"/>
        <v>0.12823321059211279</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33.22</v>
      </c>
      <c r="V1716" s="13">
        <f>IF(ISNA(VLOOKUP(LOWER(F1716)&amp;H1716,Prices!A:C,2,0)),0,VLOOKUP(LOWER(F1716)&amp;H1716,Prices!A:C,2,0))</f>
        <v>33.1</v>
      </c>
      <c r="W1716" s="13">
        <f t="shared" si="991"/>
        <v>2148.6458800000014</v>
      </c>
      <c r="X1716" s="13">
        <f t="shared" si="992"/>
        <v>-71.999999999998465</v>
      </c>
      <c r="Y1716" s="43">
        <f t="shared" si="993"/>
        <v>0.12135128656952453</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33.22</v>
      </c>
      <c r="V1717" s="13">
        <f>IF(ISNA(VLOOKUP(LOWER(F1717)&amp;H1717,Prices!A:C,2,0)),0,VLOOKUP(LOWER(F1717)&amp;H1717,Prices!A:C,2,0))</f>
        <v>33.1</v>
      </c>
      <c r="W1717" s="13">
        <f t="shared" si="991"/>
        <v>2142.6457600000012</v>
      </c>
      <c r="X1717" s="13">
        <f t="shared" si="992"/>
        <v>-71.999999999998465</v>
      </c>
      <c r="Y1717" s="43">
        <f t="shared" si="993"/>
        <v>0.12097141824751588</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33.22</v>
      </c>
      <c r="V1718" s="13">
        <f>IF(ISNA(VLOOKUP(LOWER(F1718)&amp;H1718,Prices!A:C,2,0)),0,VLOOKUP(LOWER(F1718)&amp;H1718,Prices!A:C,2,0))</f>
        <v>33.1</v>
      </c>
      <c r="W1718" s="13">
        <f t="shared" si="991"/>
        <v>2124.6454000000031</v>
      </c>
      <c r="X1718" s="13">
        <f t="shared" si="992"/>
        <v>-71.999999999998465</v>
      </c>
      <c r="Y1718" s="43">
        <f t="shared" si="993"/>
        <v>0.11983335589396521</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55.5</v>
      </c>
      <c r="V1719" s="13">
        <f>IF(ISNA(VLOOKUP(LOWER(F1719)&amp;H1719,Prices!A:C,2,0)),0,VLOOKUP(LOWER(F1719)&amp;H1719,Prices!A:C,2,0))</f>
        <v>55.89</v>
      </c>
      <c r="W1719" s="13">
        <f t="shared" si="991"/>
        <v>-47157.64</v>
      </c>
      <c r="X1719" s="13">
        <f t="shared" si="992"/>
        <v>-780.00000000000114</v>
      </c>
      <c r="Y1719" s="43">
        <f t="shared" si="993"/>
        <v>-0.72886615146831524</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29.38</v>
      </c>
      <c r="V1720" s="13">
        <f>IF(ISNA(VLOOKUP(LOWER(F1720)&amp;H1720,Prices!A:C,2,0)),0,VLOOKUP(LOWER(F1720)&amp;H1720,Prices!A:C,2,0))</f>
        <v>30.53</v>
      </c>
      <c r="W1720" s="13">
        <f t="shared" si="991"/>
        <v>9524.5800000000036</v>
      </c>
      <c r="X1720" s="13">
        <f t="shared" si="992"/>
        <v>1150.000000000002</v>
      </c>
      <c r="Y1720" s="43">
        <f t="shared" si="993"/>
        <v>0.45355142857142872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29.38</v>
      </c>
      <c r="V1721" s="13">
        <f>IF(ISNA(VLOOKUP(LOWER(F1721)&amp;H1721,Prices!A:C,2,0)),0,VLOOKUP(LOWER(F1721)&amp;H1721,Prices!A:C,2,0))</f>
        <v>30.53</v>
      </c>
      <c r="W1721" s="13">
        <f t="shared" si="991"/>
        <v>9564.5808000000015</v>
      </c>
      <c r="X1721" s="13">
        <f t="shared" si="992"/>
        <v>1150.000000000002</v>
      </c>
      <c r="Y1721" s="43">
        <f t="shared" si="993"/>
        <v>0.45632541984732833</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45.95</v>
      </c>
      <c r="V1722" s="13">
        <f>IF(ISNA(VLOOKUP(LOWER(F1722)&amp;H1722,Prices!A:C,2,0)),0,VLOOKUP(LOWER(F1722)&amp;H1722,Prices!A:C,2,0))</f>
        <v>45.82</v>
      </c>
      <c r="W1722" s="13">
        <f t="shared" si="991"/>
        <v>-14033.727399999998</v>
      </c>
      <c r="X1722" s="13">
        <f t="shared" si="992"/>
        <v>221.00000000000435</v>
      </c>
      <c r="Y1722" s="43">
        <f t="shared" si="993"/>
        <v>-0.21949305410012979</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29.38</v>
      </c>
      <c r="V1723" s="13">
        <f>IF(ISNA(VLOOKUP(LOWER(F1723)&amp;H1723,Prices!A:C,2,0)),0,VLOOKUP(LOWER(F1723)&amp;H1723,Prices!A:C,2,0))</f>
        <v>30.53</v>
      </c>
      <c r="W1723" s="13">
        <f t="shared" si="991"/>
        <v>9534.5802000000003</v>
      </c>
      <c r="X1723" s="13">
        <f t="shared" si="992"/>
        <v>1150.000000000002</v>
      </c>
      <c r="Y1723" s="43">
        <f t="shared" si="993"/>
        <v>0.45424393520724154</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34.53</v>
      </c>
      <c r="V1724" s="8">
        <f>IF(ISNA(VLOOKUP(LOWER(F1724)&amp;H1724,Prices!A:C,2,0)),0,VLOOKUP(LOWER(F1724)&amp;H1724,Prices!A:C,2,0))</f>
        <v>34.08</v>
      </c>
      <c r="W1724" s="8">
        <f t="shared" si="991"/>
        <v>13777.537680000001</v>
      </c>
      <c r="X1724" s="8">
        <f t="shared" si="992"/>
        <v>-810.00000000000512</v>
      </c>
      <c r="Y1724" s="57">
        <f t="shared" si="993"/>
        <v>0.28971186979560942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34.53</v>
      </c>
      <c r="V1725" s="8">
        <f>IF(ISNA(VLOOKUP(LOWER(F1725)&amp;H1725,Prices!A:C,2,0)),0,VLOOKUP(LOWER(F1725)&amp;H1725,Prices!A:C,2,0))</f>
        <v>34.08</v>
      </c>
      <c r="W1725" s="8">
        <f t="shared" si="991"/>
        <v>13759.533719999996</v>
      </c>
      <c r="X1725" s="8">
        <f t="shared" si="992"/>
        <v>-810.00000000000512</v>
      </c>
      <c r="Y1725" s="57">
        <f t="shared" si="993"/>
        <v>0.28922381384790002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33.22</v>
      </c>
      <c r="V1726" s="13">
        <f>IF(ISNA(VLOOKUP(LOWER(F1726)&amp;H1726,Prices!A:C,2,0)),0,VLOOKUP(LOWER(F1726)&amp;H1726,Prices!A:C,2,0))</f>
        <v>33.1</v>
      </c>
      <c r="W1726" s="13">
        <f t="shared" ref="W1726:W1749" si="998">IF(I1726="B",(V1726+T1726)*K1726,(V1726+T1726)*K1726)</f>
        <v>-6988.4106400000082</v>
      </c>
      <c r="X1726" s="13">
        <f t="shared" ref="X1726:X1749" si="999">K1726*(V1726-U1726)</f>
        <v>263.99999999999437</v>
      </c>
      <c r="Y1726" s="43">
        <f t="shared" ref="Y1726:Y1749" si="1000">W1726/O1726</f>
        <v>-0.10602637820123814</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29.38</v>
      </c>
      <c r="V1727" s="13">
        <f>IF(ISNA(VLOOKUP(LOWER(F1727)&amp;H1727,Prices!A:C,2,0)),0,VLOOKUP(LOWER(F1727)&amp;H1727,Prices!A:C,2,0))</f>
        <v>30.53</v>
      </c>
      <c r="W1727" s="13">
        <f t="shared" si="998"/>
        <v>-18472.020800000002</v>
      </c>
      <c r="X1727" s="13">
        <f t="shared" si="999"/>
        <v>-2300.0000000000041</v>
      </c>
      <c r="Y1727" s="43">
        <f t="shared" si="1000"/>
        <v>-0.43320874296435274</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29.38</v>
      </c>
      <c r="V1728" s="13">
        <f>IF(ISNA(VLOOKUP(LOWER(F1728)&amp;H1728,Prices!A:C,2,0)),0,VLOOKUP(LOWER(F1728)&amp;H1728,Prices!A:C,2,0))</f>
        <v>30.53</v>
      </c>
      <c r="W1728" s="13">
        <f t="shared" si="998"/>
        <v>-36944.041600000004</v>
      </c>
      <c r="X1728" s="13">
        <f t="shared" si="999"/>
        <v>-4600.0000000000082</v>
      </c>
      <c r="Y1728" s="43">
        <f t="shared" si="1000"/>
        <v>-0.43320874296435274</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28.66</v>
      </c>
      <c r="V1729" s="8">
        <f>IF(ISNA(VLOOKUP(LOWER(F1729)&amp;H1729,Prices!A:C,2,0)),0,VLOOKUP(LOWER(F1729)&amp;H1729,Prices!A:C,2,0))</f>
        <v>28.37</v>
      </c>
      <c r="W1729" s="8">
        <f t="shared" si="998"/>
        <v>-4709.4203200000038</v>
      </c>
      <c r="X1729" s="8">
        <f t="shared" si="999"/>
        <v>695.99999999999795</v>
      </c>
      <c r="Y1729" s="57">
        <f t="shared" si="1000"/>
        <v>-7.4215524457892146E-2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39.799999999999997</v>
      </c>
      <c r="V1730" s="13">
        <f>IF(ISNA(VLOOKUP(LOWER(F1730)&amp;H1730,Prices!A:C,2,0)),0,VLOOKUP(LOWER(F1730)&amp;H1730,Prices!A:C,2,0))</f>
        <v>41.55</v>
      </c>
      <c r="W1730" s="13">
        <f t="shared" si="998"/>
        <v>-21014.592000000001</v>
      </c>
      <c r="X1730" s="13">
        <f t="shared" si="999"/>
        <v>-3500</v>
      </c>
      <c r="Y1730" s="43">
        <f t="shared" si="1000"/>
        <v>-0.3380725868725869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39.799999999999997</v>
      </c>
      <c r="V1731" s="13">
        <f>IF(ISNA(VLOOKUP(LOWER(F1731)&amp;H1731,Prices!A:C,2,0)),0,VLOOKUP(LOWER(F1731)&amp;H1731,Prices!A:C,2,0))</f>
        <v>41.55</v>
      </c>
      <c r="W1731" s="13">
        <f t="shared" si="998"/>
        <v>-26343.154999999995</v>
      </c>
      <c r="X1731" s="13">
        <f t="shared" si="999"/>
        <v>-4375</v>
      </c>
      <c r="Y1731" s="43">
        <f t="shared" si="1000"/>
        <v>-0.33936431561996772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34.53</v>
      </c>
      <c r="V1732" s="8">
        <f>IF(ISNA(VLOOKUP(LOWER(F1732)&amp;H1732,Prices!A:C,2,0)),0,VLOOKUP(LOWER(F1732)&amp;H1732,Prices!A:C,2,0))</f>
        <v>34.08</v>
      </c>
      <c r="W1732" s="8">
        <f t="shared" si="998"/>
        <v>-24428.531459999987</v>
      </c>
      <c r="X1732" s="8">
        <f t="shared" si="999"/>
        <v>1485.0000000000093</v>
      </c>
      <c r="Y1732" s="57">
        <f t="shared" si="1000"/>
        <v>-0.27714658520812757</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33.22</v>
      </c>
      <c r="V1733" s="13">
        <f>IF(ISNA(VLOOKUP(LOWER(F1733)&amp;H1733,Prices!A:C,2,0)),0,VLOOKUP(LOWER(F1733)&amp;H1733,Prices!A:C,2,0))</f>
        <v>33.1</v>
      </c>
      <c r="W1733" s="13">
        <f t="shared" si="998"/>
        <v>-10452.608480000015</v>
      </c>
      <c r="X1733" s="13">
        <f t="shared" si="999"/>
        <v>383.99999999999181</v>
      </c>
      <c r="Y1733" s="43">
        <f t="shared" si="1000"/>
        <v>-0.10935521091396065</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12.86</v>
      </c>
      <c r="V1734" s="13">
        <f>IF(ISNA(VLOOKUP(LOWER(F1734)&amp;H1734,Prices!A:C,2,0)),0,VLOOKUP(LOWER(F1734)&amp;H1734,Prices!A:C,2,0))</f>
        <v>12.74</v>
      </c>
      <c r="W1734" s="13">
        <f t="shared" si="998"/>
        <v>1750.160000000001</v>
      </c>
      <c r="X1734" s="13">
        <f t="shared" si="999"/>
        <v>-479.99999999999687</v>
      </c>
      <c r="Y1734" s="43">
        <f t="shared" si="1000"/>
        <v>3.5572357723577253E-2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39.799999999999997</v>
      </c>
      <c r="V1735" s="13">
        <f>IF(ISNA(VLOOKUP(LOWER(F1735)&amp;H1735,Prices!A:C,2,0)),0,VLOOKUP(LOWER(F1735)&amp;H1735,Prices!A:C,2,0))</f>
        <v>41.55</v>
      </c>
      <c r="W1735" s="13">
        <f t="shared" si="998"/>
        <v>-16644.886999999995</v>
      </c>
      <c r="X1735" s="13">
        <f t="shared" si="999"/>
        <v>-2625</v>
      </c>
      <c r="Y1735" s="43">
        <f t="shared" si="1000"/>
        <v>-0.36394199190991572</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27.36</v>
      </c>
      <c r="V1736" s="13">
        <f>IF(ISNA(VLOOKUP(LOWER(F1736)&amp;H1736,Prices!A:C,2,0)),0,VLOOKUP(LOWER(F1736)&amp;H1736,Prices!A:C,2,0))</f>
        <v>25.09</v>
      </c>
      <c r="W1736" s="13">
        <f t="shared" si="998"/>
        <v>-1090.2726000000005</v>
      </c>
      <c r="X1736" s="13">
        <f t="shared" si="999"/>
        <v>-1134.9999999999998</v>
      </c>
      <c r="Y1736" s="43">
        <f t="shared" si="1000"/>
        <v>-7.9990652971386675E-2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27.36</v>
      </c>
      <c r="V1737" s="13">
        <f>IF(ISNA(VLOOKUP(LOWER(F1737)&amp;H1737,Prices!A:C,2,0)),0,VLOOKUP(LOWER(F1737)&amp;H1737,Prices!A:C,2,0))</f>
        <v>25.09</v>
      </c>
      <c r="W1737" s="13">
        <f t="shared" si="998"/>
        <v>-1120.2731999999996</v>
      </c>
      <c r="X1737" s="13">
        <f t="shared" si="999"/>
        <v>-1134.9999999999998</v>
      </c>
      <c r="Y1737" s="43">
        <f t="shared" si="1000"/>
        <v>-8.2011215226939937E-2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27.36</v>
      </c>
      <c r="V1738" s="13">
        <f>IF(ISNA(VLOOKUP(LOWER(F1738)&amp;H1738,Prices!A:C,2,0)),0,VLOOKUP(LOWER(F1738)&amp;H1738,Prices!A:C,2,0))</f>
        <v>25.09</v>
      </c>
      <c r="W1738" s="13">
        <f t="shared" si="998"/>
        <v>-1130.2734</v>
      </c>
      <c r="X1738" s="13">
        <f t="shared" si="999"/>
        <v>-1134.9999999999998</v>
      </c>
      <c r="Y1738" s="43">
        <f t="shared" si="1000"/>
        <v>-8.2682765179224585E-2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27.36</v>
      </c>
      <c r="V1739" s="13">
        <f>IF(ISNA(VLOOKUP(LOWER(F1739)&amp;H1739,Prices!A:C,2,0)),0,VLOOKUP(LOWER(F1739)&amp;H1739,Prices!A:C,2,0))</f>
        <v>25.09</v>
      </c>
      <c r="W1739" s="13">
        <f t="shared" si="998"/>
        <v>-1140.2736000000004</v>
      </c>
      <c r="X1739" s="13">
        <f t="shared" si="999"/>
        <v>-1134.9999999999998</v>
      </c>
      <c r="Y1739" s="43">
        <f t="shared" si="1000"/>
        <v>-8.3353333333333363E-2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27.36</v>
      </c>
      <c r="V1740" s="13">
        <f>IF(ISNA(VLOOKUP(LOWER(F1740)&amp;H1740,Prices!A:C,2,0)),0,VLOOKUP(LOWER(F1740)&amp;H1740,Prices!A:C,2,0))</f>
        <v>25.09</v>
      </c>
      <c r="W1740" s="13">
        <f t="shared" si="998"/>
        <v>-1151.2738200000001</v>
      </c>
      <c r="X1740" s="13">
        <f t="shared" si="999"/>
        <v>-1134.9999999999998</v>
      </c>
      <c r="Y1740" s="43">
        <f t="shared" si="1000"/>
        <v>-8.4089826893579731E-2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27.36</v>
      </c>
      <c r="V1741" s="13">
        <f>IF(ISNA(VLOOKUP(LOWER(F1741)&amp;H1741,Prices!A:C,2,0)),0,VLOOKUP(LOWER(F1741)&amp;H1741,Prices!A:C,2,0))</f>
        <v>25.09</v>
      </c>
      <c r="W1741" s="13">
        <f t="shared" si="998"/>
        <v>-1160.2739999999994</v>
      </c>
      <c r="X1741" s="13">
        <f t="shared" si="999"/>
        <v>-1134.9999999999998</v>
      </c>
      <c r="Y1741" s="43">
        <f t="shared" si="1000"/>
        <v>-8.4691532846715281E-2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27.36</v>
      </c>
      <c r="V1742" s="13">
        <f>IF(ISNA(VLOOKUP(LOWER(F1742)&amp;H1742,Prices!A:C,2,0)),0,VLOOKUP(LOWER(F1742)&amp;H1742,Prices!A:C,2,0))</f>
        <v>25.09</v>
      </c>
      <c r="W1742" s="13">
        <f t="shared" si="998"/>
        <v>-2336.0324000000005</v>
      </c>
      <c r="X1742" s="13">
        <f t="shared" si="999"/>
        <v>-2269.9999999999995</v>
      </c>
      <c r="Y1742" s="43">
        <f t="shared" si="1000"/>
        <v>-8.5194471188913226E-2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27.36</v>
      </c>
      <c r="V1743" s="13">
        <f>IF(ISNA(VLOOKUP(LOWER(F1743)&amp;H1743,Prices!A:C,2,0)),0,VLOOKUP(LOWER(F1743)&amp;H1743,Prices!A:C,2,0))</f>
        <v>25.09</v>
      </c>
      <c r="W1743" s="13">
        <f t="shared" si="998"/>
        <v>-2386.0433999999982</v>
      </c>
      <c r="X1743" s="13">
        <f t="shared" si="999"/>
        <v>-2269.9999999999995</v>
      </c>
      <c r="Y1743" s="43">
        <f t="shared" si="1000"/>
        <v>-8.6859970877320641E-2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27.36</v>
      </c>
      <c r="V1744" s="13">
        <f>IF(ISNA(VLOOKUP(LOWER(F1744)&amp;H1744,Prices!A:C,2,0)),0,VLOOKUP(LOWER(F1744)&amp;H1744,Prices!A:C,2,0))</f>
        <v>25.09</v>
      </c>
      <c r="W1744" s="13">
        <f t="shared" si="998"/>
        <v>-2174.4949999999981</v>
      </c>
      <c r="X1744" s="13">
        <f t="shared" si="999"/>
        <v>-2042.9999999999995</v>
      </c>
      <c r="Y1744" s="43">
        <f t="shared" si="1000"/>
        <v>-8.7858383838383763E-2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27.36</v>
      </c>
      <c r="V1745" s="13">
        <f>IF(ISNA(VLOOKUP(LOWER(F1745)&amp;H1745,Prices!A:C,2,0)),0,VLOOKUP(LOWER(F1745)&amp;H1745,Prices!A:C,2,0))</f>
        <v>25.09</v>
      </c>
      <c r="W1745" s="13">
        <f t="shared" si="998"/>
        <v>-2147.4944600000003</v>
      </c>
      <c r="X1745" s="13">
        <f t="shared" si="999"/>
        <v>-2042.9999999999995</v>
      </c>
      <c r="Y1745" s="43">
        <f t="shared" si="1000"/>
        <v>-8.6862211705699161E-2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27.36</v>
      </c>
      <c r="V1746" s="13">
        <f>IF(ISNA(VLOOKUP(LOWER(F1746)&amp;H1746,Prices!A:C,2,0)),0,VLOOKUP(LOWER(F1746)&amp;H1746,Prices!A:C,2,0))</f>
        <v>25.09</v>
      </c>
      <c r="W1746" s="13">
        <f t="shared" si="998"/>
        <v>-2129.4940999999999</v>
      </c>
      <c r="X1746" s="13">
        <f t="shared" si="999"/>
        <v>-2042.9999999999995</v>
      </c>
      <c r="Y1746" s="43">
        <f t="shared" si="1000"/>
        <v>-8.6196887269783445E-2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27.36</v>
      </c>
      <c r="V1747" s="13">
        <f>IF(ISNA(VLOOKUP(LOWER(F1747)&amp;H1747,Prices!A:C,2,0)),0,VLOOKUP(LOWER(F1747)&amp;H1747,Prices!A:C,2,0))</f>
        <v>25.09</v>
      </c>
      <c r="W1747" s="13">
        <f t="shared" si="998"/>
        <v>-2526.0742</v>
      </c>
      <c r="X1747" s="13">
        <f t="shared" si="999"/>
        <v>-2269.9999999999995</v>
      </c>
      <c r="Y1747" s="43">
        <f t="shared" si="1000"/>
        <v>-9.1491278522274538E-2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27.36</v>
      </c>
      <c r="V1748" s="13">
        <f>IF(ISNA(VLOOKUP(LOWER(F1748)&amp;H1748,Prices!A:C,2,0)),0,VLOOKUP(LOWER(F1748)&amp;H1748,Prices!A:C,2,0))</f>
        <v>25.09</v>
      </c>
      <c r="W1748" s="13">
        <f t="shared" si="998"/>
        <v>-1315.2770999999993</v>
      </c>
      <c r="X1748" s="13">
        <f t="shared" si="999"/>
        <v>-1134.9999999999998</v>
      </c>
      <c r="Y1748" s="43">
        <f t="shared" si="1000"/>
        <v>-9.4931584265608035E-2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29.38</v>
      </c>
      <c r="V1749" s="13">
        <f>IF(ISNA(VLOOKUP(LOWER(F1749)&amp;H1749,Prices!A:C,2,0)),0,VLOOKUP(LOWER(F1749)&amp;H1749,Prices!A:C,2,0))</f>
        <v>30.53</v>
      </c>
      <c r="W1749" s="13">
        <f t="shared" si="998"/>
        <v>-17313.436000000002</v>
      </c>
      <c r="X1749" s="13">
        <f t="shared" si="999"/>
        <v>-2300.0000000000041</v>
      </c>
      <c r="Y1749" s="43">
        <f t="shared" si="1000"/>
        <v>-0.3952839269406393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28.66</v>
      </c>
      <c r="V1750" s="8">
        <f>IF(ISNA(VLOOKUP(LOWER(F1750)&amp;H1750,Prices!A:C,2,0)),0,VLOOKUP(LOWER(F1750)&amp;H1750,Prices!A:C,2,0))</f>
        <v>28.37</v>
      </c>
      <c r="W1750" s="8">
        <f t="shared" ref="W1750:W1765" si="1009">IF(I1750="B",(V1750+T1750)*K1750,(V1750+T1750)*K1750)</f>
        <v>-3459.2164800000037</v>
      </c>
      <c r="X1750" s="8">
        <f t="shared" ref="X1750:X1765" si="1010">K1750*(V1750-U1750)</f>
        <v>463.99999999999864</v>
      </c>
      <c r="Y1750" s="57">
        <f t="shared" ref="Y1750:Y1765" si="1011">W1750/O1750</f>
        <v>-8.2393685213414725E-2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27.36</v>
      </c>
      <c r="V1751" s="13">
        <f>IF(ISNA(VLOOKUP(LOWER(F1751)&amp;H1751,Prices!A:C,2,0)),0,VLOOKUP(LOWER(F1751)&amp;H1751,Prices!A:C,2,0))</f>
        <v>25.09</v>
      </c>
      <c r="W1751" s="13">
        <f t="shared" si="1009"/>
        <v>5332.1923999999963</v>
      </c>
      <c r="X1751" s="13">
        <f t="shared" si="1010"/>
        <v>4539.9999999999991</v>
      </c>
      <c r="Y1751" s="43">
        <f t="shared" si="1011"/>
        <v>9.5937250809643687E-2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27.36</v>
      </c>
      <c r="V1752" s="13">
        <f>IF(ISNA(VLOOKUP(LOWER(F1752)&amp;H1752,Prices!A:C,2,0)),0,VLOOKUP(LOWER(F1752)&amp;H1752,Prices!A:C,2,0))</f>
        <v>25.09</v>
      </c>
      <c r="W1752" s="13">
        <f t="shared" si="1009"/>
        <v>4932.6803999999956</v>
      </c>
      <c r="X1752" s="13">
        <f t="shared" si="1010"/>
        <v>4539.9999999999991</v>
      </c>
      <c r="Y1752" s="43">
        <f t="shared" si="1011"/>
        <v>8.9392540775643264E-2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12.86</v>
      </c>
      <c r="V1753" s="13">
        <f>IF(ISNA(VLOOKUP(LOWER(F1753)&amp;H1753,Prices!A:C,2,0)),0,VLOOKUP(LOWER(F1753)&amp;H1753,Prices!A:C,2,0))</f>
        <v>12.74</v>
      </c>
      <c r="W1753" s="13">
        <f t="shared" si="1009"/>
        <v>-3034.680199999998</v>
      </c>
      <c r="X1753" s="13">
        <f t="shared" si="1010"/>
        <v>323.9999999999979</v>
      </c>
      <c r="Y1753" s="43">
        <f t="shared" si="1011"/>
        <v>-9.6642788446227756E-2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12.86</v>
      </c>
      <c r="V1754" s="13">
        <f>IF(ISNA(VLOOKUP(LOWER(F1754)&amp;H1754,Prices!A:C,2,0)),0,VLOOKUP(LOWER(F1754)&amp;H1754,Prices!A:C,2,0))</f>
        <v>12.74</v>
      </c>
      <c r="W1754" s="13">
        <f t="shared" si="1009"/>
        <v>-2268.2400000000021</v>
      </c>
      <c r="X1754" s="13">
        <f t="shared" si="1010"/>
        <v>239.99999999999844</v>
      </c>
      <c r="Y1754" s="43">
        <f t="shared" si="1011"/>
        <v>-9.7600688468158434E-2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12.86</v>
      </c>
      <c r="V1755" s="13">
        <f>IF(ISNA(VLOOKUP(LOWER(F1755)&amp;H1755,Prices!A:C,2,0)),0,VLOOKUP(LOWER(F1755)&amp;H1755,Prices!A:C,2,0))</f>
        <v>12.74</v>
      </c>
      <c r="W1755" s="13">
        <f t="shared" si="1009"/>
        <v>-2308.200000000003</v>
      </c>
      <c r="X1755" s="13">
        <f t="shared" si="1010"/>
        <v>239.99999999999844</v>
      </c>
      <c r="Y1755" s="43">
        <f t="shared" si="1011"/>
        <v>-9.9491379310344963E-2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12.86</v>
      </c>
      <c r="V1756" s="13">
        <f>IF(ISNA(VLOOKUP(LOWER(F1756)&amp;H1756,Prices!A:C,2,0)),0,VLOOKUP(LOWER(F1756)&amp;H1756,Prices!A:C,2,0))</f>
        <v>12.74</v>
      </c>
      <c r="W1756" s="13">
        <f t="shared" si="1009"/>
        <v>-2328.1799999999998</v>
      </c>
      <c r="X1756" s="13">
        <f t="shared" si="1010"/>
        <v>239.99999999999844</v>
      </c>
      <c r="Y1756" s="43">
        <f t="shared" si="1011"/>
        <v>-0.10043917169974115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12.86</v>
      </c>
      <c r="V1757" s="13">
        <f>IF(ISNA(VLOOKUP(LOWER(F1757)&amp;H1757,Prices!A:C,2,0)),0,VLOOKUP(LOWER(F1757)&amp;H1757,Prices!A:C,2,0))</f>
        <v>12.74</v>
      </c>
      <c r="W1757" s="13">
        <f t="shared" si="1009"/>
        <v>-2348.16</v>
      </c>
      <c r="X1757" s="13">
        <f t="shared" si="1010"/>
        <v>239.99999999999844</v>
      </c>
      <c r="Y1757" s="43">
        <f t="shared" si="1011"/>
        <v>-0.10138860103626943</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12.86</v>
      </c>
      <c r="V1758" s="13">
        <f>IF(ISNA(VLOOKUP(LOWER(F1758)&amp;H1758,Prices!A:C,2,0)),0,VLOOKUP(LOWER(F1758)&amp;H1758,Prices!A:C,2,0))</f>
        <v>12.74</v>
      </c>
      <c r="W1758" s="13">
        <f t="shared" si="1009"/>
        <v>-2388.1200000000008</v>
      </c>
      <c r="X1758" s="13">
        <f t="shared" si="1010"/>
        <v>239.99999999999844</v>
      </c>
      <c r="Y1758" s="43">
        <f t="shared" si="1011"/>
        <v>-0.10329238754325262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12.86</v>
      </c>
      <c r="V1759" s="13">
        <f>IF(ISNA(VLOOKUP(LOWER(F1759)&amp;H1759,Prices!A:C,2,0)),0,VLOOKUP(LOWER(F1759)&amp;H1759,Prices!A:C,2,0))</f>
        <v>12.74</v>
      </c>
      <c r="W1759" s="13">
        <f t="shared" si="1009"/>
        <v>-2408.0999999999976</v>
      </c>
      <c r="X1759" s="13">
        <f t="shared" si="1010"/>
        <v>239.99999999999844</v>
      </c>
      <c r="Y1759" s="43">
        <f t="shared" si="1011"/>
        <v>-0.10424675324675314</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12.86</v>
      </c>
      <c r="V1760" s="13">
        <f>IF(ISNA(VLOOKUP(LOWER(F1760)&amp;H1760,Prices!A:C,2,0)),0,VLOOKUP(LOWER(F1760)&amp;H1760,Prices!A:C,2,0))</f>
        <v>12.74</v>
      </c>
      <c r="W1760" s="13">
        <f t="shared" si="1009"/>
        <v>-2448.0600000000018</v>
      </c>
      <c r="X1760" s="13">
        <f t="shared" si="1010"/>
        <v>239.99999999999844</v>
      </c>
      <c r="Y1760" s="43">
        <f t="shared" si="1011"/>
        <v>-0.10616045099739817</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12.86</v>
      </c>
      <c r="V1761" s="13">
        <f>IF(ISNA(VLOOKUP(LOWER(F1761)&amp;H1761,Prices!A:C,2,0)),0,VLOOKUP(LOWER(F1761)&amp;H1761,Prices!A:C,2,0))</f>
        <v>12.74</v>
      </c>
      <c r="W1761" s="13">
        <f t="shared" si="1009"/>
        <v>-2468.0400000000018</v>
      </c>
      <c r="X1761" s="13">
        <f t="shared" si="1010"/>
        <v>239.99999999999844</v>
      </c>
      <c r="Y1761" s="43">
        <f t="shared" si="1011"/>
        <v>-0.10711979166666674</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27.36</v>
      </c>
      <c r="V1762" s="13">
        <f>IF(ISNA(VLOOKUP(LOWER(F1762)&amp;H1762,Prices!A:C,2,0)),0,VLOOKUP(LOWER(F1762)&amp;H1762,Prices!A:C,2,0))</f>
        <v>25.09</v>
      </c>
      <c r="W1762" s="13">
        <f t="shared" si="1009"/>
        <v>4852.7780000000075</v>
      </c>
      <c r="X1762" s="13">
        <f t="shared" si="1010"/>
        <v>4539.9999999999991</v>
      </c>
      <c r="Y1762" s="43">
        <f t="shared" si="1011"/>
        <v>8.807219600725967E-2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12.86</v>
      </c>
      <c r="V1763" s="13">
        <f>IF(ISNA(VLOOKUP(LOWER(F1763)&amp;H1763,Prices!A:C,2,0)),0,VLOOKUP(LOWER(F1763)&amp;H1763,Prices!A:C,2,0))</f>
        <v>12.74</v>
      </c>
      <c r="W1763" s="13">
        <f t="shared" si="1009"/>
        <v>-6169.1199999999926</v>
      </c>
      <c r="X1763" s="13">
        <f t="shared" si="1010"/>
        <v>599.99999999999613</v>
      </c>
      <c r="Y1763" s="43">
        <f t="shared" si="1011"/>
        <v>-0.10710277777777764</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27.36</v>
      </c>
      <c r="V1764" s="13">
        <f>IF(ISNA(VLOOKUP(LOWER(F1764)&amp;H1764,Prices!A:C,2,0)),0,VLOOKUP(LOWER(F1764)&amp;H1764,Prices!A:C,2,0))</f>
        <v>25.09</v>
      </c>
      <c r="W1764" s="13">
        <f t="shared" si="1009"/>
        <v>4892.7292000000052</v>
      </c>
      <c r="X1764" s="13">
        <f t="shared" si="1010"/>
        <v>4539.9999999999991</v>
      </c>
      <c r="Y1764" s="43">
        <f t="shared" si="1011"/>
        <v>8.8732847297787548E-2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28.66</v>
      </c>
      <c r="V1765" s="8">
        <f>IF(ISNA(VLOOKUP(LOWER(F1765)&amp;H1765,Prices!A:C,2,0)),0,VLOOKUP(LOWER(F1765)&amp;H1765,Prices!A:C,2,0))</f>
        <v>28.37</v>
      </c>
      <c r="W1765" s="8">
        <f t="shared" si="1009"/>
        <v>5347.3200999999981</v>
      </c>
      <c r="X1765" s="8">
        <f t="shared" si="1010"/>
        <v>-550.99999999999841</v>
      </c>
      <c r="Y1765" s="57">
        <f t="shared" si="1011"/>
        <v>0.11015181996086101</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39.799999999999997</v>
      </c>
      <c r="V1766" s="13">
        <f>IF(ISNA(VLOOKUP(LOWER(F1766)&amp;H1766,Prices!A:C,2,0)),0,VLOOKUP(LOWER(F1766)&amp;H1766,Prices!A:C,2,0))</f>
        <v>41.55</v>
      </c>
      <c r="W1766" s="13">
        <f t="shared" ref="W1766:W1804" si="1016">IF(I1766="B",(V1766+T1766)*K1766,(V1766+T1766)*K1766)</f>
        <v>6270.9999999999991</v>
      </c>
      <c r="X1766" s="13">
        <f t="shared" ref="X1766:X1804" si="1017">K1766*(V1766-U1766)</f>
        <v>1050</v>
      </c>
      <c r="Y1766" s="43">
        <f t="shared" ref="Y1766:Y1804" si="1018">W1766/O1766</f>
        <v>0.3361745470140452</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39.799999999999997</v>
      </c>
      <c r="V1767" s="13">
        <f>IF(ISNA(VLOOKUP(LOWER(F1767)&amp;H1767,Prices!A:C,2,0)),0,VLOOKUP(LOWER(F1767)&amp;H1767,Prices!A:C,2,0))</f>
        <v>41.55</v>
      </c>
      <c r="W1767" s="13">
        <f t="shared" si="1016"/>
        <v>6198.9999999999982</v>
      </c>
      <c r="X1767" s="13">
        <f t="shared" si="1017"/>
        <v>1050</v>
      </c>
      <c r="Y1767" s="43">
        <f t="shared" si="1018"/>
        <v>0.33103706077112027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55.5</v>
      </c>
      <c r="V1768" s="13">
        <f>IF(ISNA(VLOOKUP(LOWER(F1768)&amp;H1768,Prices!A:C,2,0)),0,VLOOKUP(LOWER(F1768)&amp;H1768,Prices!A:C,2,0))</f>
        <v>55.89</v>
      </c>
      <c r="W1768" s="13">
        <f t="shared" si="1016"/>
        <v>13633.000000000002</v>
      </c>
      <c r="X1768" s="13">
        <f t="shared" si="1017"/>
        <v>234.00000000000034</v>
      </c>
      <c r="Y1768" s="43">
        <f t="shared" si="1018"/>
        <v>0.68521310816244496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55.5</v>
      </c>
      <c r="V1769" s="13">
        <f>IF(ISNA(VLOOKUP(LOWER(F1769)&amp;H1769,Prices!A:C,2,0)),0,VLOOKUP(LOWER(F1769)&amp;H1769,Prices!A:C,2,0))</f>
        <v>55.89</v>
      </c>
      <c r="W1769" s="13">
        <f t="shared" si="1016"/>
        <v>13597.000000000002</v>
      </c>
      <c r="X1769" s="13">
        <f t="shared" si="1017"/>
        <v>234.00000000000034</v>
      </c>
      <c r="Y1769" s="43">
        <f t="shared" si="1018"/>
        <v>0.68216937587798521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58.24</v>
      </c>
      <c r="V1770" s="8">
        <f>IF(ISNA(VLOOKUP(LOWER(F1770)&amp;H1770,Prices!A:C,2,0)),0,VLOOKUP(LOWER(F1770)&amp;H1770,Prices!A:C,2,0))</f>
        <v>58.82</v>
      </c>
      <c r="W1770" s="8">
        <f t="shared" si="1016"/>
        <v>5063</v>
      </c>
      <c r="X1770" s="8">
        <f t="shared" si="1017"/>
        <v>231.99999999999932</v>
      </c>
      <c r="Y1770" s="57">
        <f t="shared" si="1018"/>
        <v>0.27426868905742147</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55.5</v>
      </c>
      <c r="V1771" s="13">
        <f>IF(ISNA(VLOOKUP(LOWER(F1771)&amp;H1771,Prices!A:C,2,0)),0,VLOOKUP(LOWER(F1771)&amp;H1771,Prices!A:C,2,0))</f>
        <v>55.89</v>
      </c>
      <c r="W1771" s="13">
        <f t="shared" si="1016"/>
        <v>13566.999999999998</v>
      </c>
      <c r="X1771" s="13">
        <f t="shared" si="1017"/>
        <v>234.00000000000034</v>
      </c>
      <c r="Y1771" s="43">
        <f t="shared" si="1018"/>
        <v>0.67964131850515963</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58.24</v>
      </c>
      <c r="V1772" s="8">
        <f>IF(ISNA(VLOOKUP(LOWER(F1772)&amp;H1772,Prices!A:C,2,0)),0,VLOOKUP(LOWER(F1772)&amp;H1772,Prices!A:C,2,0))</f>
        <v>58.82</v>
      </c>
      <c r="W1772" s="8">
        <f t="shared" si="1016"/>
        <v>5003</v>
      </c>
      <c r="X1772" s="8">
        <f t="shared" si="1017"/>
        <v>231.99999999999932</v>
      </c>
      <c r="Y1772" s="57">
        <f t="shared" si="1018"/>
        <v>0.27014038876889851</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58.24</v>
      </c>
      <c r="V1773" s="8">
        <f>IF(ISNA(VLOOKUP(LOWER(F1773)&amp;H1773,Prices!A:C,2,0)),0,VLOOKUP(LOWER(F1773)&amp;H1773,Prices!A:C,2,0))</f>
        <v>58.82</v>
      </c>
      <c r="W1773" s="8">
        <f t="shared" si="1016"/>
        <v>4966.9999999999991</v>
      </c>
      <c r="X1773" s="8">
        <f t="shared" si="1017"/>
        <v>231.99999999999932</v>
      </c>
      <c r="Y1773" s="57">
        <f t="shared" si="1018"/>
        <v>0.26767622332399221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55.5</v>
      </c>
      <c r="V1774" s="13">
        <f>IF(ISNA(VLOOKUP(LOWER(F1774)&amp;H1774,Prices!A:C,2,0)),0,VLOOKUP(LOWER(F1774)&amp;H1774,Prices!A:C,2,0))</f>
        <v>55.89</v>
      </c>
      <c r="W1774" s="13">
        <f t="shared" si="1016"/>
        <v>13561</v>
      </c>
      <c r="X1774" s="13">
        <f t="shared" si="1017"/>
        <v>234.00000000000034</v>
      </c>
      <c r="Y1774" s="43">
        <f t="shared" si="1018"/>
        <v>0.67913661858974361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55.5</v>
      </c>
      <c r="V1775" s="13">
        <f>IF(ISNA(VLOOKUP(LOWER(F1775)&amp;H1775,Prices!A:C,2,0)),0,VLOOKUP(LOWER(F1775)&amp;H1775,Prices!A:C,2,0))</f>
        <v>55.89</v>
      </c>
      <c r="W1775" s="13">
        <f t="shared" si="1016"/>
        <v>11219.999999999998</v>
      </c>
      <c r="X1775" s="13">
        <f t="shared" si="1017"/>
        <v>195.00000000000028</v>
      </c>
      <c r="Y1775" s="43">
        <f t="shared" si="1018"/>
        <v>0.67105263157894723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55.5</v>
      </c>
      <c r="V1776" s="13">
        <f>IF(ISNA(VLOOKUP(LOWER(F1776)&amp;H1776,Prices!A:C,2,0)),0,VLOOKUP(LOWER(F1776)&amp;H1776,Prices!A:C,2,0))</f>
        <v>55.89</v>
      </c>
      <c r="W1776" s="13">
        <f t="shared" si="1016"/>
        <v>11210</v>
      </c>
      <c r="X1776" s="13">
        <f t="shared" si="1017"/>
        <v>195.00000000000028</v>
      </c>
      <c r="Y1776" s="43">
        <f t="shared" si="1018"/>
        <v>0.67005379557680811</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39.799999999999997</v>
      </c>
      <c r="V1777" s="13">
        <f>IF(ISNA(VLOOKUP(LOWER(F1777)&amp;H1777,Prices!A:C,2,0)),0,VLOOKUP(LOWER(F1777)&amp;H1777,Prices!A:C,2,0))</f>
        <v>41.55</v>
      </c>
      <c r="W1777" s="13">
        <f t="shared" si="1016"/>
        <v>6180.9999999999973</v>
      </c>
      <c r="X1777" s="13">
        <f t="shared" si="1017"/>
        <v>1050</v>
      </c>
      <c r="Y1777" s="43">
        <f t="shared" si="1018"/>
        <v>0.32975885616730671</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27.36</v>
      </c>
      <c r="V1778" s="13">
        <f>IF(ISNA(VLOOKUP(LOWER(F1778)&amp;H1778,Prices!A:C,2,0)),0,VLOOKUP(LOWER(F1778)&amp;H1778,Prices!A:C,2,0))</f>
        <v>25.09</v>
      </c>
      <c r="W1778" s="13">
        <f t="shared" si="1016"/>
        <v>-1601.3831800000016</v>
      </c>
      <c r="X1778" s="13">
        <f t="shared" si="1017"/>
        <v>-1588.9999999999998</v>
      </c>
      <c r="Y1778" s="43">
        <f t="shared" si="1018"/>
        <v>-8.3583860326739479E-2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55.5</v>
      </c>
      <c r="V1779" s="13">
        <f>IF(ISNA(VLOOKUP(LOWER(F1779)&amp;H1779,Prices!A:C,2,0)),0,VLOOKUP(LOWER(F1779)&amp;H1779,Prices!A:C,2,0))</f>
        <v>55.89</v>
      </c>
      <c r="W1779" s="13">
        <f t="shared" si="1016"/>
        <v>11260.000000000002</v>
      </c>
      <c r="X1779" s="13">
        <f t="shared" si="1017"/>
        <v>195.00000000000028</v>
      </c>
      <c r="Y1779" s="43">
        <f t="shared" si="1018"/>
        <v>0.67505995203836944</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27.36</v>
      </c>
      <c r="V1780" s="13">
        <f>IF(ISNA(VLOOKUP(LOWER(F1780)&amp;H1780,Prices!A:C,2,0)),0,VLOOKUP(LOWER(F1780)&amp;H1780,Prices!A:C,2,0))</f>
        <v>25.09</v>
      </c>
      <c r="W1780" s="13">
        <f t="shared" si="1016"/>
        <v>-1594.3830400000013</v>
      </c>
      <c r="X1780" s="13">
        <f t="shared" si="1017"/>
        <v>-1588.9999999999998</v>
      </c>
      <c r="Y1780" s="43">
        <f t="shared" si="1018"/>
        <v>-8.3248905597326714E-2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58.24</v>
      </c>
      <c r="V1781" s="8">
        <f>IF(ISNA(VLOOKUP(LOWER(F1781)&amp;H1781,Prices!A:C,2,0)),0,VLOOKUP(LOWER(F1781)&amp;H1781,Prices!A:C,2,0))</f>
        <v>58.82</v>
      </c>
      <c r="W1781" s="8">
        <f t="shared" si="1016"/>
        <v>4903</v>
      </c>
      <c r="X1781" s="8">
        <f t="shared" si="1017"/>
        <v>231.99999999999932</v>
      </c>
      <c r="Y1781" s="57">
        <f t="shared" si="1018"/>
        <v>0.26331901181525241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55.5</v>
      </c>
      <c r="V1782" s="13">
        <f>IF(ISNA(VLOOKUP(LOWER(F1782)&amp;H1782,Prices!A:C,2,0)),0,VLOOKUP(LOWER(F1782)&amp;H1782,Prices!A:C,2,0))</f>
        <v>55.89</v>
      </c>
      <c r="W1782" s="13">
        <f t="shared" si="1016"/>
        <v>11240.000000000002</v>
      </c>
      <c r="X1782" s="13">
        <f t="shared" si="1017"/>
        <v>195.00000000000028</v>
      </c>
      <c r="Y1782" s="43">
        <f t="shared" si="1018"/>
        <v>0.67305389221556899</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27.36</v>
      </c>
      <c r="V1783" s="13">
        <f>IF(ISNA(VLOOKUP(LOWER(F1783)&amp;H1783,Prices!A:C,2,0)),0,VLOOKUP(LOWER(F1783)&amp;H1783,Prices!A:C,2,0))</f>
        <v>25.09</v>
      </c>
      <c r="W1783" s="13">
        <f t="shared" si="1016"/>
        <v>-1608.383320000002</v>
      </c>
      <c r="X1783" s="13">
        <f t="shared" si="1017"/>
        <v>-1588.9999999999998</v>
      </c>
      <c r="Y1783" s="43">
        <f t="shared" si="1018"/>
        <v>-8.391857038505697E-2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55.5</v>
      </c>
      <c r="V1784" s="13">
        <f>IF(ISNA(VLOOKUP(LOWER(F1784)&amp;H1784,Prices!A:C,2,0)),0,VLOOKUP(LOWER(F1784)&amp;H1784,Prices!A:C,2,0))</f>
        <v>55.89</v>
      </c>
      <c r="W1784" s="13">
        <f t="shared" si="1016"/>
        <v>13591.000000000002</v>
      </c>
      <c r="X1784" s="13">
        <f t="shared" si="1017"/>
        <v>234.00000000000034</v>
      </c>
      <c r="Y1784" s="43">
        <f t="shared" si="1018"/>
        <v>0.68166315578292724</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55.5</v>
      </c>
      <c r="V1785" s="13">
        <f>IF(ISNA(VLOOKUP(LOWER(F1785)&amp;H1785,Prices!A:C,2,0)),0,VLOOKUP(LOWER(F1785)&amp;H1785,Prices!A:C,2,0))</f>
        <v>55.89</v>
      </c>
      <c r="W1785" s="13">
        <f t="shared" si="1016"/>
        <v>13615.000000000002</v>
      </c>
      <c r="X1785" s="13">
        <f t="shared" si="1017"/>
        <v>234.00000000000034</v>
      </c>
      <c r="Y1785" s="43">
        <f t="shared" si="1018"/>
        <v>0.68368986642563034</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58.24</v>
      </c>
      <c r="V1786" s="8">
        <f>IF(ISNA(VLOOKUP(LOWER(F1786)&amp;H1786,Prices!A:C,2,0)),0,VLOOKUP(LOWER(F1786)&amp;H1786,Prices!A:C,2,0))</f>
        <v>58.82</v>
      </c>
      <c r="W1786" s="8">
        <f t="shared" si="1016"/>
        <v>4866.9999999999991</v>
      </c>
      <c r="X1786" s="8">
        <f t="shared" si="1017"/>
        <v>231.99999999999932</v>
      </c>
      <c r="Y1786" s="57">
        <f t="shared" si="1018"/>
        <v>0.26088121783876494</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39.799999999999997</v>
      </c>
      <c r="V1787" s="13">
        <f>IF(ISNA(VLOOKUP(LOWER(F1787)&amp;H1787,Prices!A:C,2,0)),0,VLOOKUP(LOWER(F1787)&amp;H1787,Prices!A:C,2,0))</f>
        <v>41.55</v>
      </c>
      <c r="W1787" s="13">
        <f t="shared" si="1016"/>
        <v>6216.9999999999991</v>
      </c>
      <c r="X1787" s="13">
        <f t="shared" si="1017"/>
        <v>1050</v>
      </c>
      <c r="Y1787" s="43">
        <f t="shared" si="1018"/>
        <v>0.33231772503741708</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55.5</v>
      </c>
      <c r="V1788" s="13">
        <f>IF(ISNA(VLOOKUP(LOWER(F1788)&amp;H1788,Prices!A:C,2,0)),0,VLOOKUP(LOWER(F1788)&amp;H1788,Prices!A:C,2,0))</f>
        <v>55.89</v>
      </c>
      <c r="W1788" s="13">
        <f t="shared" si="1016"/>
        <v>11195</v>
      </c>
      <c r="X1788" s="13">
        <f t="shared" si="1017"/>
        <v>195.00000000000028</v>
      </c>
      <c r="Y1788" s="43">
        <f t="shared" si="1018"/>
        <v>0.6685577784413258</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58.24</v>
      </c>
      <c r="V1789" s="8">
        <f>IF(ISNA(VLOOKUP(LOWER(F1789)&amp;H1789,Prices!A:C,2,0)),0,VLOOKUP(LOWER(F1789)&amp;H1789,Prices!A:C,2,0))</f>
        <v>58.82</v>
      </c>
      <c r="W1789" s="8">
        <f t="shared" si="1016"/>
        <v>4883.0000000000009</v>
      </c>
      <c r="X1789" s="8">
        <f t="shared" si="1017"/>
        <v>231.99999999999932</v>
      </c>
      <c r="Y1789" s="57">
        <f t="shared" si="1018"/>
        <v>0.26196351931330475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58.24</v>
      </c>
      <c r="V1790" s="8">
        <f>IF(ISNA(VLOOKUP(LOWER(F1790)&amp;H1790,Prices!A:C,2,0)),0,VLOOKUP(LOWER(F1790)&amp;H1790,Prices!A:C,2,0))</f>
        <v>58.82</v>
      </c>
      <c r="W1790" s="8">
        <f t="shared" si="1016"/>
        <v>4811.0000000000018</v>
      </c>
      <c r="X1790" s="8">
        <f t="shared" si="1017"/>
        <v>231.99999999999932</v>
      </c>
      <c r="Y1790" s="57">
        <f t="shared" si="1018"/>
        <v>0.25710773834972223</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27.36</v>
      </c>
      <c r="V1791" s="13">
        <f>IF(ISNA(VLOOKUP(LOWER(F1791)&amp;H1791,Prices!A:C,2,0)),0,VLOOKUP(LOWER(F1791)&amp;H1791,Prices!A:C,2,0))</f>
        <v>25.09</v>
      </c>
      <c r="W1791" s="13">
        <f t="shared" si="1016"/>
        <v>-1615.3834600000021</v>
      </c>
      <c r="X1791" s="13">
        <f t="shared" si="1017"/>
        <v>-1588.9999999999998</v>
      </c>
      <c r="Y1791" s="43">
        <f t="shared" si="1018"/>
        <v>-8.4253036040265059E-2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27.36</v>
      </c>
      <c r="V1792" s="13">
        <f>IF(ISNA(VLOOKUP(LOWER(F1792)&amp;H1792,Prices!A:C,2,0)),0,VLOOKUP(LOWER(F1792)&amp;H1792,Prices!A:C,2,0))</f>
        <v>25.09</v>
      </c>
      <c r="W1792" s="13">
        <f t="shared" si="1016"/>
        <v>-1615.3834600000021</v>
      </c>
      <c r="X1792" s="13">
        <f t="shared" si="1017"/>
        <v>-1588.9999999999998</v>
      </c>
      <c r="Y1792" s="43">
        <f t="shared" si="1018"/>
        <v>-8.4253036040265059E-2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27.36</v>
      </c>
      <c r="V1793" s="13">
        <f>IF(ISNA(VLOOKUP(LOWER(F1793)&amp;H1793,Prices!A:C,2,0)),0,VLOOKUP(LOWER(F1793)&amp;H1793,Prices!A:C,2,0))</f>
        <v>25.09</v>
      </c>
      <c r="W1793" s="13">
        <f t="shared" si="1016"/>
        <v>-1692.3849999999973</v>
      </c>
      <c r="X1793" s="13">
        <f t="shared" si="1017"/>
        <v>-1588.9999999999998</v>
      </c>
      <c r="Y1793" s="43">
        <f t="shared" si="1018"/>
        <v>-8.7916103896103756E-2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55.5</v>
      </c>
      <c r="V1794" s="13">
        <f>IF(ISNA(VLOOKUP(LOWER(F1794)&amp;H1794,Prices!A:C,2,0)),0,VLOOKUP(LOWER(F1794)&amp;H1794,Prices!A:C,2,0))</f>
        <v>55.89</v>
      </c>
      <c r="W1794" s="13">
        <f t="shared" si="1016"/>
        <v>11090</v>
      </c>
      <c r="X1794" s="13">
        <f t="shared" si="1017"/>
        <v>195.00000000000028</v>
      </c>
      <c r="Y1794" s="43">
        <f t="shared" si="1018"/>
        <v>0.65816023738872409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58.24</v>
      </c>
      <c r="V1795" s="8">
        <f>IF(ISNA(VLOOKUP(LOWER(F1795)&amp;H1795,Prices!A:C,2,0)),0,VLOOKUP(LOWER(F1795)&amp;H1795,Prices!A:C,2,0))</f>
        <v>58.82</v>
      </c>
      <c r="W1795" s="8">
        <f t="shared" si="1016"/>
        <v>5949.9999999999991</v>
      </c>
      <c r="X1795" s="8">
        <f t="shared" si="1017"/>
        <v>289.99999999999915</v>
      </c>
      <c r="Y1795" s="57">
        <f t="shared" si="1018"/>
        <v>0.25367725431677679</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28.66</v>
      </c>
      <c r="V1796" s="8">
        <f>IF(ISNA(VLOOKUP(LOWER(F1796)&amp;H1796,Prices!A:C,2,0)),0,VLOOKUP(LOWER(F1796)&amp;H1796,Prices!A:C,2,0))</f>
        <v>28.37</v>
      </c>
      <c r="W1796" s="8">
        <f t="shared" si="1016"/>
        <v>2494.3086000000003</v>
      </c>
      <c r="X1796" s="8">
        <f t="shared" si="1017"/>
        <v>-289.99999999999915</v>
      </c>
      <c r="Y1796" s="57">
        <f t="shared" si="1018"/>
        <v>9.6417031310398152E-2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690.25</v>
      </c>
      <c r="V1797" s="13">
        <f>IF(ISNA(VLOOKUP(LOWER(F1797)&amp;H1797,Prices!A:C,2,0)),0,VLOOKUP(LOWER(F1797)&amp;H1797,Prices!A:C,2,0))</f>
        <v>679.15</v>
      </c>
      <c r="W1797" s="13">
        <f t="shared" si="1016"/>
        <v>20124.488400000002</v>
      </c>
      <c r="X1797" s="13">
        <f t="shared" si="1017"/>
        <v>-1110.0000000000023</v>
      </c>
      <c r="Y1797" s="43">
        <f t="shared" si="1018"/>
        <v>0.421190632063625</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58.24</v>
      </c>
      <c r="V1798" s="8">
        <f>IF(ISNA(VLOOKUP(LOWER(F1798)&amp;H1798,Prices!A:C,2,0)),0,VLOOKUP(LOWER(F1798)&amp;H1798,Prices!A:C,2,0))</f>
        <v>58.82</v>
      </c>
      <c r="W1798" s="8">
        <f t="shared" si="1016"/>
        <v>5920.9999999999991</v>
      </c>
      <c r="X1798" s="8">
        <f t="shared" si="1017"/>
        <v>289.99999999999915</v>
      </c>
      <c r="Y1798" s="57">
        <f t="shared" si="1018"/>
        <v>0.25212910918071874</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58.24</v>
      </c>
      <c r="V1799" s="8">
        <f>IF(ISNA(VLOOKUP(LOWER(F1799)&amp;H1799,Prices!A:C,2,0)),0,VLOOKUP(LOWER(F1799)&amp;H1799,Prices!A:C,2,0))</f>
        <v>58.82</v>
      </c>
      <c r="W1799" s="8">
        <f t="shared" si="1016"/>
        <v>5955.0000000000018</v>
      </c>
      <c r="X1799" s="8">
        <f t="shared" si="1017"/>
        <v>289.99999999999915</v>
      </c>
      <c r="Y1799" s="57">
        <f t="shared" si="1018"/>
        <v>0.25394456289978684</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39.799999999999997</v>
      </c>
      <c r="V1800" s="13">
        <f>IF(ISNA(VLOOKUP(LOWER(F1800)&amp;H1800,Prices!A:C,2,0)),0,VLOOKUP(LOWER(F1800)&amp;H1800,Prices!A:C,2,0))</f>
        <v>41.55</v>
      </c>
      <c r="W1800" s="13">
        <f t="shared" si="1016"/>
        <v>15395.615999999998</v>
      </c>
      <c r="X1800" s="13">
        <f t="shared" si="1017"/>
        <v>2625</v>
      </c>
      <c r="Y1800" s="43">
        <f t="shared" si="1018"/>
        <v>0.32812480818414319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39.799999999999997</v>
      </c>
      <c r="V1801" s="13">
        <f>IF(ISNA(VLOOKUP(LOWER(F1801)&amp;H1801,Prices!A:C,2,0)),0,VLOOKUP(LOWER(F1801)&amp;H1801,Prices!A:C,2,0))</f>
        <v>41.55</v>
      </c>
      <c r="W1801" s="13">
        <f t="shared" si="1016"/>
        <v>7190.9999999999991</v>
      </c>
      <c r="X1801" s="13">
        <f t="shared" si="1017"/>
        <v>1225</v>
      </c>
      <c r="Y1801" s="43">
        <f t="shared" si="1018"/>
        <v>0.32852117501941608</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55.5</v>
      </c>
      <c r="V1802" s="13">
        <f>IF(ISNA(VLOOKUP(LOWER(F1802)&amp;H1802,Prices!A:C,2,0)),0,VLOOKUP(LOWER(F1802)&amp;H1802,Prices!A:C,2,0))</f>
        <v>55.89</v>
      </c>
      <c r="W1802" s="13">
        <f t="shared" si="1016"/>
        <v>15387.300000000001</v>
      </c>
      <c r="X1802" s="13">
        <f t="shared" si="1017"/>
        <v>273.0000000000004</v>
      </c>
      <c r="Y1802" s="43">
        <f t="shared" si="1018"/>
        <v>0.64841323686195518</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27.36</v>
      </c>
      <c r="V1803" s="13">
        <f>IF(ISNA(VLOOKUP(LOWER(F1803)&amp;H1803,Prices!A:C,2,0)),0,VLOOKUP(LOWER(F1803)&amp;H1803,Prices!A:C,2,0))</f>
        <v>25.09</v>
      </c>
      <c r="W1803" s="13">
        <f t="shared" si="1016"/>
        <v>-2264.4968000000013</v>
      </c>
      <c r="X1803" s="13">
        <f t="shared" si="1017"/>
        <v>-2042.9999999999995</v>
      </c>
      <c r="Y1803" s="43">
        <f t="shared" si="1018"/>
        <v>-9.1163317230273808E-2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58.24</v>
      </c>
      <c r="V1804" s="8">
        <f>IF(ISNA(VLOOKUP(LOWER(F1804)&amp;H1804,Prices!A:C,2,0)),0,VLOOKUP(LOWER(F1804)&amp;H1804,Prices!A:C,2,0))</f>
        <v>58.82</v>
      </c>
      <c r="W1804" s="8">
        <f t="shared" si="1016"/>
        <v>5765.0000000000009</v>
      </c>
      <c r="X1804" s="8">
        <f t="shared" si="1017"/>
        <v>289.99999999999915</v>
      </c>
      <c r="Y1804" s="57">
        <f t="shared" si="1018"/>
        <v>0.24386632825719123</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58.24</v>
      </c>
      <c r="V1805" s="8">
        <f>IF(ISNA(VLOOKUP(LOWER(F1805)&amp;H1805,Prices!A:C,2,0)),0,VLOOKUP(LOWER(F1805)&amp;H1805,Prices!A:C,2,0))</f>
        <v>58.82</v>
      </c>
      <c r="W1805" s="8">
        <f t="shared" ref="W1805:W1810" si="1027">IF(I1805="B",(V1805+T1805)*K1805,(V1805+T1805)*K1805)</f>
        <v>-15711.9954</v>
      </c>
      <c r="X1805" s="8">
        <f t="shared" ref="X1805:X1810" si="1028">K1805*(V1805-U1805)</f>
        <v>-753.99999999999773</v>
      </c>
      <c r="Y1805" s="57">
        <f t="shared" ref="Y1805:Y1810" si="1029">W1805/O1805</f>
        <v>-0.25830626859782663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28.66</v>
      </c>
      <c r="V1806" s="8">
        <f>IF(ISNA(VLOOKUP(LOWER(F1806)&amp;H1806,Prices!A:C,2,0)),0,VLOOKUP(LOWER(F1806)&amp;H1806,Prices!A:C,2,0))</f>
        <v>28.37</v>
      </c>
      <c r="W1806" s="8">
        <f t="shared" si="1027"/>
        <v>-4743.5131999999958</v>
      </c>
      <c r="X1806" s="8">
        <f t="shared" si="1028"/>
        <v>579.99999999999829</v>
      </c>
      <c r="Y1806" s="57">
        <f t="shared" si="1029"/>
        <v>-9.1116273530541608E-2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34.53</v>
      </c>
      <c r="V1807" s="8">
        <f>IF(ISNA(VLOOKUP(LOWER(F1807)&amp;H1807,Prices!A:C,2,0)),0,VLOOKUP(LOWER(F1807)&amp;H1807,Prices!A:C,2,0))</f>
        <v>34.08</v>
      </c>
      <c r="W1807" s="8">
        <f t="shared" si="1027"/>
        <v>-15714.383480000002</v>
      </c>
      <c r="X1807" s="8">
        <f t="shared" si="1028"/>
        <v>990.00000000000625</v>
      </c>
      <c r="Y1807" s="57">
        <f t="shared" si="1029"/>
        <v>-0.264846183975461</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55.5</v>
      </c>
      <c r="V1808" s="13">
        <f>IF(ISNA(VLOOKUP(LOWER(F1808)&amp;H1808,Prices!A:C,2,0)),0,VLOOKUP(LOWER(F1808)&amp;H1808,Prices!A:C,2,0))</f>
        <v>55.89</v>
      </c>
      <c r="W1808" s="13">
        <f t="shared" si="1027"/>
        <v>-46797.500400000019</v>
      </c>
      <c r="X1808" s="13">
        <f t="shared" si="1028"/>
        <v>-858.00000000000125</v>
      </c>
      <c r="Y1808" s="43">
        <f t="shared" si="1029"/>
        <v>-0.61372161254786795</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39.799999999999997</v>
      </c>
      <c r="V1809" s="13">
        <f>IF(ISNA(VLOOKUP(LOWER(F1809)&amp;H1809,Prices!A:C,2,0)),0,VLOOKUP(LOWER(F1809)&amp;H1809,Prices!A:C,2,0))</f>
        <v>41.55</v>
      </c>
      <c r="W1809" s="13">
        <f t="shared" si="1027"/>
        <v>-20435.271999999994</v>
      </c>
      <c r="X1809" s="13">
        <f t="shared" si="1028"/>
        <v>-3850</v>
      </c>
      <c r="Y1809" s="43">
        <f t="shared" si="1029"/>
        <v>-0.28757770897832807</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58.24</v>
      </c>
      <c r="V1810" s="8">
        <f>IF(ISNA(VLOOKUP(LOWER(F1810)&amp;H1810,Prices!A:C,2,0)),0,VLOOKUP(LOWER(F1810)&amp;H1810,Prices!A:C,2,0))</f>
        <v>58.82</v>
      </c>
      <c r="W1810" s="8">
        <f t="shared" si="1027"/>
        <v>-18114.239999999991</v>
      </c>
      <c r="X1810" s="8">
        <f t="shared" si="1028"/>
        <v>-869.9999999999975</v>
      </c>
      <c r="Y1810" s="57">
        <f t="shared" si="1029"/>
        <v>-0.25803760683760668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27.36</v>
      </c>
      <c r="V1811" s="13">
        <f>IF(ISNA(VLOOKUP(LOWER(F1811)&amp;H1811,Prices!A:C,2,0)),0,VLOOKUP(LOWER(F1811)&amp;H1811,Prices!A:C,2,0))</f>
        <v>25.09</v>
      </c>
      <c r="W1811" s="13">
        <f>IF(I1811="B",(V1811+T1811)*K1811,(V1811+T1811)*K1811)</f>
        <v>1816.486800000007</v>
      </c>
      <c r="X1811" s="13">
        <f t="shared" ref="X1811:X1837" si="1034">K1811*(V1811-U1811)</f>
        <v>4539.9999999999991</v>
      </c>
      <c r="Y1811" s="43">
        <f t="shared" ref="Y1811:Y1837" si="1035">W1811/O1811</f>
        <v>3.4892178255858761E-2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55.5</v>
      </c>
      <c r="V1812" s="13">
        <f>IF(ISNA(VLOOKUP(LOWER(F1812)&amp;H1812,Prices!A:C,2,0)),0,VLOOKUP(LOWER(F1812)&amp;H1812,Prices!A:C,2,0))</f>
        <v>55.89</v>
      </c>
      <c r="W1812" s="13">
        <f>IF(I1812="B",(V1812+T1812)*K1812,(V1812+T1812)*K1812)</f>
        <v>-40225.967999999993</v>
      </c>
      <c r="X1812" s="13">
        <f t="shared" si="1034"/>
        <v>-780.00000000000114</v>
      </c>
      <c r="Y1812" s="43">
        <f t="shared" si="1035"/>
        <v>-0.56150150753768835</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34.53</v>
      </c>
      <c r="V1813" s="8">
        <f>IF(ISNA(VLOOKUP(LOWER(F1813)&amp;H1813,Prices!A:C,2,0)),0,VLOOKUP(LOWER(F1813)&amp;H1813,Prices!A:C,2,0))</f>
        <v>34.08</v>
      </c>
      <c r="W1813" s="8">
        <f t="shared" ref="W1813:W1837" si="1036">IF(I1813="B",(V1813+T1813)*K1813,(V1813+T1813)*K1813)</f>
        <v>-7292.7204000000002</v>
      </c>
      <c r="X1813" s="8">
        <f t="shared" si="1034"/>
        <v>450.00000000000284</v>
      </c>
      <c r="Y1813" s="57">
        <f t="shared" si="1035"/>
        <v>-0.27191351230425054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33.22</v>
      </c>
      <c r="V1814" s="13">
        <f>IF(ISNA(VLOOKUP(LOWER(F1814)&amp;H1814,Prices!A:C,2,0)),0,VLOOKUP(LOWER(F1814)&amp;H1814,Prices!A:C,2,0))</f>
        <v>33.1</v>
      </c>
      <c r="W1814" s="13">
        <f t="shared" si="1036"/>
        <v>-3740.1216000000031</v>
      </c>
      <c r="X1814" s="13">
        <f t="shared" si="1034"/>
        <v>191.99999999999591</v>
      </c>
      <c r="Y1814" s="43">
        <f t="shared" si="1035"/>
        <v>-7.5895324675324741E-2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28.66</v>
      </c>
      <c r="V1815" s="8">
        <f>IF(ISNA(VLOOKUP(LOWER(F1815)&amp;H1815,Prices!A:C,2,0)),0,VLOOKUP(LOWER(F1815)&amp;H1815,Prices!A:C,2,0))</f>
        <v>28.37</v>
      </c>
      <c r="W1815" s="8">
        <f t="shared" si="1036"/>
        <v>2818.6025599999994</v>
      </c>
      <c r="X1815" s="8">
        <f t="shared" si="1034"/>
        <v>-231.99999999999932</v>
      </c>
      <c r="Y1815" s="57">
        <f t="shared" si="1035"/>
        <v>0.14183789049919482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34.53</v>
      </c>
      <c r="V1816" s="8">
        <f>IF(ISNA(VLOOKUP(LOWER(F1816)&amp;H1816,Prices!A:C,2,0)),0,VLOOKUP(LOWER(F1816)&amp;H1816,Prices!A:C,2,0))</f>
        <v>34.08</v>
      </c>
      <c r="W1816" s="8">
        <f t="shared" si="1036"/>
        <v>-11028.970799999994</v>
      </c>
      <c r="X1816" s="8">
        <f t="shared" si="1034"/>
        <v>675.00000000000432</v>
      </c>
      <c r="Y1816" s="57">
        <f t="shared" si="1035"/>
        <v>-0.27476260089686083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27.36</v>
      </c>
      <c r="V1817" s="13">
        <f>IF(ISNA(VLOOKUP(LOWER(F1817)&amp;H1817,Prices!A:C,2,0)),0,VLOOKUP(LOWER(F1817)&amp;H1817,Prices!A:C,2,0))</f>
        <v>25.09</v>
      </c>
      <c r="W1817" s="13">
        <f t="shared" si="1036"/>
        <v>1816.486800000007</v>
      </c>
      <c r="X1817" s="13">
        <f t="shared" si="1034"/>
        <v>4539.9999999999991</v>
      </c>
      <c r="Y1817" s="43">
        <f t="shared" si="1035"/>
        <v>3.4892178255858761E-2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55.5</v>
      </c>
      <c r="V1818" s="13">
        <f>IF(ISNA(VLOOKUP(LOWER(F1818)&amp;H1818,Prices!A:C,2,0)),0,VLOOKUP(LOWER(F1818)&amp;H1818,Prices!A:C,2,0))</f>
        <v>55.89</v>
      </c>
      <c r="W1818" s="13">
        <f t="shared" si="1036"/>
        <v>-30274.354999999992</v>
      </c>
      <c r="X1818" s="13">
        <f t="shared" si="1034"/>
        <v>-585.00000000000091</v>
      </c>
      <c r="Y1818" s="43">
        <f t="shared" si="1035"/>
        <v>-0.56455673659673644</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39.799999999999997</v>
      </c>
      <c r="V1819" s="13">
        <f>IF(ISNA(VLOOKUP(LOWER(F1819)&amp;H1819,Prices!A:C,2,0)),0,VLOOKUP(LOWER(F1819)&amp;H1819,Prices!A:C,2,0))</f>
        <v>41.55</v>
      </c>
      <c r="W1819" s="13">
        <f t="shared" si="1036"/>
        <v>6918.9999999999973</v>
      </c>
      <c r="X1819" s="13">
        <f t="shared" si="1034"/>
        <v>1050</v>
      </c>
      <c r="Y1819" s="43">
        <f t="shared" si="1035"/>
        <v>0.38426080195490375</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45.95</v>
      </c>
      <c r="V1820" s="13">
        <f>IF(ISNA(VLOOKUP(LOWER(F1820)&amp;H1820,Prices!A:C,2,0)),0,VLOOKUP(LOWER(F1820)&amp;H1820,Prices!A:C,2,0))</f>
        <v>45.82</v>
      </c>
      <c r="W1820" s="13">
        <f t="shared" si="1036"/>
        <v>3140.0000000000005</v>
      </c>
      <c r="X1820" s="13">
        <f t="shared" si="1034"/>
        <v>-65.000000000001279</v>
      </c>
      <c r="Y1820" s="43">
        <f t="shared" si="1035"/>
        <v>0.15886668353149508</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39.799999999999997</v>
      </c>
      <c r="V1821" s="13">
        <f>IF(ISNA(VLOOKUP(LOWER(F1821)&amp;H1821,Prices!A:C,2,0)),0,VLOOKUP(LOWER(F1821)&amp;H1821,Prices!A:C,2,0))</f>
        <v>41.55</v>
      </c>
      <c r="W1821" s="13">
        <f t="shared" si="1036"/>
        <v>6762.9999999999991</v>
      </c>
      <c r="X1821" s="13">
        <f t="shared" si="1034"/>
        <v>1050</v>
      </c>
      <c r="Y1821" s="43">
        <f t="shared" si="1035"/>
        <v>0.37237088426384757</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29.38</v>
      </c>
      <c r="V1822" s="13">
        <f>IF(ISNA(VLOOKUP(LOWER(F1822)&amp;H1822,Prices!A:C,2,0)),0,VLOOKUP(LOWER(F1822)&amp;H1822,Prices!A:C,2,0))</f>
        <v>30.53</v>
      </c>
      <c r="W1822" s="13">
        <f t="shared" si="1036"/>
        <v>6082.6332799999991</v>
      </c>
      <c r="X1822" s="13">
        <f t="shared" si="1034"/>
        <v>920.00000000000171</v>
      </c>
      <c r="Y1822" s="43">
        <f t="shared" si="1035"/>
        <v>0.33173174520069804</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39.799999999999997</v>
      </c>
      <c r="V1823" s="13">
        <f>IF(ISNA(VLOOKUP(LOWER(F1823)&amp;H1823,Prices!A:C,2,0)),0,VLOOKUP(LOWER(F1823)&amp;H1823,Prices!A:C,2,0))</f>
        <v>41.55</v>
      </c>
      <c r="W1823" s="13">
        <f t="shared" si="1036"/>
        <v>6822.9999999999973</v>
      </c>
      <c r="X1823" s="13">
        <f t="shared" si="1034"/>
        <v>1050</v>
      </c>
      <c r="Y1823" s="43">
        <f t="shared" si="1035"/>
        <v>0.37691967738371435</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39.799999999999997</v>
      </c>
      <c r="V1824" s="13">
        <f>IF(ISNA(VLOOKUP(LOWER(F1824)&amp;H1824,Prices!A:C,2,0)),0,VLOOKUP(LOWER(F1824)&amp;H1824,Prices!A:C,2,0))</f>
        <v>41.55</v>
      </c>
      <c r="W1824" s="13">
        <f t="shared" si="1036"/>
        <v>6828.9999999999982</v>
      </c>
      <c r="X1824" s="13">
        <f t="shared" si="1034"/>
        <v>1050</v>
      </c>
      <c r="Y1824" s="43">
        <f t="shared" si="1035"/>
        <v>0.37737621573828461</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28.66</v>
      </c>
      <c r="V1825" s="8">
        <f>IF(ISNA(VLOOKUP(LOWER(F1825)&amp;H1825,Prices!A:C,2,0)),0,VLOOKUP(LOWER(F1825)&amp;H1825,Prices!A:C,2,0))</f>
        <v>28.37</v>
      </c>
      <c r="W1825" s="8">
        <f t="shared" si="1036"/>
        <v>2850.6032000000032</v>
      </c>
      <c r="X1825" s="8">
        <f t="shared" si="1034"/>
        <v>-231.99999999999932</v>
      </c>
      <c r="Y1825" s="57">
        <f t="shared" si="1035"/>
        <v>0.1436795967741937</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28.66</v>
      </c>
      <c r="V1826" s="8">
        <f>IF(ISNA(VLOOKUP(LOWER(F1826)&amp;H1826,Prices!A:C,2,0)),0,VLOOKUP(LOWER(F1826)&amp;H1826,Prices!A:C,2,0))</f>
        <v>28.37</v>
      </c>
      <c r="W1826" s="8">
        <f t="shared" si="1036"/>
        <v>2858.603360000001</v>
      </c>
      <c r="X1826" s="8">
        <f t="shared" si="1034"/>
        <v>-231.99999999999932</v>
      </c>
      <c r="Y1826" s="57">
        <f t="shared" si="1035"/>
        <v>0.14414095199677293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39.799999999999997</v>
      </c>
      <c r="V1827" s="13">
        <f>IF(ISNA(VLOOKUP(LOWER(F1827)&amp;H1827,Prices!A:C,2,0)),0,VLOOKUP(LOWER(F1827)&amp;H1827,Prices!A:C,2,0))</f>
        <v>41.55</v>
      </c>
      <c r="W1827" s="13">
        <f t="shared" si="1036"/>
        <v>6912.9999999999991</v>
      </c>
      <c r="X1827" s="13">
        <f t="shared" si="1034"/>
        <v>1050</v>
      </c>
      <c r="Y1827" s="43">
        <f t="shared" si="1035"/>
        <v>0.38379968909615808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29.38</v>
      </c>
      <c r="V1828" s="13">
        <f>IF(ISNA(VLOOKUP(LOWER(F1828)&amp;H1828,Prices!A:C,2,0)),0,VLOOKUP(LOWER(F1828)&amp;H1828,Prices!A:C,2,0))</f>
        <v>30.53</v>
      </c>
      <c r="W1828" s="13">
        <f t="shared" si="1036"/>
        <v>6041.832464000001</v>
      </c>
      <c r="X1828" s="13">
        <f t="shared" si="1034"/>
        <v>920.00000000000171</v>
      </c>
      <c r="Y1828" s="43">
        <f t="shared" si="1035"/>
        <v>0.32877500239432333</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29.38</v>
      </c>
      <c r="V1829" s="13">
        <f>IF(ISNA(VLOOKUP(LOWER(F1829)&amp;H1829,Prices!A:C,2,0)),0,VLOOKUP(LOWER(F1829)&amp;H1829,Prices!A:C,2,0))</f>
        <v>30.53</v>
      </c>
      <c r="W1829" s="13">
        <f t="shared" si="1036"/>
        <v>6010.6318399999991</v>
      </c>
      <c r="X1829" s="13">
        <f t="shared" si="1034"/>
        <v>920.00000000000171</v>
      </c>
      <c r="Y1829" s="43">
        <f t="shared" si="1035"/>
        <v>0.32652280747501083</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29.38</v>
      </c>
      <c r="V1830" s="13">
        <f>IF(ISNA(VLOOKUP(LOWER(F1830)&amp;H1830,Prices!A:C,2,0)),0,VLOOKUP(LOWER(F1830)&amp;H1830,Prices!A:C,2,0))</f>
        <v>30.53</v>
      </c>
      <c r="W1830" s="13">
        <f t="shared" si="1036"/>
        <v>5994.631519999999</v>
      </c>
      <c r="X1830" s="13">
        <f t="shared" si="1034"/>
        <v>920.00000000000171</v>
      </c>
      <c r="Y1830" s="43">
        <f t="shared" si="1035"/>
        <v>0.32537079461571855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29.38</v>
      </c>
      <c r="V1831" s="13">
        <f>IF(ISNA(VLOOKUP(LOWER(F1831)&amp;H1831,Prices!A:C,2,0)),0,VLOOKUP(LOWER(F1831)&amp;H1831,Prices!A:C,2,0))</f>
        <v>30.53</v>
      </c>
      <c r="W1831" s="13">
        <f t="shared" si="1036"/>
        <v>6098.6336000000019</v>
      </c>
      <c r="X1831" s="13">
        <f t="shared" si="1034"/>
        <v>920.00000000000171</v>
      </c>
      <c r="Y1831" s="43">
        <f t="shared" si="1035"/>
        <v>0.33289484716157214</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29.38</v>
      </c>
      <c r="V1832" s="13">
        <f>IF(ISNA(VLOOKUP(LOWER(F1832)&amp;H1832,Prices!A:C,2,0)),0,VLOOKUP(LOWER(F1832)&amp;H1832,Prices!A:C,2,0))</f>
        <v>30.53</v>
      </c>
      <c r="W1832" s="13">
        <f t="shared" si="1036"/>
        <v>6082.6332799999991</v>
      </c>
      <c r="X1832" s="13">
        <f t="shared" si="1034"/>
        <v>920.00000000000171</v>
      </c>
      <c r="Y1832" s="43">
        <f t="shared" si="1035"/>
        <v>0.33173174520069804</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29.38</v>
      </c>
      <c r="V1833" s="13">
        <f>IF(ISNA(VLOOKUP(LOWER(F1833)&amp;H1833,Prices!A:C,2,0)),0,VLOOKUP(LOWER(F1833)&amp;H1833,Prices!A:C,2,0))</f>
        <v>30.53</v>
      </c>
      <c r="W1833" s="13">
        <f t="shared" si="1036"/>
        <v>6098.6336000000019</v>
      </c>
      <c r="X1833" s="13">
        <f t="shared" si="1034"/>
        <v>920.00000000000171</v>
      </c>
      <c r="Y1833" s="43">
        <f t="shared" si="1035"/>
        <v>0.33289484716157214</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29.38</v>
      </c>
      <c r="V1834" s="13">
        <f>IF(ISNA(VLOOKUP(LOWER(F1834)&amp;H1834,Prices!A:C,2,0)),0,VLOOKUP(LOWER(F1834)&amp;H1834,Prices!A:C,2,0))</f>
        <v>30.53</v>
      </c>
      <c r="W1834" s="13">
        <f t="shared" si="1036"/>
        <v>6098.6336000000019</v>
      </c>
      <c r="X1834" s="13">
        <f t="shared" si="1034"/>
        <v>920.00000000000171</v>
      </c>
      <c r="Y1834" s="43">
        <f t="shared" si="1035"/>
        <v>0.33289484716157214</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39.799999999999997</v>
      </c>
      <c r="V1835" s="13">
        <f>IF(ISNA(VLOOKUP(LOWER(F1835)&amp;H1835,Prices!A:C,2,0)),0,VLOOKUP(LOWER(F1835)&amp;H1835,Prices!A:C,2,0))</f>
        <v>41.55</v>
      </c>
      <c r="W1835" s="13">
        <f t="shared" si="1036"/>
        <v>7062.9999999999991</v>
      </c>
      <c r="X1835" s="13">
        <f t="shared" si="1034"/>
        <v>1050</v>
      </c>
      <c r="Y1835" s="43">
        <f t="shared" si="1035"/>
        <v>0.3954204456387862</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39.799999999999997</v>
      </c>
      <c r="V1836" s="13">
        <f>IF(ISNA(VLOOKUP(LOWER(F1836)&amp;H1836,Prices!A:C,2,0)),0,VLOOKUP(LOWER(F1836)&amp;H1836,Prices!A:C,2,0))</f>
        <v>41.55</v>
      </c>
      <c r="W1836" s="13">
        <f t="shared" si="1036"/>
        <v>7050.9999999999991</v>
      </c>
      <c r="X1836" s="13">
        <f t="shared" si="1034"/>
        <v>1050</v>
      </c>
      <c r="Y1836" s="43">
        <f t="shared" si="1035"/>
        <v>0.39448360747454397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39.799999999999997</v>
      </c>
      <c r="V1837" s="13">
        <f>IF(ISNA(VLOOKUP(LOWER(F1837)&amp;H1837,Prices!A:C,2,0)),0,VLOOKUP(LOWER(F1837)&amp;H1837,Prices!A:C,2,0))</f>
        <v>41.55</v>
      </c>
      <c r="W1837" s="13">
        <f t="shared" si="1036"/>
        <v>7020.9999999999991</v>
      </c>
      <c r="X1837" s="13">
        <f t="shared" si="1034"/>
        <v>1050</v>
      </c>
      <c r="Y1837" s="43">
        <f t="shared" si="1035"/>
        <v>0.3921470062555853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27.36</v>
      </c>
      <c r="V1838" s="13">
        <f>IF(ISNA(VLOOKUP(LOWER(F1838)&amp;H1838,Prices!A:C,2,0)),0,VLOOKUP(LOWER(F1838)&amp;H1838,Prices!A:C,2,0))</f>
        <v>25.09</v>
      </c>
      <c r="W1838" s="13">
        <f t="shared" ref="W1838:W1868" si="1041">IF(I1838="B",(V1838+T1838)*K1838,(V1838+T1838)*K1838)</f>
        <v>2143.147500000005</v>
      </c>
      <c r="X1838" s="13">
        <f t="shared" ref="X1838:X1868" si="1042">K1838*(V1838-U1838)</f>
        <v>4312.9999999999991</v>
      </c>
      <c r="Y1838" s="43">
        <f t="shared" ref="Y1838:Y1868" si="1043">W1838/O1838</f>
        <v>4.2970375939849724E-2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58.24</v>
      </c>
      <c r="V1839" s="8">
        <f>IF(ISNA(VLOOKUP(LOWER(F1839)&amp;H1839,Prices!A:C,2,0)),0,VLOOKUP(LOWER(F1839)&amp;H1839,Prices!A:C,2,0))</f>
        <v>58.82</v>
      </c>
      <c r="W1839" s="8">
        <f t="shared" si="1041"/>
        <v>-13105.117290000002</v>
      </c>
      <c r="X1839" s="8">
        <f t="shared" si="1042"/>
        <v>-571.29999999999836</v>
      </c>
      <c r="Y1839" s="57">
        <f t="shared" si="1043"/>
        <v>-0.29196154496512872</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690.25</v>
      </c>
      <c r="V1840" s="13">
        <f>IF(ISNA(VLOOKUP(LOWER(F1840)&amp;H1840,Prices!A:C,2,0)),0,VLOOKUP(LOWER(F1840)&amp;H1840,Prices!A:C,2,0))</f>
        <v>679.15</v>
      </c>
      <c r="W1840" s="13">
        <f t="shared" si="1041"/>
        <v>-21955.143519999994</v>
      </c>
      <c r="X1840" s="13">
        <f t="shared" si="1042"/>
        <v>1110.0000000000023</v>
      </c>
      <c r="Y1840" s="43">
        <f t="shared" si="1043"/>
        <v>-0.47711977399165495</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28.66</v>
      </c>
      <c r="V1841" s="8">
        <f>IF(ISNA(VLOOKUP(LOWER(F1841)&amp;H1841,Prices!A:C,2,0)),0,VLOOKUP(LOWER(F1841)&amp;H1841,Prices!A:C,2,0))</f>
        <v>28.37</v>
      </c>
      <c r="W1841" s="8">
        <f t="shared" si="1041"/>
        <v>-6121.8295999999982</v>
      </c>
      <c r="X1841" s="8">
        <f t="shared" si="1042"/>
        <v>579.99999999999829</v>
      </c>
      <c r="Y1841" s="57">
        <f t="shared" si="1043"/>
        <v>-0.12079379636937644</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29.38</v>
      </c>
      <c r="V1842" s="13">
        <f>IF(ISNA(VLOOKUP(LOWER(F1842)&amp;H1842,Prices!A:C,2,0)),0,VLOOKUP(LOWER(F1842)&amp;H1842,Prices!A:C,2,0))</f>
        <v>30.53</v>
      </c>
      <c r="W1842" s="13">
        <f t="shared" si="1041"/>
        <v>-20004.438060000004</v>
      </c>
      <c r="X1842" s="13">
        <f t="shared" si="1042"/>
        <v>-3450.0000000000064</v>
      </c>
      <c r="Y1842" s="43">
        <f t="shared" si="1043"/>
        <v>-0.27910702858817132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39.799999999999997</v>
      </c>
      <c r="V1843" s="13">
        <f>IF(ISNA(VLOOKUP(LOWER(F1843)&amp;H1843,Prices!A:C,2,0)),0,VLOOKUP(LOWER(F1843)&amp;H1843,Prices!A:C,2,0))</f>
        <v>41.55</v>
      </c>
      <c r="W1843" s="13">
        <f t="shared" si="1041"/>
        <v>-32510.69999999999</v>
      </c>
      <c r="X1843" s="13">
        <f t="shared" si="1042"/>
        <v>-5250</v>
      </c>
      <c r="Y1843" s="43">
        <f t="shared" si="1043"/>
        <v>-0.35241951219512185</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16.93</v>
      </c>
      <c r="V1844" s="30">
        <f>IF(ISNA(VLOOKUP(LOWER(F1844)&amp;H1844,Prices!A:C,2,0)),0,VLOOKUP(LOWER(F1844)&amp;H1844,Prices!A:C,2,0))</f>
        <v>17.02</v>
      </c>
      <c r="W1844" s="30">
        <f t="shared" si="1041"/>
        <v>2386.6053199999978</v>
      </c>
      <c r="X1844" s="30">
        <f t="shared" si="1042"/>
        <v>116.99999999999982</v>
      </c>
      <c r="Y1844" s="40">
        <f t="shared" si="1043"/>
        <v>0.1209387513935339</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16.93</v>
      </c>
      <c r="V1845" s="30">
        <f>IF(ISNA(VLOOKUP(LOWER(F1845)&amp;H1845,Prices!A:C,2,0)),0,VLOOKUP(LOWER(F1845)&amp;H1845,Prices!A:C,2,0))</f>
        <v>17.02</v>
      </c>
      <c r="W1845" s="30">
        <f t="shared" si="1041"/>
        <v>2256.602719999998</v>
      </c>
      <c r="X1845" s="30">
        <f t="shared" si="1042"/>
        <v>116.99999999999982</v>
      </c>
      <c r="Y1845" s="40">
        <f t="shared" si="1043"/>
        <v>0.11360263391059193</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28.66</v>
      </c>
      <c r="V1846" s="8">
        <f>IF(ISNA(VLOOKUP(LOWER(F1846)&amp;H1846,Prices!A:C,2,0)),0,VLOOKUP(LOWER(F1846)&amp;H1846,Prices!A:C,2,0))</f>
        <v>28.37</v>
      </c>
      <c r="W1846" s="8">
        <f t="shared" si="1041"/>
        <v>2946.6051200000011</v>
      </c>
      <c r="X1846" s="8">
        <f t="shared" si="1042"/>
        <v>-231.99999999999932</v>
      </c>
      <c r="Y1846" s="57">
        <f t="shared" si="1043"/>
        <v>0.14924053484602923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690.25</v>
      </c>
      <c r="V1847" s="13">
        <f>IF(ISNA(VLOOKUP(LOWER(F1847)&amp;H1847,Prices!A:C,2,0)),0,VLOOKUP(LOWER(F1847)&amp;H1847,Prices!A:C,2,0))</f>
        <v>679.15</v>
      </c>
      <c r="W1847" s="13">
        <f t="shared" si="1041"/>
        <v>22284.963599999992</v>
      </c>
      <c r="X1847" s="13">
        <f t="shared" si="1042"/>
        <v>-1110.0000000000023</v>
      </c>
      <c r="Y1847" s="43">
        <f t="shared" si="1043"/>
        <v>0.48849109162647941</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28.66</v>
      </c>
      <c r="V1848" s="8">
        <f>IF(ISNA(VLOOKUP(LOWER(F1848)&amp;H1848,Prices!A:C,2,0)),0,VLOOKUP(LOWER(F1848)&amp;H1848,Prices!A:C,2,0))</f>
        <v>28.37</v>
      </c>
      <c r="W1848" s="8">
        <f t="shared" si="1041"/>
        <v>2794.6020800000015</v>
      </c>
      <c r="X1848" s="8">
        <f t="shared" si="1042"/>
        <v>-231.99999999999932</v>
      </c>
      <c r="Y1848" s="57">
        <f t="shared" si="1043"/>
        <v>0.14046049859268203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28.66</v>
      </c>
      <c r="V1849" s="8">
        <f>IF(ISNA(VLOOKUP(LOWER(F1849)&amp;H1849,Prices!A:C,2,0)),0,VLOOKUP(LOWER(F1849)&amp;H1849,Prices!A:C,2,0))</f>
        <v>28.37</v>
      </c>
      <c r="W1849" s="8">
        <f t="shared" si="1041"/>
        <v>2786.601920000001</v>
      </c>
      <c r="X1849" s="8">
        <f t="shared" si="1042"/>
        <v>-231.99999999999932</v>
      </c>
      <c r="Y1849" s="57">
        <f t="shared" si="1043"/>
        <v>0.14000210610932481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29.38</v>
      </c>
      <c r="V1850" s="13">
        <f>IF(ISNA(VLOOKUP(LOWER(F1850)&amp;H1850,Prices!A:C,2,0)),0,VLOOKUP(LOWER(F1850)&amp;H1850,Prices!A:C,2,0))</f>
        <v>30.53</v>
      </c>
      <c r="W1850" s="13">
        <f t="shared" si="1041"/>
        <v>6058.6328000000012</v>
      </c>
      <c r="X1850" s="13">
        <f t="shared" si="1042"/>
        <v>920.00000000000171</v>
      </c>
      <c r="Y1850" s="43">
        <f t="shared" si="1043"/>
        <v>0.32999089324618741</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28.66</v>
      </c>
      <c r="V1851" s="8">
        <f>IF(ISNA(VLOOKUP(LOWER(F1851)&amp;H1851,Prices!A:C,2,0)),0,VLOOKUP(LOWER(F1851)&amp;H1851,Prices!A:C,2,0))</f>
        <v>28.37</v>
      </c>
      <c r="W1851" s="8">
        <f t="shared" si="1041"/>
        <v>5575.2422399999996</v>
      </c>
      <c r="X1851" s="8">
        <f t="shared" si="1042"/>
        <v>-463.99999999999864</v>
      </c>
      <c r="Y1851" s="57">
        <f t="shared" si="1043"/>
        <v>0.1400533118971061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29.38</v>
      </c>
      <c r="V1852" s="13">
        <f>IF(ISNA(VLOOKUP(LOWER(F1852)&amp;H1852,Prices!A:C,2,0)),0,VLOOKUP(LOWER(F1852)&amp;H1852,Prices!A:C,2,0))</f>
        <v>30.53</v>
      </c>
      <c r="W1852" s="13">
        <f t="shared" si="1041"/>
        <v>6082.6332799999991</v>
      </c>
      <c r="X1852" s="13">
        <f t="shared" si="1042"/>
        <v>920.00000000000171</v>
      </c>
      <c r="Y1852" s="43">
        <f t="shared" si="1043"/>
        <v>0.33173174520069804</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28.66</v>
      </c>
      <c r="V1853" s="8">
        <f>IF(ISNA(VLOOKUP(LOWER(F1853)&amp;H1853,Prices!A:C,2,0)),0,VLOOKUP(LOWER(F1853)&amp;H1853,Prices!A:C,2,0))</f>
        <v>28.37</v>
      </c>
      <c r="W1853" s="8">
        <f t="shared" si="1041"/>
        <v>-6621.2195999999967</v>
      </c>
      <c r="X1853" s="8">
        <f t="shared" si="1042"/>
        <v>579.99999999999829</v>
      </c>
      <c r="Y1853" s="57">
        <f t="shared" si="1043"/>
        <v>-0.13194937425269024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13.59</v>
      </c>
      <c r="V1854" s="13">
        <f>IF(ISNA(VLOOKUP(LOWER(F1854)&amp;H1854,Prices!A:C,2,0)),0,VLOOKUP(LOWER(F1854)&amp;H1854,Prices!A:C,2,0))</f>
        <v>13.68</v>
      </c>
      <c r="W1854" s="13">
        <f t="shared" si="1041"/>
        <v>-5873.3635999999997</v>
      </c>
      <c r="X1854" s="13">
        <f t="shared" si="1042"/>
        <v>80.999999999999872</v>
      </c>
      <c r="Y1854" s="43">
        <f t="shared" si="1043"/>
        <v>-0.32306730473047301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39.799999999999997</v>
      </c>
      <c r="V1855" s="13">
        <f>IF(ISNA(VLOOKUP(LOWER(F1855)&amp;H1855,Prices!A:C,2,0)),0,VLOOKUP(LOWER(F1855)&amp;H1855,Prices!A:C,2,0))</f>
        <v>41.55</v>
      </c>
      <c r="W1855" s="13">
        <f t="shared" si="1041"/>
        <v>-38761.140399999989</v>
      </c>
      <c r="X1855" s="13">
        <f t="shared" si="1042"/>
        <v>-6300</v>
      </c>
      <c r="Y1855" s="43">
        <f t="shared" si="1043"/>
        <v>-0.34935053356406365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29.38</v>
      </c>
      <c r="V1856" s="13">
        <f>IF(ISNA(VLOOKUP(LOWER(F1856)&amp;H1856,Prices!A:C,2,0)),0,VLOOKUP(LOWER(F1856)&amp;H1856,Prices!A:C,2,0))</f>
        <v>30.53</v>
      </c>
      <c r="W1856" s="13">
        <f t="shared" si="1041"/>
        <v>-29561.710100000026</v>
      </c>
      <c r="X1856" s="13">
        <f t="shared" si="1042"/>
        <v>-5175.00000000001</v>
      </c>
      <c r="Y1856" s="43">
        <f t="shared" si="1043"/>
        <v>-0.27383363531100946</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58.24</v>
      </c>
      <c r="V1857" s="8">
        <f>IF(ISNA(VLOOKUP(LOWER(F1857)&amp;H1857,Prices!A:C,2,0)),0,VLOOKUP(LOWER(F1857)&amp;H1857,Prices!A:C,2,0))</f>
        <v>58.82</v>
      </c>
      <c r="W1857" s="8">
        <f t="shared" si="1041"/>
        <v>5363</v>
      </c>
      <c r="X1857" s="8">
        <f t="shared" si="1042"/>
        <v>231.99999999999932</v>
      </c>
      <c r="Y1857" s="57">
        <f t="shared" si="1043"/>
        <v>0.29531938325991192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29.64</v>
      </c>
      <c r="V1858" s="13">
        <f>IF(ISNA(VLOOKUP(LOWER(F1858)&amp;H1858,Prices!A:C,2,0)),0,VLOOKUP(LOWER(F1858)&amp;H1858,Prices!A:C,2,0))</f>
        <v>30.42</v>
      </c>
      <c r="W1858" s="13">
        <f t="shared" si="1041"/>
        <v>2185.6179400000015</v>
      </c>
      <c r="X1858" s="13">
        <f t="shared" si="1042"/>
        <v>546.0000000000008</v>
      </c>
      <c r="Y1858" s="43">
        <f t="shared" si="1043"/>
        <v>0.11441228812228453</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13.59</v>
      </c>
      <c r="V1859" s="13">
        <f>IF(ISNA(VLOOKUP(LOWER(F1859)&amp;H1859,Prices!A:C,2,0)),0,VLOOKUP(LOWER(F1859)&amp;H1859,Prices!A:C,2,0))</f>
        <v>13.68</v>
      </c>
      <c r="W1859" s="13">
        <f t="shared" si="1041"/>
        <v>-5918.3644999999988</v>
      </c>
      <c r="X1859" s="13">
        <f t="shared" si="1042"/>
        <v>80.999999999999872</v>
      </c>
      <c r="Y1859" s="43">
        <f t="shared" si="1043"/>
        <v>-0.32473879286694096</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39.799999999999997</v>
      </c>
      <c r="V1860" s="13">
        <f>IF(ISNA(VLOOKUP(LOWER(F1860)&amp;H1860,Prices!A:C,2,0)),0,VLOOKUP(LOWER(F1860)&amp;H1860,Prices!A:C,2,0))</f>
        <v>41.55</v>
      </c>
      <c r="W1860" s="13">
        <f t="shared" si="1041"/>
        <v>6768.9999999999973</v>
      </c>
      <c r="X1860" s="13">
        <f t="shared" si="1042"/>
        <v>1050</v>
      </c>
      <c r="Y1860" s="43">
        <f t="shared" si="1043"/>
        <v>0.37282441066314154</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39.799999999999997</v>
      </c>
      <c r="V1861" s="13">
        <f>IF(ISNA(VLOOKUP(LOWER(F1861)&amp;H1861,Prices!A:C,2,0)),0,VLOOKUP(LOWER(F1861)&amp;H1861,Prices!A:C,2,0))</f>
        <v>41.55</v>
      </c>
      <c r="W1861" s="13">
        <f t="shared" si="1041"/>
        <v>6768.9999999999973</v>
      </c>
      <c r="X1861" s="13">
        <f t="shared" si="1042"/>
        <v>1050</v>
      </c>
      <c r="Y1861" s="43">
        <f t="shared" si="1043"/>
        <v>0.37282441066314154</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58.24</v>
      </c>
      <c r="V1862" s="8">
        <f>IF(ISNA(VLOOKUP(LOWER(F1862)&amp;H1862,Prices!A:C,2,0)),0,VLOOKUP(LOWER(F1862)&amp;H1862,Prices!A:C,2,0))</f>
        <v>58.82</v>
      </c>
      <c r="W1862" s="8">
        <f t="shared" si="1041"/>
        <v>5359</v>
      </c>
      <c r="X1862" s="8">
        <f t="shared" si="1042"/>
        <v>231.99999999999932</v>
      </c>
      <c r="Y1862" s="57">
        <f t="shared" si="1043"/>
        <v>0.29503413345078178</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39.799999999999997</v>
      </c>
      <c r="V1863" s="13">
        <f>IF(ISNA(VLOOKUP(LOWER(F1863)&amp;H1863,Prices!A:C,2,0)),0,VLOOKUP(LOWER(F1863)&amp;H1863,Prices!A:C,2,0))</f>
        <v>41.55</v>
      </c>
      <c r="W1863" s="13">
        <f t="shared" si="1041"/>
        <v>6792.9999999999991</v>
      </c>
      <c r="X1863" s="13">
        <f t="shared" si="1042"/>
        <v>1050</v>
      </c>
      <c r="Y1863" s="43">
        <f t="shared" si="1043"/>
        <v>0.37464151775865867</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13.59</v>
      </c>
      <c r="V1864" s="13">
        <f>IF(ISNA(VLOOKUP(LOWER(F1864)&amp;H1864,Prices!A:C,2,0)),0,VLOOKUP(LOWER(F1864)&amp;H1864,Prices!A:C,2,0))</f>
        <v>13.68</v>
      </c>
      <c r="W1864" s="13">
        <f t="shared" si="1041"/>
        <v>-6143.3689999999997</v>
      </c>
      <c r="X1864" s="13">
        <f t="shared" si="1042"/>
        <v>80.999999999999872</v>
      </c>
      <c r="Y1864" s="43">
        <f t="shared" si="1043"/>
        <v>-0.33297392953929539</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29.64</v>
      </c>
      <c r="V1865" s="13">
        <f>IF(ISNA(VLOOKUP(LOWER(F1865)&amp;H1865,Prices!A:C,2,0)),0,VLOOKUP(LOWER(F1865)&amp;H1865,Prices!A:C,2,0))</f>
        <v>30.42</v>
      </c>
      <c r="W1865" s="13">
        <f t="shared" si="1041"/>
        <v>1926.61276</v>
      </c>
      <c r="X1865" s="13">
        <f t="shared" si="1042"/>
        <v>546.0000000000008</v>
      </c>
      <c r="Y1865" s="43">
        <f t="shared" si="1043"/>
        <v>9.9504842474950936E-2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25.86</v>
      </c>
      <c r="V1866" s="13">
        <f>IF(ISNA(VLOOKUP(LOWER(F1866)&amp;H1866,Prices!A:C,2,0)),0,VLOOKUP(LOWER(F1866)&amp;H1866,Prices!A:C,2,0))</f>
        <v>24.82</v>
      </c>
      <c r="W1866" s="13">
        <f t="shared" si="1041"/>
        <v>11010.624640000002</v>
      </c>
      <c r="X1866" s="13">
        <f t="shared" si="1042"/>
        <v>-1247.9999999999991</v>
      </c>
      <c r="Y1866" s="43">
        <f t="shared" si="1043"/>
        <v>0.58667011082693954</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16.97</v>
      </c>
      <c r="V1867" s="13">
        <f>IF(ISNA(VLOOKUP(LOWER(F1867)&amp;H1867,Prices!A:C,2,0)),0,VLOOKUP(LOWER(F1867)&amp;H1867,Prices!A:C,2,0))</f>
        <v>17.22</v>
      </c>
      <c r="W1867" s="13">
        <f t="shared" si="1041"/>
        <v>302.99999999999795</v>
      </c>
      <c r="X1867" s="13">
        <f t="shared" si="1042"/>
        <v>275</v>
      </c>
      <c r="Y1867" s="43">
        <f t="shared" si="1043"/>
        <v>1.6260598905226895E-2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16.93</v>
      </c>
      <c r="V1868" s="30">
        <f>IF(ISNA(VLOOKUP(LOWER(F1868)&amp;H1868,Prices!A:C,2,0)),0,VLOOKUP(LOWER(F1868)&amp;H1868,Prices!A:C,2,0))</f>
        <v>17.02</v>
      </c>
      <c r="W1868" s="30">
        <f t="shared" si="1041"/>
        <v>2399.6055799999986</v>
      </c>
      <c r="X1868" s="30">
        <f t="shared" si="1042"/>
        <v>116.99999999999982</v>
      </c>
      <c r="Y1868" s="40">
        <f t="shared" si="1043"/>
        <v>0.12167768267329236</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16.97</v>
      </c>
      <c r="V1869" s="13">
        <f>IF(ISNA(VLOOKUP(LOWER(F1869)&amp;H1869,Prices!A:C,2,0)),0,VLOOKUP(LOWER(F1869)&amp;H1869,Prices!A:C,2,0))</f>
        <v>17.22</v>
      </c>
      <c r="W1869" s="13">
        <f t="shared" ref="W1869:W1893" si="1052">IF(I1869="B",(V1869+T1869)*K1869,(V1869+T1869)*K1869)</f>
        <v>-386.57999999999964</v>
      </c>
      <c r="X1869" s="13">
        <f t="shared" ref="X1869:X1893" si="1053">K1869*(V1869-U1869)</f>
        <v>-275</v>
      </c>
      <c r="Y1869" s="43">
        <f t="shared" ref="Y1869:Y1893" si="1054">W1869/O1869</f>
        <v>-2.0807363151945726E-2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34.53</v>
      </c>
      <c r="V1870" s="8">
        <f>IF(ISNA(VLOOKUP(LOWER(F1870)&amp;H1870,Prices!A:C,2,0)),0,VLOOKUP(LOWER(F1870)&amp;H1870,Prices!A:C,2,0))</f>
        <v>34.08</v>
      </c>
      <c r="W1870" s="8">
        <f t="shared" si="1052"/>
        <v>-13326.977999999997</v>
      </c>
      <c r="X1870" s="8">
        <f t="shared" si="1053"/>
        <v>900.00000000000568</v>
      </c>
      <c r="Y1870" s="57">
        <f t="shared" si="1054"/>
        <v>-0.2427500546448087</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13.59</v>
      </c>
      <c r="V1871" s="13">
        <f>IF(ISNA(VLOOKUP(LOWER(F1871)&amp;H1871,Prices!A:C,2,0)),0,VLOOKUP(LOWER(F1871)&amp;H1871,Prices!A:C,2,0))</f>
        <v>13.68</v>
      </c>
      <c r="W1871" s="13">
        <f t="shared" si="1052"/>
        <v>8785.8761599999943</v>
      </c>
      <c r="X1871" s="13">
        <f t="shared" si="1053"/>
        <v>-125.9999999999998</v>
      </c>
      <c r="Y1871" s="43">
        <f t="shared" si="1054"/>
        <v>0.31409538681538662</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29.64</v>
      </c>
      <c r="V1872" s="13">
        <f>IF(ISNA(VLOOKUP(LOWER(F1872)&amp;H1872,Prices!A:C,2,0)),0,VLOOKUP(LOWER(F1872)&amp;H1872,Prices!A:C,2,0))</f>
        <v>30.42</v>
      </c>
      <c r="W1872" s="13">
        <f t="shared" si="1052"/>
        <v>-2344.2942000000003</v>
      </c>
      <c r="X1872" s="13">
        <f t="shared" si="1053"/>
        <v>-780.00000000000114</v>
      </c>
      <c r="Y1872" s="43">
        <f t="shared" si="1054"/>
        <v>-8.3397161152614738E-2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27.36</v>
      </c>
      <c r="V1873" s="13">
        <f>IF(ISNA(VLOOKUP(LOWER(F1873)&amp;H1873,Prices!A:C,2,0)),0,VLOOKUP(LOWER(F1873)&amp;H1873,Prices!A:C,2,0))</f>
        <v>25.09</v>
      </c>
      <c r="W1873" s="13">
        <f t="shared" si="1052"/>
        <v>3194.8031999999957</v>
      </c>
      <c r="X1873" s="13">
        <f t="shared" si="1053"/>
        <v>4539.9999999999991</v>
      </c>
      <c r="Y1873" s="43">
        <f t="shared" si="1054"/>
        <v>5.9782994011975968E-2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45.95</v>
      </c>
      <c r="V1874" s="13">
        <f>IF(ISNA(VLOOKUP(LOWER(F1874)&amp;H1874,Prices!A:C,2,0)),0,VLOOKUP(LOWER(F1874)&amp;H1874,Prices!A:C,2,0))</f>
        <v>45.82</v>
      </c>
      <c r="W1874" s="13">
        <f t="shared" si="1052"/>
        <v>-8157.7590000000055</v>
      </c>
      <c r="X1874" s="13">
        <f t="shared" si="1053"/>
        <v>143.00000000000281</v>
      </c>
      <c r="Y1874" s="43">
        <f t="shared" si="1054"/>
        <v>-0.19287762146825879</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28.66</v>
      </c>
      <c r="V1875" s="8">
        <f>IF(ISNA(VLOOKUP(LOWER(F1875)&amp;H1875,Prices!A:C,2,0)),0,VLOOKUP(LOWER(F1875)&amp;H1875,Prices!A:C,2,0))</f>
        <v>28.37</v>
      </c>
      <c r="W1875" s="8">
        <f t="shared" si="1052"/>
        <v>-7520.1216000000031</v>
      </c>
      <c r="X1875" s="8">
        <f t="shared" si="1053"/>
        <v>579.99999999999829</v>
      </c>
      <c r="Y1875" s="57">
        <f t="shared" si="1054"/>
        <v>-0.1525998701298702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13.59</v>
      </c>
      <c r="V1876" s="13">
        <f>IF(ISNA(VLOOKUP(LOWER(F1876)&amp;H1876,Prices!A:C,2,0)),0,VLOOKUP(LOWER(F1876)&amp;H1876,Prices!A:C,2,0))</f>
        <v>13.68</v>
      </c>
      <c r="W1876" s="13">
        <f t="shared" si="1052"/>
        <v>8080.4028800000051</v>
      </c>
      <c r="X1876" s="13">
        <f t="shared" si="1053"/>
        <v>-116.99999999999982</v>
      </c>
      <c r="Y1876" s="43">
        <f t="shared" si="1054"/>
        <v>0.31203285758418303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58.24</v>
      </c>
      <c r="V1877" s="8">
        <f>IF(ISNA(VLOOKUP(LOWER(F1877)&amp;H1877,Prices!A:C,2,0)),0,VLOOKUP(LOWER(F1877)&amp;H1877,Prices!A:C,2,0))</f>
        <v>58.82</v>
      </c>
      <c r="W1877" s="8">
        <f t="shared" si="1052"/>
        <v>-38369.996599999977</v>
      </c>
      <c r="X1877" s="8">
        <f t="shared" si="1053"/>
        <v>-1516.6999999999955</v>
      </c>
      <c r="Y1877" s="57">
        <f t="shared" si="1054"/>
        <v>-0.33196920481385644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29.38</v>
      </c>
      <c r="V1878" s="13">
        <f>IF(ISNA(VLOOKUP(LOWER(F1878)&amp;H1878,Prices!A:C,2,0)),0,VLOOKUP(LOWER(F1878)&amp;H1878,Prices!A:C,2,0))</f>
        <v>30.53</v>
      </c>
      <c r="W1878" s="13">
        <f t="shared" si="1052"/>
        <v>-21895.131600000015</v>
      </c>
      <c r="X1878" s="13">
        <f t="shared" si="1053"/>
        <v>-3450.0000000000064</v>
      </c>
      <c r="Y1878" s="43">
        <f t="shared" si="1054"/>
        <v>-0.31377374032674138</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690.25</v>
      </c>
      <c r="V1879" s="13">
        <f>IF(ISNA(VLOOKUP(LOWER(F1879)&amp;H1879,Prices!A:C,2,0)),0,VLOOKUP(LOWER(F1879)&amp;H1879,Prices!A:C,2,0))</f>
        <v>679.15</v>
      </c>
      <c r="W1879" s="13">
        <f t="shared" si="1052"/>
        <v>-46682.89632</v>
      </c>
      <c r="X1879" s="13">
        <f t="shared" si="1053"/>
        <v>2220.0000000000045</v>
      </c>
      <c r="Y1879" s="43">
        <f t="shared" si="1054"/>
        <v>-0.52302250067222367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39.799999999999997</v>
      </c>
      <c r="V1880" s="13">
        <f>IF(ISNA(VLOOKUP(LOWER(F1880)&amp;H1880,Prices!A:C,2,0)),0,VLOOKUP(LOWER(F1880)&amp;H1880,Prices!A:C,2,0))</f>
        <v>41.55</v>
      </c>
      <c r="W1880" s="13">
        <f t="shared" si="1052"/>
        <v>-30634.979599999988</v>
      </c>
      <c r="X1880" s="13">
        <f t="shared" si="1053"/>
        <v>-4725</v>
      </c>
      <c r="Y1880" s="43">
        <f t="shared" si="1054"/>
        <v>-0.3752079610033312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55.5</v>
      </c>
      <c r="V1881" s="13">
        <f>IF(ISNA(VLOOKUP(LOWER(F1881)&amp;H1881,Prices!A:C,2,0)),0,VLOOKUP(LOWER(F1881)&amp;H1881,Prices!A:C,2,0))</f>
        <v>55.89</v>
      </c>
      <c r="W1881" s="13">
        <f t="shared" si="1052"/>
        <v>-43158.588199999998</v>
      </c>
      <c r="X1881" s="13">
        <f t="shared" si="1053"/>
        <v>-897.00000000000136</v>
      </c>
      <c r="Y1881" s="43">
        <f t="shared" si="1054"/>
        <v>-0.50483194956194222</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28.66</v>
      </c>
      <c r="V1882" s="8">
        <f>IF(ISNA(VLOOKUP(LOWER(F1882)&amp;H1882,Prices!A:C,2,0)),0,VLOOKUP(LOWER(F1882)&amp;H1882,Prices!A:C,2,0))</f>
        <v>28.37</v>
      </c>
      <c r="W1882" s="8">
        <f t="shared" si="1052"/>
        <v>-8648.1378399999976</v>
      </c>
      <c r="X1882" s="8">
        <f t="shared" si="1053"/>
        <v>666.99999999999807</v>
      </c>
      <c r="Y1882" s="57">
        <f t="shared" si="1054"/>
        <v>-0.15259983483907394</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28.66</v>
      </c>
      <c r="V1883" s="8">
        <f>IF(ISNA(VLOOKUP(LOWER(F1883)&amp;H1883,Prices!A:C,2,0)),0,VLOOKUP(LOWER(F1883)&amp;H1883,Prices!A:C,2,0))</f>
        <v>28.37</v>
      </c>
      <c r="W1883" s="8">
        <f t="shared" si="1052"/>
        <v>-8294.1109200000064</v>
      </c>
      <c r="X1883" s="8">
        <f t="shared" si="1053"/>
        <v>637.99999999999818</v>
      </c>
      <c r="Y1883" s="57">
        <f t="shared" si="1054"/>
        <v>-0.15306741446130009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58.24</v>
      </c>
      <c r="V1884" s="8">
        <f>IF(ISNA(VLOOKUP(LOWER(F1884)&amp;H1884,Prices!A:C,2,0)),0,VLOOKUP(LOWER(F1884)&amp;H1884,Prices!A:C,2,0))</f>
        <v>58.82</v>
      </c>
      <c r="W1884" s="8">
        <f t="shared" si="1052"/>
        <v>-14663.051999999992</v>
      </c>
      <c r="X1884" s="8">
        <f t="shared" si="1053"/>
        <v>-579.99999999999829</v>
      </c>
      <c r="Y1884" s="57">
        <f t="shared" si="1054"/>
        <v>-0.33166821985976008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55.5</v>
      </c>
      <c r="V1885" s="13">
        <f>IF(ISNA(VLOOKUP(LOWER(F1885)&amp;H1885,Prices!A:C,2,0)),0,VLOOKUP(LOWER(F1885)&amp;H1885,Prices!A:C,2,0))</f>
        <v>55.89</v>
      </c>
      <c r="W1885" s="13">
        <f t="shared" si="1052"/>
        <v>3813.0000000000009</v>
      </c>
      <c r="X1885" s="13">
        <f t="shared" si="1053"/>
        <v>78.000000000000114</v>
      </c>
      <c r="Y1885" s="43">
        <f t="shared" si="1054"/>
        <v>0.51807065217391324</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13.59</v>
      </c>
      <c r="V1886" s="13">
        <f>IF(ISNA(VLOOKUP(LOWER(F1886)&amp;H1886,Prices!A:C,2,0)),0,VLOOKUP(LOWER(F1886)&amp;H1886,Prices!A:C,2,0))</f>
        <v>13.68</v>
      </c>
      <c r="W1886" s="13">
        <f t="shared" si="1052"/>
        <v>-6325.4000000000015</v>
      </c>
      <c r="X1886" s="13">
        <f t="shared" si="1053"/>
        <v>89.999999999999858</v>
      </c>
      <c r="Y1886" s="43">
        <f t="shared" si="1054"/>
        <v>-0.31627000000000005</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68.900000000000006</v>
      </c>
      <c r="V1887" s="13">
        <f>IF(ISNA(VLOOKUP(LOWER(F1887)&amp;H1887,Prices!A:C,2,0)),0,VLOOKUP(LOWER(F1887)&amp;H1887,Prices!A:C,2,0))</f>
        <v>72.989999999999995</v>
      </c>
      <c r="W1887" s="13">
        <f t="shared" si="1052"/>
        <v>9334.9999999999964</v>
      </c>
      <c r="X1887" s="13">
        <f t="shared" si="1053"/>
        <v>1635.9999999999957</v>
      </c>
      <c r="Y1887" s="43">
        <f t="shared" si="1054"/>
        <v>0.47013497179693775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16.93</v>
      </c>
      <c r="V1888" s="30">
        <f>IF(ISNA(VLOOKUP(LOWER(F1888)&amp;H1888,Prices!A:C,2,0)),0,VLOOKUP(LOWER(F1888)&amp;H1888,Prices!A:C,2,0))</f>
        <v>17.02</v>
      </c>
      <c r="W1888" s="30">
        <f t="shared" si="1052"/>
        <v>2412.6058399999988</v>
      </c>
      <c r="X1888" s="30">
        <f t="shared" si="1053"/>
        <v>116.99999999999982</v>
      </c>
      <c r="Y1888" s="40">
        <f t="shared" si="1054"/>
        <v>0.12241758879642779</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16.93</v>
      </c>
      <c r="V1889" s="30">
        <f>IF(ISNA(VLOOKUP(LOWER(F1889)&amp;H1889,Prices!A:C,2,0)),0,VLOOKUP(LOWER(F1889)&amp;H1889,Prices!A:C,2,0))</f>
        <v>17.02</v>
      </c>
      <c r="W1889" s="30">
        <f t="shared" si="1052"/>
        <v>2360.6047999999996</v>
      </c>
      <c r="X1889" s="30">
        <f t="shared" si="1053"/>
        <v>116.99999999999982</v>
      </c>
      <c r="Y1889" s="40">
        <f t="shared" si="1054"/>
        <v>0.11946380566801618</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13.59</v>
      </c>
      <c r="V1890" s="13">
        <f>IF(ISNA(VLOOKUP(LOWER(F1890)&amp;H1890,Prices!A:C,2,0)),0,VLOOKUP(LOWER(F1890)&amp;H1890,Prices!A:C,2,0))</f>
        <v>13.68</v>
      </c>
      <c r="W1890" s="13">
        <f t="shared" si="1052"/>
        <v>-5918.3644999999988</v>
      </c>
      <c r="X1890" s="13">
        <f t="shared" si="1053"/>
        <v>80.999999999999872</v>
      </c>
      <c r="Y1890" s="43">
        <f t="shared" si="1054"/>
        <v>-0.32473879286694096</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16.97</v>
      </c>
      <c r="V1891" s="13">
        <f>IF(ISNA(VLOOKUP(LOWER(F1891)&amp;H1891,Prices!A:C,2,0)),0,VLOOKUP(LOWER(F1891)&amp;H1891,Prices!A:C,2,0))</f>
        <v>17.22</v>
      </c>
      <c r="W1891" s="13">
        <f t="shared" si="1052"/>
        <v>302.99999999999795</v>
      </c>
      <c r="X1891" s="13">
        <f t="shared" si="1053"/>
        <v>275</v>
      </c>
      <c r="Y1891" s="43">
        <f t="shared" si="1054"/>
        <v>1.6260598905226895E-2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16.93</v>
      </c>
      <c r="V1892" s="30">
        <f>IF(ISNA(VLOOKUP(LOWER(F1892)&amp;H1892,Prices!A:C,2,0)),0,VLOOKUP(LOWER(F1892)&amp;H1892,Prices!A:C,2,0))</f>
        <v>17.02</v>
      </c>
      <c r="W1892" s="30">
        <f t="shared" si="1052"/>
        <v>2347.6045399999989</v>
      </c>
      <c r="X1892" s="30">
        <f t="shared" si="1053"/>
        <v>116.99999999999982</v>
      </c>
      <c r="Y1892" s="40">
        <f t="shared" si="1054"/>
        <v>0.11872778738684059</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13.59</v>
      </c>
      <c r="V1893" s="13">
        <f>IF(ISNA(VLOOKUP(LOWER(F1893)&amp;H1893,Prices!A:C,2,0)),0,VLOOKUP(LOWER(F1893)&amp;H1893,Prices!A:C,2,0))</f>
        <v>13.68</v>
      </c>
      <c r="W1893" s="13">
        <f t="shared" si="1052"/>
        <v>-5819.3625199999979</v>
      </c>
      <c r="X1893" s="13">
        <f t="shared" si="1053"/>
        <v>80.999999999999872</v>
      </c>
      <c r="Y1893" s="43">
        <f t="shared" si="1054"/>
        <v>-0.32105056383096092</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29.64</v>
      </c>
      <c r="V1894" s="13">
        <f>IF(ISNA(VLOOKUP(LOWER(F1894)&amp;H1894,Prices!A:C,2,0)),0,VLOOKUP(LOWER(F1894)&amp;H1894,Prices!A:C,2,0))</f>
        <v>30.42</v>
      </c>
      <c r="W1894" s="13">
        <f t="shared" ref="W1894:W1900" si="1059">IF(I1894="B",(V1894+T1894)*K1894,(V1894+T1894)*K1894)</f>
        <v>-636.56916000000047</v>
      </c>
      <c r="X1894" s="13">
        <f t="shared" ref="X1894:X1900" si="1060">K1894*(V1894-U1894)</f>
        <v>-156.00000000000023</v>
      </c>
      <c r="Y1894" s="43">
        <f t="shared" ref="Y1894:Y1900" si="1061">W1894/O1894</f>
        <v>-0.11663048002931485</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68.900000000000006</v>
      </c>
      <c r="V1895" s="13">
        <f>IF(ISNA(VLOOKUP(LOWER(F1895)&amp;H1895,Prices!A:C,2,0)),0,VLOOKUP(LOWER(F1895)&amp;H1895,Prices!A:C,2,0))</f>
        <v>72.989999999999995</v>
      </c>
      <c r="W1895" s="13">
        <f t="shared" si="1059"/>
        <v>-4577.0399999999991</v>
      </c>
      <c r="X1895" s="13">
        <f t="shared" si="1060"/>
        <v>-817.99999999999784</v>
      </c>
      <c r="Y1895" s="43">
        <f t="shared" si="1061"/>
        <v>-0.45606217616580302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25.86</v>
      </c>
      <c r="V1896" s="13">
        <f>IF(ISNA(VLOOKUP(LOWER(F1896)&amp;H1896,Prices!A:C,2,0)),0,VLOOKUP(LOWER(F1896)&amp;H1896,Prices!A:C,2,0))</f>
        <v>24.82</v>
      </c>
      <c r="W1896" s="13">
        <f t="shared" si="1059"/>
        <v>-3628.5056000000004</v>
      </c>
      <c r="X1896" s="13">
        <f t="shared" si="1060"/>
        <v>623.99999999999955</v>
      </c>
      <c r="Y1896" s="43">
        <f t="shared" si="1061"/>
        <v>-0.32167602836879439</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29.38</v>
      </c>
      <c r="V1897" s="13">
        <f>IF(ISNA(VLOOKUP(LOWER(F1897)&amp;H1897,Prices!A:C,2,0)),0,VLOOKUP(LOWER(F1897)&amp;H1897,Prices!A:C,2,0))</f>
        <v>30.53</v>
      </c>
      <c r="W1897" s="13">
        <f t="shared" si="1059"/>
        <v>-5839.9821599999996</v>
      </c>
      <c r="X1897" s="13">
        <f t="shared" si="1060"/>
        <v>-920.00000000000171</v>
      </c>
      <c r="Y1897" s="43">
        <f t="shared" si="1061"/>
        <v>-0.31384254944110057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33.22</v>
      </c>
      <c r="V1898" s="13">
        <f>IF(ISNA(VLOOKUP(LOWER(F1898)&amp;H1898,Prices!A:C,2,0)),0,VLOOKUP(LOWER(F1898)&amp;H1898,Prices!A:C,2,0))</f>
        <v>33.1</v>
      </c>
      <c r="W1898" s="13">
        <f t="shared" si="1059"/>
        <v>-2307.788919999995</v>
      </c>
      <c r="X1898" s="13">
        <f t="shared" si="1060"/>
        <v>167.99999999999642</v>
      </c>
      <c r="Y1898" s="43">
        <f t="shared" si="1061"/>
        <v>-5.2347432745089031E-2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13.59</v>
      </c>
      <c r="V1899" s="13">
        <f>IF(ISNA(VLOOKUP(LOWER(F1899)&amp;H1899,Prices!A:C,2,0)),0,VLOOKUP(LOWER(F1899)&amp;H1899,Prices!A:C,2,0))</f>
        <v>13.68</v>
      </c>
      <c r="W1899" s="13">
        <f t="shared" si="1059"/>
        <v>7849.0225200000023</v>
      </c>
      <c r="X1899" s="13">
        <f t="shared" si="1060"/>
        <v>-125.9999999999998</v>
      </c>
      <c r="Y1899" s="43">
        <f t="shared" si="1061"/>
        <v>0.29033892579714443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7.85</v>
      </c>
      <c r="V1900" s="13">
        <f>IF(ISNA(VLOOKUP(LOWER(F1900)&amp;H1900,Prices!A:C,2,0)),0,VLOOKUP(LOWER(F1900)&amp;H1900,Prices!A:C,2,0))</f>
        <v>7.98</v>
      </c>
      <c r="W1900" s="13">
        <f t="shared" si="1059"/>
        <v>-1270.3923799999986</v>
      </c>
      <c r="X1900" s="13">
        <f t="shared" si="1060"/>
        <v>299.00000000000182</v>
      </c>
      <c r="Y1900" s="43">
        <f t="shared" si="1061"/>
        <v>-6.4753166828074762E-2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45.95</v>
      </c>
      <c r="V1901" s="13">
        <f>IF(ISNA(VLOOKUP(LOWER(F1901)&amp;H1901,Prices!A:C,2,0)),0,VLOOKUP(LOWER(F1901)&amp;H1901,Prices!A:C,2,0))</f>
        <v>45.82</v>
      </c>
      <c r="W1901" s="13">
        <f t="shared" ref="W1901:W1964" si="1066">IF(I1901="B",(V1901+T1901)*K1901,(V1901+T1901)*K1901)</f>
        <v>-2170.7700000000009</v>
      </c>
      <c r="X1901" s="13">
        <f t="shared" ref="X1901:X1964" si="1067">K1901*(V1901-U1901)</f>
        <v>65.000000000001279</v>
      </c>
      <c r="Y1901" s="43">
        <f t="shared" ref="Y1901:Y1964" si="1068">W1901/O1901</f>
        <v>-0.10453985071032992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7.85</v>
      </c>
      <c r="V1902" s="13">
        <f>IF(ISNA(VLOOKUP(LOWER(F1902)&amp;H1902,Prices!A:C,2,0)),0,VLOOKUP(LOWER(F1902)&amp;H1902,Prices!A:C,2,0))</f>
        <v>7.98</v>
      </c>
      <c r="W1902" s="13">
        <f t="shared" si="1066"/>
        <v>-138.6047800000016</v>
      </c>
      <c r="X1902" s="13">
        <f t="shared" si="1067"/>
        <v>-299.00000000000182</v>
      </c>
      <c r="Y1902" s="43">
        <f t="shared" si="1068"/>
        <v>-7.599362903668052E-3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27.36</v>
      </c>
      <c r="V1903" s="13">
        <f>IF(ISNA(VLOOKUP(LOWER(F1903)&amp;H1903,Prices!A:C,2,0)),0,VLOOKUP(LOWER(F1903)&amp;H1903,Prices!A:C,2,0))</f>
        <v>25.09</v>
      </c>
      <c r="W1903" s="13">
        <f t="shared" si="1066"/>
        <v>1478.9638000000064</v>
      </c>
      <c r="X1903" s="13">
        <f t="shared" si="1067"/>
        <v>4312.9999999999991</v>
      </c>
      <c r="Y1903" s="43">
        <f t="shared" si="1068"/>
        <v>3.0054131274131403E-2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33.22</v>
      </c>
      <c r="V1904" s="13">
        <f>IF(ISNA(VLOOKUP(LOWER(F1904)&amp;H1904,Prices!A:C,2,0)),0,VLOOKUP(LOWER(F1904)&amp;H1904,Prices!A:C,2,0))</f>
        <v>33.1</v>
      </c>
      <c r="W1904" s="13">
        <f t="shared" si="1066"/>
        <v>-1734.4852000000024</v>
      </c>
      <c r="X1904" s="13">
        <f t="shared" si="1067"/>
        <v>167.99999999999642</v>
      </c>
      <c r="Y1904" s="43">
        <f t="shared" si="1068"/>
        <v>-3.8837554858934219E-2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55.5</v>
      </c>
      <c r="V1905" s="13">
        <f>IF(ISNA(VLOOKUP(LOWER(F1905)&amp;H1905,Prices!A:C,2,0)),0,VLOOKUP(LOWER(F1905)&amp;H1905,Prices!A:C,2,0))</f>
        <v>55.89</v>
      </c>
      <c r="W1905" s="13">
        <f t="shared" si="1066"/>
        <v>-35610.084000000003</v>
      </c>
      <c r="X1905" s="13">
        <f t="shared" si="1067"/>
        <v>-702.00000000000102</v>
      </c>
      <c r="Y1905" s="43">
        <f t="shared" si="1068"/>
        <v>-0.54725809128630709</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39.799999999999997</v>
      </c>
      <c r="V1906" s="13">
        <f>IF(ISNA(VLOOKUP(LOWER(F1906)&amp;H1906,Prices!A:C,2,0)),0,VLOOKUP(LOWER(F1906)&amp;H1906,Prices!A:C,2,0))</f>
        <v>41.55</v>
      </c>
      <c r="W1906" s="13">
        <f t="shared" si="1066"/>
        <v>-30818.744799999989</v>
      </c>
      <c r="X1906" s="13">
        <f t="shared" si="1067"/>
        <v>-4900</v>
      </c>
      <c r="Y1906" s="43">
        <f t="shared" si="1068"/>
        <v>-0.35993115014481908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29.64</v>
      </c>
      <c r="V1907" s="13">
        <f>IF(ISNA(VLOOKUP(LOWER(F1907)&amp;H1907,Prices!A:C,2,0)),0,VLOOKUP(LOWER(F1907)&amp;H1907,Prices!A:C,2,0))</f>
        <v>30.42</v>
      </c>
      <c r="W1907" s="13">
        <f t="shared" si="1066"/>
        <v>-784.41620000000114</v>
      </c>
      <c r="X1907" s="13">
        <f t="shared" si="1067"/>
        <v>-156.00000000000023</v>
      </c>
      <c r="Y1907" s="43">
        <f t="shared" si="1068"/>
        <v>-0.14772433145009436</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68.900000000000006</v>
      </c>
      <c r="V1908" s="13">
        <f>IF(ISNA(VLOOKUP(LOWER(F1908)&amp;H1908,Prices!A:C,2,0)),0,VLOOKUP(LOWER(F1908)&amp;H1908,Prices!A:C,2,0))</f>
        <v>72.989999999999995</v>
      </c>
      <c r="W1908" s="13">
        <f t="shared" si="1066"/>
        <v>-4856.76</v>
      </c>
      <c r="X1908" s="13">
        <f t="shared" si="1067"/>
        <v>-817.99999999999784</v>
      </c>
      <c r="Y1908" s="43">
        <f t="shared" si="1068"/>
        <v>-0.4978228782287823</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25.86</v>
      </c>
      <c r="V1909" s="13">
        <f>IF(ISNA(VLOOKUP(LOWER(F1909)&amp;H1909,Prices!A:C,2,0)),0,VLOOKUP(LOWER(F1909)&amp;H1909,Prices!A:C,2,0))</f>
        <v>24.82</v>
      </c>
      <c r="W1909" s="13">
        <f t="shared" si="1066"/>
        <v>-3772.3627199999996</v>
      </c>
      <c r="X1909" s="13">
        <f t="shared" si="1067"/>
        <v>623.99999999999955</v>
      </c>
      <c r="Y1909" s="43">
        <f t="shared" si="1068"/>
        <v>-0.33875383620689653</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13.59</v>
      </c>
      <c r="V1910" s="13">
        <f>IF(ISNA(VLOOKUP(LOWER(F1910)&amp;H1910,Prices!A:C,2,0)),0,VLOOKUP(LOWER(F1910)&amp;H1910,Prices!A:C,2,0))</f>
        <v>13.68</v>
      </c>
      <c r="W1910" s="13">
        <f t="shared" si="1066"/>
        <v>5947.3413999999975</v>
      </c>
      <c r="X1910" s="13">
        <f t="shared" si="1067"/>
        <v>-125.9999999999998</v>
      </c>
      <c r="Y1910" s="43">
        <f t="shared" si="1068"/>
        <v>0.23666300835654586</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29.64</v>
      </c>
      <c r="V1911" s="13">
        <f>IF(ISNA(VLOOKUP(LOWER(F1911)&amp;H1911,Prices!A:C,2,0)),0,VLOOKUP(LOWER(F1911)&amp;H1911,Prices!A:C,2,0))</f>
        <v>30.42</v>
      </c>
      <c r="W1911" s="13">
        <f t="shared" si="1066"/>
        <v>2731.6288600000007</v>
      </c>
      <c r="X1911" s="13">
        <f t="shared" si="1067"/>
        <v>546.0000000000008</v>
      </c>
      <c r="Y1911" s="43">
        <f t="shared" si="1068"/>
        <v>0.14720207253327589</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29.64</v>
      </c>
      <c r="V1912" s="13">
        <f>IF(ISNA(VLOOKUP(LOWER(F1912)&amp;H1912,Prices!A:C,2,0)),0,VLOOKUP(LOWER(F1912)&amp;H1912,Prices!A:C,2,0))</f>
        <v>30.42</v>
      </c>
      <c r="W1912" s="13">
        <f t="shared" si="1066"/>
        <v>2752.6292800000015</v>
      </c>
      <c r="X1912" s="13">
        <f t="shared" si="1067"/>
        <v>546.0000000000008</v>
      </c>
      <c r="Y1912" s="43">
        <f t="shared" si="1068"/>
        <v>0.14850179542511877</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33.22</v>
      </c>
      <c r="V1913" s="13">
        <f>IF(ISNA(VLOOKUP(LOWER(F1913)&amp;H1913,Prices!A:C,2,0)),0,VLOOKUP(LOWER(F1913)&amp;H1913,Prices!A:C,2,0))</f>
        <v>33.1</v>
      </c>
      <c r="W1913" s="13">
        <f t="shared" si="1066"/>
        <v>918.62127999999927</v>
      </c>
      <c r="X1913" s="13">
        <f t="shared" si="1067"/>
        <v>-71.999999999998465</v>
      </c>
      <c r="Y1913" s="43">
        <f t="shared" si="1068"/>
        <v>4.8511896915927298E-2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29.38</v>
      </c>
      <c r="V1914" s="13">
        <f>IF(ISNA(VLOOKUP(LOWER(F1914)&amp;H1914,Prices!A:C,2,0)),0,VLOOKUP(LOWER(F1914)&amp;H1914,Prices!A:C,2,0))</f>
        <v>30.53</v>
      </c>
      <c r="W1914" s="13">
        <f t="shared" si="1066"/>
        <v>5458.6208000000024</v>
      </c>
      <c r="X1914" s="13">
        <f t="shared" si="1067"/>
        <v>920.00000000000171</v>
      </c>
      <c r="Y1914" s="43">
        <f t="shared" si="1068"/>
        <v>0.28790194092827015</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29.64</v>
      </c>
      <c r="V1915" s="13">
        <f>IF(ISNA(VLOOKUP(LOWER(F1915)&amp;H1915,Prices!A:C,2,0)),0,VLOOKUP(LOWER(F1915)&amp;H1915,Prices!A:C,2,0))</f>
        <v>30.42</v>
      </c>
      <c r="W1915" s="13">
        <f t="shared" si="1066"/>
        <v>2290.620040000003</v>
      </c>
      <c r="X1915" s="13">
        <f t="shared" si="1067"/>
        <v>546.0000000000008</v>
      </c>
      <c r="Y1915" s="43">
        <f t="shared" si="1068"/>
        <v>0.12057164122539231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29.64</v>
      </c>
      <c r="V1916" s="13">
        <f>IF(ISNA(VLOOKUP(LOWER(F1916)&amp;H1916,Prices!A:C,2,0)),0,VLOOKUP(LOWER(F1916)&amp;H1916,Prices!A:C,2,0))</f>
        <v>30.42</v>
      </c>
      <c r="W1916" s="13">
        <f t="shared" si="1066"/>
        <v>2262.6194800000017</v>
      </c>
      <c r="X1916" s="13">
        <f t="shared" si="1067"/>
        <v>546.0000000000008</v>
      </c>
      <c r="Y1916" s="43">
        <f t="shared" si="1068"/>
        <v>0.11892249973720181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29.38</v>
      </c>
      <c r="V1917" s="13">
        <f>IF(ISNA(VLOOKUP(LOWER(F1917)&amp;H1917,Prices!A:C,2,0)),0,VLOOKUP(LOWER(F1917)&amp;H1917,Prices!A:C,2,0))</f>
        <v>30.53</v>
      </c>
      <c r="W1917" s="13">
        <f t="shared" si="1066"/>
        <v>5458.6208000000024</v>
      </c>
      <c r="X1917" s="13">
        <f t="shared" si="1067"/>
        <v>920.00000000000171</v>
      </c>
      <c r="Y1917" s="43">
        <f t="shared" si="1068"/>
        <v>0.28790194092827015</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29.38</v>
      </c>
      <c r="V1918" s="13">
        <f>IF(ISNA(VLOOKUP(LOWER(F1918)&amp;H1918,Prices!A:C,2,0)),0,VLOOKUP(LOWER(F1918)&amp;H1918,Prices!A:C,2,0))</f>
        <v>30.53</v>
      </c>
      <c r="W1918" s="13">
        <f t="shared" si="1066"/>
        <v>5450.6206400000028</v>
      </c>
      <c r="X1918" s="13">
        <f t="shared" si="1067"/>
        <v>920.00000000000171</v>
      </c>
      <c r="Y1918" s="43">
        <f t="shared" si="1068"/>
        <v>0.2873587431463519</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29.38</v>
      </c>
      <c r="V1919" s="13">
        <f>IF(ISNA(VLOOKUP(LOWER(F1919)&amp;H1919,Prices!A:C,2,0)),0,VLOOKUP(LOWER(F1919)&amp;H1919,Prices!A:C,2,0))</f>
        <v>30.53</v>
      </c>
      <c r="W1919" s="13">
        <f t="shared" si="1066"/>
        <v>5450.6206400000028</v>
      </c>
      <c r="X1919" s="13">
        <f t="shared" si="1067"/>
        <v>920.00000000000171</v>
      </c>
      <c r="Y1919" s="43">
        <f t="shared" si="1068"/>
        <v>0.2873587431463519</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33.22</v>
      </c>
      <c r="V1920" s="13">
        <f>IF(ISNA(VLOOKUP(LOWER(F1920)&amp;H1920,Prices!A:C,2,0)),0,VLOOKUP(LOWER(F1920)&amp;H1920,Prices!A:C,2,0))</f>
        <v>33.1</v>
      </c>
      <c r="W1920" s="13">
        <f t="shared" si="1066"/>
        <v>918.62127999999927</v>
      </c>
      <c r="X1920" s="13">
        <f t="shared" si="1067"/>
        <v>-71.999999999998465</v>
      </c>
      <c r="Y1920" s="43">
        <f t="shared" si="1068"/>
        <v>4.8511896915927298E-2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55.5</v>
      </c>
      <c r="V1921" s="13">
        <f>IF(ISNA(VLOOKUP(LOWER(F1921)&amp;H1921,Prices!A:C,2,0)),0,VLOOKUP(LOWER(F1921)&amp;H1921,Prices!A:C,2,0))</f>
        <v>55.89</v>
      </c>
      <c r="W1921" s="13">
        <f t="shared" si="1066"/>
        <v>9855</v>
      </c>
      <c r="X1921" s="13">
        <f t="shared" si="1067"/>
        <v>195.00000000000028</v>
      </c>
      <c r="Y1921" s="43">
        <f t="shared" si="1068"/>
        <v>0.54492673486314624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55.5</v>
      </c>
      <c r="V1922" s="13">
        <f>IF(ISNA(VLOOKUP(LOWER(F1922)&amp;H1922,Prices!A:C,2,0)),0,VLOOKUP(LOWER(F1922)&amp;H1922,Prices!A:C,2,0))</f>
        <v>55.89</v>
      </c>
      <c r="W1922" s="13">
        <f t="shared" si="1066"/>
        <v>19572.738000000001</v>
      </c>
      <c r="X1922" s="13">
        <f t="shared" si="1067"/>
        <v>390.00000000000057</v>
      </c>
      <c r="Y1922" s="43">
        <f t="shared" si="1068"/>
        <v>0.539045386945745</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13.59</v>
      </c>
      <c r="V1923" s="13">
        <f>IF(ISNA(VLOOKUP(LOWER(F1923)&amp;H1923,Prices!A:C,2,0)),0,VLOOKUP(LOWER(F1923)&amp;H1923,Prices!A:C,2,0))</f>
        <v>13.68</v>
      </c>
      <c r="W1923" s="13">
        <f t="shared" si="1066"/>
        <v>-5295.3794000000016</v>
      </c>
      <c r="X1923" s="13">
        <f t="shared" si="1067"/>
        <v>89.999999999999858</v>
      </c>
      <c r="Y1923" s="43">
        <f t="shared" si="1068"/>
        <v>-0.279144934106484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7.85</v>
      </c>
      <c r="V1924" s="13">
        <f>IF(ISNA(VLOOKUP(LOWER(F1924)&amp;H1924,Prices!A:C,2,0)),0,VLOOKUP(LOWER(F1924)&amp;H1924,Prices!A:C,2,0))</f>
        <v>7.98</v>
      </c>
      <c r="W1924" s="13">
        <f t="shared" si="1066"/>
        <v>-173.38639999999685</v>
      </c>
      <c r="X1924" s="13">
        <f t="shared" si="1067"/>
        <v>312.00000000000188</v>
      </c>
      <c r="Y1924" s="43">
        <f t="shared" si="1068"/>
        <v>-8.9744513457555315E-3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55.5</v>
      </c>
      <c r="V1925" s="13">
        <f>IF(ISNA(VLOOKUP(LOWER(F1925)&amp;H1925,Prices!A:C,2,0)),0,VLOOKUP(LOWER(F1925)&amp;H1925,Prices!A:C,2,0))</f>
        <v>55.89</v>
      </c>
      <c r="W1925" s="13">
        <f t="shared" si="1066"/>
        <v>9790</v>
      </c>
      <c r="X1925" s="13">
        <f t="shared" si="1067"/>
        <v>195.00000000000028</v>
      </c>
      <c r="Y1925" s="43">
        <f t="shared" si="1068"/>
        <v>0.53939393939393943</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55.5</v>
      </c>
      <c r="V1926" s="13">
        <f>IF(ISNA(VLOOKUP(LOWER(F1926)&amp;H1926,Prices!A:C,2,0)),0,VLOOKUP(LOWER(F1926)&amp;H1926,Prices!A:C,2,0))</f>
        <v>55.89</v>
      </c>
      <c r="W1926" s="13">
        <f t="shared" si="1066"/>
        <v>9786.0000000000018</v>
      </c>
      <c r="X1926" s="13">
        <f t="shared" si="1067"/>
        <v>195.00000000000028</v>
      </c>
      <c r="Y1926" s="43">
        <f t="shared" si="1068"/>
        <v>0.53905475377327317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15.73</v>
      </c>
      <c r="V1927" s="13">
        <f>IF(ISNA(VLOOKUP(LOWER(F1927)&amp;H1927,Prices!A:C,2,0)),0,VLOOKUP(LOWER(F1927)&amp;H1927,Prices!A:C,2,0))</f>
        <v>15.59</v>
      </c>
      <c r="W1927" s="13">
        <f t="shared" si="1066"/>
        <v>1177.6183200000003</v>
      </c>
      <c r="X1927" s="13">
        <f t="shared" si="1067"/>
        <v>-182.00000000000074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27.36</v>
      </c>
      <c r="V1928" s="13">
        <f>IF(ISNA(VLOOKUP(LOWER(F1928)&amp;H1928,Prices!A:C,2,0)),0,VLOOKUP(LOWER(F1928)&amp;H1928,Prices!A:C,2,0))</f>
        <v>25.09</v>
      </c>
      <c r="W1928" s="13">
        <f t="shared" si="1066"/>
        <v>-579.36274000000094</v>
      </c>
      <c r="X1928" s="13">
        <f t="shared" si="1067"/>
        <v>-1588.9999999999998</v>
      </c>
      <c r="Y1928" s="43">
        <f t="shared" si="1068"/>
        <v>-3.1943691900534872E-2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55.5</v>
      </c>
      <c r="V1929" s="13">
        <f>IF(ISNA(VLOOKUP(LOWER(F1929)&amp;H1929,Prices!A:C,2,0)),0,VLOOKUP(LOWER(F1929)&amp;H1929,Prices!A:C,2,0))</f>
        <v>55.89</v>
      </c>
      <c r="W1929" s="13">
        <f t="shared" si="1066"/>
        <v>9805</v>
      </c>
      <c r="X1929" s="13">
        <f t="shared" si="1067"/>
        <v>195.00000000000028</v>
      </c>
      <c r="Y1929" s="43">
        <f t="shared" si="1068"/>
        <v>0.54066721808657292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27.36</v>
      </c>
      <c r="V1930" s="13">
        <f>IF(ISNA(VLOOKUP(LOWER(F1930)&amp;H1930,Prices!A:C,2,0)),0,VLOOKUP(LOWER(F1930)&amp;H1930,Prices!A:C,2,0))</f>
        <v>25.09</v>
      </c>
      <c r="W1930" s="13">
        <f t="shared" si="1066"/>
        <v>-586.36288000000116</v>
      </c>
      <c r="X1930" s="13">
        <f t="shared" si="1067"/>
        <v>-1588.9999999999998</v>
      </c>
      <c r="Y1930" s="43">
        <f t="shared" si="1068"/>
        <v>-3.2317178130511527E-2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33.22</v>
      </c>
      <c r="V1931" s="13">
        <f>IF(ISNA(VLOOKUP(LOWER(F1931)&amp;H1931,Prices!A:C,2,0)),0,VLOOKUP(LOWER(F1931)&amp;H1931,Prices!A:C,2,0))</f>
        <v>33.1</v>
      </c>
      <c r="W1931" s="13">
        <f t="shared" si="1066"/>
        <v>1002.6229600000022</v>
      </c>
      <c r="X1931" s="13">
        <f t="shared" si="1067"/>
        <v>-71.999999999998465</v>
      </c>
      <c r="Y1931" s="43">
        <f t="shared" si="1068"/>
        <v>5.3183904095056342E-2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33.22</v>
      </c>
      <c r="V1932" s="13">
        <f>IF(ISNA(VLOOKUP(LOWER(F1932)&amp;H1932,Prices!A:C,2,0)),0,VLOOKUP(LOWER(F1932)&amp;H1932,Prices!A:C,2,0))</f>
        <v>33.1</v>
      </c>
      <c r="W1932" s="13">
        <f t="shared" si="1066"/>
        <v>1008.6230800000023</v>
      </c>
      <c r="X1932" s="13">
        <f t="shared" si="1067"/>
        <v>-71.999999999998465</v>
      </c>
      <c r="Y1932" s="43">
        <f t="shared" si="1068"/>
        <v>5.3519212565000654E-2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16.97</v>
      </c>
      <c r="V1933" s="13">
        <f>IF(ISNA(VLOOKUP(LOWER(F1933)&amp;H1933,Prices!A:C,2,0)),0,VLOOKUP(LOWER(F1933)&amp;H1933,Prices!A:C,2,0))</f>
        <v>17.22</v>
      </c>
      <c r="W1933" s="13">
        <f t="shared" si="1066"/>
        <v>1050.9999999999991</v>
      </c>
      <c r="X1933" s="13">
        <f t="shared" si="1067"/>
        <v>300</v>
      </c>
      <c r="Y1933" s="43">
        <f t="shared" si="1068"/>
        <v>5.3600571195430387E-2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27.36</v>
      </c>
      <c r="V1934" s="13">
        <f>IF(ISNA(VLOOKUP(LOWER(F1934)&amp;H1934,Prices!A:C,2,0)),0,VLOOKUP(LOWER(F1934)&amp;H1934,Prices!A:C,2,0))</f>
        <v>25.09</v>
      </c>
      <c r="W1934" s="13">
        <f t="shared" si="1066"/>
        <v>-600.36316000000159</v>
      </c>
      <c r="X1934" s="13">
        <f t="shared" si="1067"/>
        <v>-1588.9999999999998</v>
      </c>
      <c r="Y1934" s="43">
        <f t="shared" si="1068"/>
        <v>-3.3063286705584401E-2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33.22</v>
      </c>
      <c r="V1935" s="13">
        <f>IF(ISNA(VLOOKUP(LOWER(F1935)&amp;H1935,Prices!A:C,2,0)),0,VLOOKUP(LOWER(F1935)&amp;H1935,Prices!A:C,2,0))</f>
        <v>33.1</v>
      </c>
      <c r="W1935" s="13">
        <f t="shared" si="1066"/>
        <v>1020.6233200000007</v>
      </c>
      <c r="X1935" s="13">
        <f t="shared" si="1067"/>
        <v>-71.999999999998465</v>
      </c>
      <c r="Y1935" s="43">
        <f t="shared" si="1068"/>
        <v>5.4190470425825671E-2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33.22</v>
      </c>
      <c r="V1936" s="13">
        <f>IF(ISNA(VLOOKUP(LOWER(F1936)&amp;H1936,Prices!A:C,2,0)),0,VLOOKUP(LOWER(F1936)&amp;H1936,Prices!A:C,2,0))</f>
        <v>33.1</v>
      </c>
      <c r="W1936" s="13">
        <f t="shared" si="1066"/>
        <v>2043.7130399999987</v>
      </c>
      <c r="X1936" s="13">
        <f t="shared" si="1067"/>
        <v>-143.99999999999693</v>
      </c>
      <c r="Y1936" s="43">
        <f t="shared" si="1068"/>
        <v>5.425594775406177E-2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15.73</v>
      </c>
      <c r="V1937" s="13">
        <f>IF(ISNA(VLOOKUP(LOWER(F1937)&amp;H1937,Prices!A:C,2,0)),0,VLOOKUP(LOWER(F1937)&amp;H1937,Prices!A:C,2,0))</f>
        <v>15.59</v>
      </c>
      <c r="W1937" s="13">
        <f t="shared" si="1066"/>
        <v>1112.6170200000001</v>
      </c>
      <c r="X1937" s="13">
        <f t="shared" si="1067"/>
        <v>-182.00000000000074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7.85</v>
      </c>
      <c r="V1938" s="13">
        <f>IF(ISNA(VLOOKUP(LOWER(F1938)&amp;H1938,Prices!A:C,2,0)),0,VLOOKUP(LOWER(F1938)&amp;H1938,Prices!A:C,2,0))</f>
        <v>7.98</v>
      </c>
      <c r="W1938" s="13">
        <f t="shared" si="1066"/>
        <v>-365.39024000000353</v>
      </c>
      <c r="X1938" s="13">
        <f t="shared" si="1067"/>
        <v>312.00000000000188</v>
      </c>
      <c r="Y1938" s="43">
        <f t="shared" si="1068"/>
        <v>-1.872643706437082E-2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16.97</v>
      </c>
      <c r="V1939" s="13">
        <f>IF(ISNA(VLOOKUP(LOWER(F1939)&amp;H1939,Prices!A:C,2,0)),0,VLOOKUP(LOWER(F1939)&amp;H1939,Prices!A:C,2,0))</f>
        <v>17.22</v>
      </c>
      <c r="W1939" s="13">
        <f t="shared" si="1066"/>
        <v>1026.9999999999995</v>
      </c>
      <c r="X1939" s="13">
        <f t="shared" si="1067"/>
        <v>300</v>
      </c>
      <c r="Y1939" s="43">
        <f t="shared" si="1068"/>
        <v>5.2312550937245288E-2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7.85</v>
      </c>
      <c r="V1940" s="13">
        <f>IF(ISNA(VLOOKUP(LOWER(F1940)&amp;H1940,Prices!A:C,2,0)),0,VLOOKUP(LOWER(F1940)&amp;H1940,Prices!A:C,2,0))</f>
        <v>7.98</v>
      </c>
      <c r="W1940" s="13">
        <f t="shared" si="1066"/>
        <v>-413.39119999999667</v>
      </c>
      <c r="X1940" s="13">
        <f t="shared" si="1067"/>
        <v>312.00000000000188</v>
      </c>
      <c r="Y1940" s="43">
        <f t="shared" si="1068"/>
        <v>-2.1134519427402694E-2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16.97</v>
      </c>
      <c r="V1941" s="13">
        <f>IF(ISNA(VLOOKUP(LOWER(F1941)&amp;H1941,Prices!A:C,2,0)),0,VLOOKUP(LOWER(F1941)&amp;H1941,Prices!A:C,2,0))</f>
        <v>17.22</v>
      </c>
      <c r="W1941" s="13">
        <f t="shared" si="1066"/>
        <v>1003.0000000000001</v>
      </c>
      <c r="X1941" s="13">
        <f t="shared" si="1067"/>
        <v>300</v>
      </c>
      <c r="Y1941" s="43">
        <f t="shared" si="1068"/>
        <v>5.1027676027676036E-2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7.85</v>
      </c>
      <c r="V1942" s="13">
        <f>IF(ISNA(VLOOKUP(LOWER(F1942)&amp;H1942,Prices!A:C,2,0)),0,VLOOKUP(LOWER(F1942)&amp;H1942,Prices!A:C,2,0))</f>
        <v>7.98</v>
      </c>
      <c r="W1942" s="13">
        <f t="shared" si="1066"/>
        <v>-437.39167999999751</v>
      </c>
      <c r="X1942" s="13">
        <f t="shared" si="1067"/>
        <v>312.00000000000188</v>
      </c>
      <c r="Y1942" s="43">
        <f t="shared" si="1068"/>
        <v>-2.2334133986927976E-2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27.36</v>
      </c>
      <c r="V1943" s="13">
        <f>IF(ISNA(VLOOKUP(LOWER(F1943)&amp;H1943,Prices!A:C,2,0)),0,VLOOKUP(LOWER(F1943)&amp;H1943,Prices!A:C,2,0))</f>
        <v>25.09</v>
      </c>
      <c r="W1943" s="13">
        <f t="shared" si="1066"/>
        <v>-649.36414000000082</v>
      </c>
      <c r="X1943" s="13">
        <f t="shared" si="1067"/>
        <v>-1588.9999999999998</v>
      </c>
      <c r="Y1943" s="43">
        <f t="shared" si="1068"/>
        <v>-3.5665630801340185E-2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16.97</v>
      </c>
      <c r="V1944" s="13">
        <f>IF(ISNA(VLOOKUP(LOWER(F1944)&amp;H1944,Prices!A:C,2,0)),0,VLOOKUP(LOWER(F1944)&amp;H1944,Prices!A:C,2,0))</f>
        <v>17.22</v>
      </c>
      <c r="W1944" s="13">
        <f t="shared" si="1066"/>
        <v>1003.0000000000001</v>
      </c>
      <c r="X1944" s="13">
        <f t="shared" si="1067"/>
        <v>300</v>
      </c>
      <c r="Y1944" s="43">
        <f t="shared" si="1068"/>
        <v>5.1027676027676036E-2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16.97</v>
      </c>
      <c r="V1945" s="13">
        <f>IF(ISNA(VLOOKUP(LOWER(F1945)&amp;H1945,Prices!A:C,2,0)),0,VLOOKUP(LOWER(F1945)&amp;H1945,Prices!A:C,2,0))</f>
        <v>17.22</v>
      </c>
      <c r="W1945" s="13">
        <f t="shared" si="1066"/>
        <v>979.00000000000068</v>
      </c>
      <c r="X1945" s="13">
        <f t="shared" si="1067"/>
        <v>300</v>
      </c>
      <c r="Y1945" s="43">
        <f t="shared" si="1068"/>
        <v>4.9745934959349626E-2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16.97</v>
      </c>
      <c r="V1946" s="13">
        <f>IF(ISNA(VLOOKUP(LOWER(F1946)&amp;H1946,Prices!A:C,2,0)),0,VLOOKUP(LOWER(F1946)&amp;H1946,Prices!A:C,2,0))</f>
        <v>17.22</v>
      </c>
      <c r="W1946" s="13">
        <f t="shared" si="1066"/>
        <v>1003.0000000000001</v>
      </c>
      <c r="X1946" s="13">
        <f t="shared" si="1067"/>
        <v>300</v>
      </c>
      <c r="Y1946" s="43">
        <f t="shared" si="1068"/>
        <v>5.1027676027676036E-2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7.85</v>
      </c>
      <c r="V1947" s="13">
        <f>IF(ISNA(VLOOKUP(LOWER(F1947)&amp;H1947,Prices!A:C,2,0)),0,VLOOKUP(LOWER(F1947)&amp;H1947,Prices!A:C,2,0))</f>
        <v>7.98</v>
      </c>
      <c r="W1947" s="13">
        <f t="shared" si="1066"/>
        <v>-413.39119999999667</v>
      </c>
      <c r="X1947" s="13">
        <f t="shared" si="1067"/>
        <v>312.00000000000188</v>
      </c>
      <c r="Y1947" s="43">
        <f t="shared" si="1068"/>
        <v>-2.1134519427402694E-2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39.799999999999997</v>
      </c>
      <c r="V1948" s="13">
        <f>IF(ISNA(VLOOKUP(LOWER(F1948)&amp;H1948,Prices!A:C,2,0)),0,VLOOKUP(LOWER(F1948)&amp;H1948,Prices!A:C,2,0))</f>
        <v>41.55</v>
      </c>
      <c r="W1948" s="13">
        <f t="shared" si="1066"/>
        <v>7104.9999999999991</v>
      </c>
      <c r="X1948" s="13">
        <f t="shared" si="1067"/>
        <v>1050</v>
      </c>
      <c r="Y1948" s="43">
        <f t="shared" si="1068"/>
        <v>0.39870931537598198</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33.22</v>
      </c>
      <c r="V1949" s="13">
        <f>IF(ISNA(VLOOKUP(LOWER(F1949)&amp;H1949,Prices!A:C,2,0)),0,VLOOKUP(LOWER(F1949)&amp;H1949,Prices!A:C,2,0))</f>
        <v>33.1</v>
      </c>
      <c r="W1949" s="13">
        <f t="shared" si="1066"/>
        <v>888.62068000000033</v>
      </c>
      <c r="X1949" s="13">
        <f t="shared" si="1067"/>
        <v>-71.999999999998465</v>
      </c>
      <c r="Y1949" s="43">
        <f t="shared" si="1068"/>
        <v>4.6853352314668369E-2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55.5</v>
      </c>
      <c r="V1950" s="13">
        <f>IF(ISNA(VLOOKUP(LOWER(F1950)&amp;H1950,Prices!A:C,2,0)),0,VLOOKUP(LOWER(F1950)&amp;H1950,Prices!A:C,2,0))</f>
        <v>55.89</v>
      </c>
      <c r="W1950" s="13">
        <f t="shared" si="1066"/>
        <v>9820</v>
      </c>
      <c r="X1950" s="13">
        <f t="shared" si="1067"/>
        <v>195.00000000000028</v>
      </c>
      <c r="Y1950" s="43">
        <f t="shared" si="1068"/>
        <v>0.54194260485651213</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15.73</v>
      </c>
      <c r="V1951" s="13">
        <f>IF(ISNA(VLOOKUP(LOWER(F1951)&amp;H1951,Prices!A:C,2,0)),0,VLOOKUP(LOWER(F1951)&amp;H1951,Prices!A:C,2,0))</f>
        <v>15.59</v>
      </c>
      <c r="W1951" s="13">
        <f t="shared" si="1066"/>
        <v>2097.5458400000048</v>
      </c>
      <c r="X1951" s="13">
        <f t="shared" si="1067"/>
        <v>-364.00000000000148</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27.36</v>
      </c>
      <c r="V1952" s="13">
        <f>IF(ISNA(VLOOKUP(LOWER(F1952)&amp;H1952,Prices!A:C,2,0)),0,VLOOKUP(LOWER(F1952)&amp;H1952,Prices!A:C,2,0))</f>
        <v>25.09</v>
      </c>
      <c r="W1952" s="13">
        <f t="shared" si="1066"/>
        <v>-1448.5965000000026</v>
      </c>
      <c r="X1952" s="13">
        <f t="shared" si="1067"/>
        <v>-3404.9999999999995</v>
      </c>
      <c r="Y1952" s="43">
        <f t="shared" si="1068"/>
        <v>-3.7072207293666094E-2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33.22</v>
      </c>
      <c r="V1953" s="13">
        <f>IF(ISNA(VLOOKUP(LOWER(F1953)&amp;H1953,Prices!A:C,2,0)),0,VLOOKUP(LOWER(F1953)&amp;H1953,Prices!A:C,2,0))</f>
        <v>33.1</v>
      </c>
      <c r="W1953" s="13">
        <f t="shared" si="1066"/>
        <v>2224.5687000000044</v>
      </c>
      <c r="X1953" s="13">
        <f t="shared" si="1067"/>
        <v>-179.99999999999616</v>
      </c>
      <c r="Y1953" s="43">
        <f t="shared" si="1068"/>
        <v>4.6916981967731822E-2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33.22</v>
      </c>
      <c r="V1954" s="13">
        <f>IF(ISNA(VLOOKUP(LOWER(F1954)&amp;H1954,Prices!A:C,2,0)),0,VLOOKUP(LOWER(F1954)&amp;H1954,Prices!A:C,2,0))</f>
        <v>33.1</v>
      </c>
      <c r="W1954" s="13">
        <f t="shared" si="1066"/>
        <v>2269.5786000000044</v>
      </c>
      <c r="X1954" s="13">
        <f t="shared" si="1067"/>
        <v>-179.99999999999616</v>
      </c>
      <c r="Y1954" s="43">
        <f t="shared" si="1068"/>
        <v>4.7911728942368677E-2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27.36</v>
      </c>
      <c r="V1955" s="13">
        <f>IF(ISNA(VLOOKUP(LOWER(F1955)&amp;H1955,Prices!A:C,2,0)),0,VLOOKUP(LOWER(F1955)&amp;H1955,Prices!A:C,2,0))</f>
        <v>25.09</v>
      </c>
      <c r="W1955" s="13">
        <f t="shared" si="1066"/>
        <v>-2051.4884000000038</v>
      </c>
      <c r="X1955" s="13">
        <f t="shared" si="1067"/>
        <v>-4539.9999999999991</v>
      </c>
      <c r="Y1955" s="43">
        <f t="shared" si="1068"/>
        <v>-3.9285492148602143E-2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33.22</v>
      </c>
      <c r="V1956" s="13">
        <f>IF(ISNA(VLOOKUP(LOWER(F1956)&amp;H1956,Prices!A:C,2,0)),0,VLOOKUP(LOWER(F1956)&amp;H1956,Prices!A:C,2,0))</f>
        <v>33.1</v>
      </c>
      <c r="W1956" s="13">
        <f t="shared" si="1066"/>
        <v>2299.5852000000009</v>
      </c>
      <c r="X1956" s="13">
        <f t="shared" si="1067"/>
        <v>-179.99999999999616</v>
      </c>
      <c r="Y1956" s="43">
        <f t="shared" si="1068"/>
        <v>4.857594423320661E-2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39.799999999999997</v>
      </c>
      <c r="V1957" s="13">
        <f>IF(ISNA(VLOOKUP(LOWER(F1957)&amp;H1957,Prices!A:C,2,0)),0,VLOOKUP(LOWER(F1957)&amp;H1957,Prices!A:C,2,0))</f>
        <v>41.55</v>
      </c>
      <c r="W1957" s="13">
        <f t="shared" si="1066"/>
        <v>11864.063999999995</v>
      </c>
      <c r="X1957" s="13">
        <f t="shared" si="1067"/>
        <v>1750</v>
      </c>
      <c r="Y1957" s="43">
        <f t="shared" si="1068"/>
        <v>0.39973261455525588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39.799999999999997</v>
      </c>
      <c r="V1958" s="13">
        <f>IF(ISNA(VLOOKUP(LOWER(F1958)&amp;H1958,Prices!A:C,2,0)),0,VLOOKUP(LOWER(F1958)&amp;H1958,Prices!A:C,2,0))</f>
        <v>41.55</v>
      </c>
      <c r="W1958" s="13">
        <f t="shared" si="1066"/>
        <v>11854.061999999998</v>
      </c>
      <c r="X1958" s="13">
        <f t="shared" si="1067"/>
        <v>1750</v>
      </c>
      <c r="Y1958" s="43">
        <f t="shared" si="1068"/>
        <v>0.39926109801279885</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33.22</v>
      </c>
      <c r="V1959" s="13">
        <f>IF(ISNA(VLOOKUP(LOWER(F1959)&amp;H1959,Prices!A:C,2,0)),0,VLOOKUP(LOWER(F1959)&amp;H1959,Prices!A:C,2,0))</f>
        <v>33.1</v>
      </c>
      <c r="W1959" s="13">
        <f t="shared" si="1066"/>
        <v>894.6208000000006</v>
      </c>
      <c r="X1959" s="13">
        <f t="shared" si="1067"/>
        <v>-71.999999999998465</v>
      </c>
      <c r="Y1959" s="43">
        <f t="shared" si="1068"/>
        <v>4.7184641350211005E-2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33.22</v>
      </c>
      <c r="V1960" s="13">
        <f>IF(ISNA(VLOOKUP(LOWER(F1960)&amp;H1960,Prices!A:C,2,0)),0,VLOOKUP(LOWER(F1960)&amp;H1960,Prices!A:C,2,0))</f>
        <v>33.1</v>
      </c>
      <c r="W1960" s="13">
        <f t="shared" si="1066"/>
        <v>888.62068000000033</v>
      </c>
      <c r="X1960" s="13">
        <f t="shared" si="1067"/>
        <v>-71.999999999998465</v>
      </c>
      <c r="Y1960" s="43">
        <f t="shared" si="1068"/>
        <v>4.6853352314668369E-2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39.799999999999997</v>
      </c>
      <c r="V1961" s="13">
        <f>IF(ISNA(VLOOKUP(LOWER(F1961)&amp;H1961,Prices!A:C,2,0)),0,VLOOKUP(LOWER(F1961)&amp;H1961,Prices!A:C,2,0))</f>
        <v>41.55</v>
      </c>
      <c r="W1961" s="13">
        <f t="shared" si="1066"/>
        <v>7074.9999999999982</v>
      </c>
      <c r="X1961" s="13">
        <f t="shared" si="1067"/>
        <v>1050</v>
      </c>
      <c r="Y1961" s="43">
        <f t="shared" si="1068"/>
        <v>0.39635854341736687</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55.5</v>
      </c>
      <c r="V1962" s="13">
        <f>IF(ISNA(VLOOKUP(LOWER(F1962)&amp;H1962,Prices!A:C,2,0)),0,VLOOKUP(LOWER(F1962)&amp;H1962,Prices!A:C,2,0))</f>
        <v>55.89</v>
      </c>
      <c r="W1962" s="13">
        <f t="shared" si="1066"/>
        <v>9825</v>
      </c>
      <c r="X1962" s="13">
        <f t="shared" si="1067"/>
        <v>195.00000000000028</v>
      </c>
      <c r="Y1962" s="43">
        <f t="shared" si="1068"/>
        <v>0.54236820314656364</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55.5</v>
      </c>
      <c r="V1963" s="13">
        <f>IF(ISNA(VLOOKUP(LOWER(F1963)&amp;H1963,Prices!A:C,2,0)),0,VLOOKUP(LOWER(F1963)&amp;H1963,Prices!A:C,2,0))</f>
        <v>55.89</v>
      </c>
      <c r="W1963" s="13">
        <f t="shared" si="1066"/>
        <v>9805</v>
      </c>
      <c r="X1963" s="13">
        <f t="shared" si="1067"/>
        <v>195.00000000000028</v>
      </c>
      <c r="Y1963" s="43">
        <f t="shared" si="1068"/>
        <v>0.54066721808657292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55.5</v>
      </c>
      <c r="V1964" s="13">
        <f>IF(ISNA(VLOOKUP(LOWER(F1964)&amp;H1964,Prices!A:C,2,0)),0,VLOOKUP(LOWER(F1964)&amp;H1964,Prices!A:C,2,0))</f>
        <v>55.89</v>
      </c>
      <c r="W1964" s="13">
        <f t="shared" si="1066"/>
        <v>9790</v>
      </c>
      <c r="X1964" s="13">
        <f t="shared" si="1067"/>
        <v>195.00000000000028</v>
      </c>
      <c r="Y1964" s="43">
        <f t="shared" si="1068"/>
        <v>0.53939393939393943</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55.5</v>
      </c>
      <c r="V1965" s="13">
        <f>IF(ISNA(VLOOKUP(LOWER(F1965)&amp;H1965,Prices!A:C,2,0)),0,VLOOKUP(LOWER(F1965)&amp;H1965,Prices!A:C,2,0))</f>
        <v>55.89</v>
      </c>
      <c r="W1965" s="13">
        <f t="shared" ref="W1965:W1971" si="1077">IF(I1965="B",(V1965+T1965)*K1965,(V1965+T1965)*K1965)</f>
        <v>9785</v>
      </c>
      <c r="X1965" s="13">
        <f t="shared" ref="X1965:X1971" si="1078">K1965*(V1965-U1965)</f>
        <v>195.00000000000028</v>
      </c>
      <c r="Y1965" s="43">
        <f t="shared" ref="Y1965:Y1971" si="1079">W1965/O1965</f>
        <v>0.53896998072156432</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55.5</v>
      </c>
      <c r="V1966" s="13">
        <f>IF(ISNA(VLOOKUP(LOWER(F1966)&amp;H1966,Prices!A:C,2,0)),0,VLOOKUP(LOWER(F1966)&amp;H1966,Prices!A:C,2,0))</f>
        <v>55.89</v>
      </c>
      <c r="W1966" s="13">
        <f t="shared" si="1077"/>
        <v>9790</v>
      </c>
      <c r="X1966" s="13">
        <f t="shared" si="1078"/>
        <v>195.00000000000028</v>
      </c>
      <c r="Y1966" s="43">
        <f t="shared" si="1079"/>
        <v>0.53939393939393943</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55.5</v>
      </c>
      <c r="V1967" s="13">
        <f>IF(ISNA(VLOOKUP(LOWER(F1967)&amp;H1967,Prices!A:C,2,0)),0,VLOOKUP(LOWER(F1967)&amp;H1967,Prices!A:C,2,0))</f>
        <v>55.89</v>
      </c>
      <c r="W1967" s="13">
        <f t="shared" si="1077"/>
        <v>9800</v>
      </c>
      <c r="X1967" s="13">
        <f t="shared" si="1078"/>
        <v>195.00000000000028</v>
      </c>
      <c r="Y1967" s="43">
        <f t="shared" si="1079"/>
        <v>0.54024255788313125</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55.5</v>
      </c>
      <c r="V1968" s="13">
        <f>IF(ISNA(VLOOKUP(LOWER(F1968)&amp;H1968,Prices!A:C,2,0)),0,VLOOKUP(LOWER(F1968)&amp;H1968,Prices!A:C,2,0))</f>
        <v>55.89</v>
      </c>
      <c r="W1968" s="13">
        <f t="shared" si="1077"/>
        <v>19543.732200000002</v>
      </c>
      <c r="X1968" s="13">
        <f t="shared" si="1078"/>
        <v>390.00000000000057</v>
      </c>
      <c r="Y1968" s="43">
        <f t="shared" si="1079"/>
        <v>0.53781700652191866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55.5</v>
      </c>
      <c r="V1969" s="13">
        <f>IF(ISNA(VLOOKUP(LOWER(F1969)&amp;H1969,Prices!A:C,2,0)),0,VLOOKUP(LOWER(F1969)&amp;H1969,Prices!A:C,2,0))</f>
        <v>55.89</v>
      </c>
      <c r="W1969" s="13">
        <f t="shared" si="1077"/>
        <v>9750</v>
      </c>
      <c r="X1969" s="13">
        <f t="shared" si="1078"/>
        <v>195.00000000000028</v>
      </c>
      <c r="Y1969" s="43">
        <f t="shared" si="1079"/>
        <v>0.5360087960417812</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55.5</v>
      </c>
      <c r="V1970" s="13">
        <f>IF(ISNA(VLOOKUP(LOWER(F1970)&amp;H1970,Prices!A:C,2,0)),0,VLOOKUP(LOWER(F1970)&amp;H1970,Prices!A:C,2,0))</f>
        <v>55.89</v>
      </c>
      <c r="W1970" s="13">
        <f t="shared" si="1077"/>
        <v>19452.714</v>
      </c>
      <c r="X1970" s="13">
        <f t="shared" si="1078"/>
        <v>390.00000000000057</v>
      </c>
      <c r="Y1970" s="43">
        <f t="shared" si="1079"/>
        <v>0.53397513038704369</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15.73</v>
      </c>
      <c r="V1971" s="13">
        <f>IF(ISNA(VLOOKUP(LOWER(F1971)&amp;H1971,Prices!A:C,2,0)),0,VLOOKUP(LOWER(F1971)&amp;H1971,Prices!A:C,2,0))</f>
        <v>15.59</v>
      </c>
      <c r="W1971" s="13">
        <f t="shared" si="1077"/>
        <v>1099.6167599999999</v>
      </c>
      <c r="X1971" s="13">
        <f t="shared" si="1078"/>
        <v>-182.00000000000074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27.36</v>
      </c>
      <c r="V1972" s="13">
        <f>IF(ISNA(VLOOKUP(LOWER(F1972)&amp;H1972,Prices!A:C,2,0)),0,VLOOKUP(LOWER(F1972)&amp;H1972,Prices!A:C,2,0))</f>
        <v>25.09</v>
      </c>
      <c r="W1972" s="13">
        <f t="shared" ref="W1972:W2001" si="1084">IF(I1972="B",(V1972+T1972)*K1972,(V1972+T1972)*K1972)</f>
        <v>1157.9383999999991</v>
      </c>
      <c r="X1972" s="13">
        <f t="shared" ref="X1972:X2001" si="1085">K1972*(V1972-U1972)</f>
        <v>2269.9999999999995</v>
      </c>
      <c r="Y1972" s="43">
        <f t="shared" ref="Y1972:Y2001" si="1086">W1972/O1972</f>
        <v>4.4061582952815793E-2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7.85</v>
      </c>
      <c r="V1973" s="13">
        <f>IF(ISNA(VLOOKUP(LOWER(F1973)&amp;H1973,Prices!A:C,2,0)),0,VLOOKUP(LOWER(F1973)&amp;H1973,Prices!A:C,2,0))</f>
        <v>7.98</v>
      </c>
      <c r="W1973" s="13">
        <f t="shared" si="1084"/>
        <v>264.28531999999728</v>
      </c>
      <c r="X1973" s="13">
        <f t="shared" si="1085"/>
        <v>-390.00000000000233</v>
      </c>
      <c r="Y1973" s="43">
        <f t="shared" si="1086"/>
        <v>1.0905559131798187E-2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7.85</v>
      </c>
      <c r="V1974" s="13">
        <f>IF(ISNA(VLOOKUP(LOWER(F1974)&amp;H1974,Prices!A:C,2,0)),0,VLOOKUP(LOWER(F1974)&amp;H1974,Prices!A:C,2,0))</f>
        <v>7.98</v>
      </c>
      <c r="W1974" s="13">
        <f t="shared" si="1084"/>
        <v>270.27519999999862</v>
      </c>
      <c r="X1974" s="13">
        <f t="shared" si="1085"/>
        <v>-390.00000000000233</v>
      </c>
      <c r="Y1974" s="43">
        <f t="shared" si="1086"/>
        <v>1.1149966996699612E-2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33.22</v>
      </c>
      <c r="V1975" s="13">
        <f>IF(ISNA(VLOOKUP(LOWER(F1975)&amp;H1975,Prices!A:C,2,0)),0,VLOOKUP(LOWER(F1975)&amp;H1975,Prices!A:C,2,0))</f>
        <v>33.1</v>
      </c>
      <c r="W1975" s="13">
        <f t="shared" si="1084"/>
        <v>-4585.6925999999949</v>
      </c>
      <c r="X1975" s="13">
        <f t="shared" si="1085"/>
        <v>359.99999999999233</v>
      </c>
      <c r="Y1975" s="43">
        <f t="shared" si="1086"/>
        <v>-4.8356981967731673E-2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16.97</v>
      </c>
      <c r="V1976" s="13">
        <f>IF(ISNA(VLOOKUP(LOWER(F1976)&amp;H1976,Prices!A:C,2,0)),0,VLOOKUP(LOWER(F1976)&amp;H1976,Prices!A:C,2,0))</f>
        <v>17.22</v>
      </c>
      <c r="W1976" s="13">
        <f t="shared" si="1084"/>
        <v>-4126.0007999999943</v>
      </c>
      <c r="X1976" s="13">
        <f t="shared" si="1085"/>
        <v>-1075</v>
      </c>
      <c r="Y1976" s="43">
        <f t="shared" si="1086"/>
        <v>-5.8939500599965639E-2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33.22</v>
      </c>
      <c r="V1977" s="13">
        <f>IF(ISNA(VLOOKUP(LOWER(F1977)&amp;H1977,Prices!A:C,2,0)),0,VLOOKUP(LOWER(F1977)&amp;H1977,Prices!A:C,2,0))</f>
        <v>33.1</v>
      </c>
      <c r="W1977" s="13">
        <f t="shared" si="1084"/>
        <v>-7542.9430000000157</v>
      </c>
      <c r="X1977" s="13">
        <f t="shared" si="1085"/>
        <v>599.99999999998727</v>
      </c>
      <c r="Y1977" s="43">
        <f t="shared" si="1086"/>
        <v>-4.7694865633891977E-2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29.64</v>
      </c>
      <c r="V1978" s="13">
        <f>IF(ISNA(VLOOKUP(LOWER(F1978)&amp;H1978,Prices!A:C,2,0)),0,VLOOKUP(LOWER(F1978)&amp;H1978,Prices!A:C,2,0))</f>
        <v>30.42</v>
      </c>
      <c r="W1978" s="13">
        <f t="shared" si="1084"/>
        <v>-10087.719599999991</v>
      </c>
      <c r="X1978" s="13">
        <f t="shared" si="1085"/>
        <v>-2184.0000000000032</v>
      </c>
      <c r="Y1978" s="43">
        <f t="shared" si="1086"/>
        <v>-0.13418089385474849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27.36</v>
      </c>
      <c r="V1979" s="13">
        <f>IF(ISNA(VLOOKUP(LOWER(F1979)&amp;H1979,Prices!A:C,2,0)),0,VLOOKUP(LOWER(F1979)&amp;H1979,Prices!A:C,2,0))</f>
        <v>25.09</v>
      </c>
      <c r="W1979" s="13">
        <f t="shared" si="1084"/>
        <v>3473.8152000000077</v>
      </c>
      <c r="X1979" s="13">
        <f t="shared" si="1085"/>
        <v>6809.9999999999991</v>
      </c>
      <c r="Y1979" s="43">
        <f t="shared" si="1086"/>
        <v>4.4061582952815925E-2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55.5</v>
      </c>
      <c r="V1980" s="13">
        <f>IF(ISNA(VLOOKUP(LOWER(F1980)&amp;H1980,Prices!A:C,2,0)),0,VLOOKUP(LOWER(F1980)&amp;H1980,Prices!A:C,2,0))</f>
        <v>55.89</v>
      </c>
      <c r="W1980" s="13">
        <f t="shared" si="1084"/>
        <v>-74499.088000000003</v>
      </c>
      <c r="X1980" s="13">
        <f t="shared" si="1085"/>
        <v>-1560.0000000000023</v>
      </c>
      <c r="Y1980" s="43">
        <f t="shared" si="1086"/>
        <v>-0.49918981506298582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7.85</v>
      </c>
      <c r="V1981" s="13">
        <f>IF(ISNA(VLOOKUP(LOWER(F1981)&amp;H1981,Prices!A:C,2,0)),0,VLOOKUP(LOWER(F1981)&amp;H1981,Prices!A:C,2,0))</f>
        <v>7.98</v>
      </c>
      <c r="W1981" s="13">
        <f t="shared" si="1084"/>
        <v>540.8543999999971</v>
      </c>
      <c r="X1981" s="13">
        <f t="shared" si="1085"/>
        <v>-780.00000000000466</v>
      </c>
      <c r="Y1981" s="43">
        <f t="shared" si="1086"/>
        <v>1.1156237623762317E-2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13.59</v>
      </c>
      <c r="V1982" s="13">
        <f>IF(ISNA(VLOOKUP(LOWER(F1982)&amp;H1982,Prices!A:C,2,0)),0,VLOOKUP(LOWER(F1982)&amp;H1982,Prices!A:C,2,0))</f>
        <v>13.68</v>
      </c>
      <c r="W1982" s="13">
        <f t="shared" si="1084"/>
        <v>4546.3849999999975</v>
      </c>
      <c r="X1982" s="13">
        <f t="shared" si="1085"/>
        <v>-89.999999999999858</v>
      </c>
      <c r="Y1982" s="43">
        <f t="shared" si="1086"/>
        <v>0.24911698630136972</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16.97</v>
      </c>
      <c r="V1983" s="13">
        <f>IF(ISNA(VLOOKUP(LOWER(F1983)&amp;H1983,Prices!A:C,2,0)),0,VLOOKUP(LOWER(F1983)&amp;H1983,Prices!A:C,2,0))</f>
        <v>17.22</v>
      </c>
      <c r="W1983" s="13">
        <f t="shared" si="1084"/>
        <v>-3798.192</v>
      </c>
      <c r="X1983" s="13">
        <f t="shared" si="1085"/>
        <v>-1000</v>
      </c>
      <c r="Y1983" s="43">
        <f t="shared" si="1086"/>
        <v>-5.8290239410681399E-2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55.5</v>
      </c>
      <c r="V1984" s="13">
        <f>IF(ISNA(VLOOKUP(LOWER(F1984)&amp;H1984,Prices!A:C,2,0)),0,VLOOKUP(LOWER(F1984)&amp;H1984,Prices!A:C,2,0))</f>
        <v>55.89</v>
      </c>
      <c r="W1984" s="13">
        <f t="shared" si="1084"/>
        <v>-37269.519999999997</v>
      </c>
      <c r="X1984" s="13">
        <f t="shared" si="1085"/>
        <v>-780.00000000000114</v>
      </c>
      <c r="Y1984" s="43">
        <f t="shared" si="1086"/>
        <v>-0.49959142091152808</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27.36</v>
      </c>
      <c r="V1985" s="13">
        <f>IF(ISNA(VLOOKUP(LOWER(F1985)&amp;H1985,Prices!A:C,2,0)),0,VLOOKUP(LOWER(F1985)&amp;H1985,Prices!A:C,2,0))</f>
        <v>25.09</v>
      </c>
      <c r="W1985" s="13">
        <f t="shared" si="1084"/>
        <v>-169.10364000000015</v>
      </c>
      <c r="X1985" s="13">
        <f t="shared" si="1085"/>
        <v>-453.99999999999989</v>
      </c>
      <c r="Y1985" s="43">
        <f t="shared" si="1086"/>
        <v>-3.2632890775762285E-2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16.97</v>
      </c>
      <c r="V1986" s="13">
        <f>IF(ISNA(VLOOKUP(LOWER(F1986)&amp;H1986,Prices!A:C,2,0)),0,VLOOKUP(LOWER(F1986)&amp;H1986,Prices!A:C,2,0))</f>
        <v>17.22</v>
      </c>
      <c r="W1986" s="13">
        <f t="shared" si="1084"/>
        <v>1026.9999999999995</v>
      </c>
      <c r="X1986" s="13">
        <f t="shared" si="1085"/>
        <v>300</v>
      </c>
      <c r="Y1986" s="43">
        <f t="shared" si="1086"/>
        <v>5.2312550937245288E-2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29.64</v>
      </c>
      <c r="V1987" s="13">
        <f>IF(ISNA(VLOOKUP(LOWER(F1987)&amp;H1987,Prices!A:C,2,0)),0,VLOOKUP(LOWER(F1987)&amp;H1987,Prices!A:C,2,0))</f>
        <v>30.42</v>
      </c>
      <c r="W1987" s="13">
        <f t="shared" si="1084"/>
        <v>5185.7733200000021</v>
      </c>
      <c r="X1987" s="13">
        <f t="shared" si="1085"/>
        <v>1092.0000000000016</v>
      </c>
      <c r="Y1987" s="43">
        <f t="shared" si="1086"/>
        <v>0.13867928865593415</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7.85</v>
      </c>
      <c r="V1988" s="13">
        <f>IF(ISNA(VLOOKUP(LOWER(F1988)&amp;H1988,Prices!A:C,2,0)),0,VLOOKUP(LOWER(F1988)&amp;H1988,Prices!A:C,2,0))</f>
        <v>7.98</v>
      </c>
      <c r="W1988" s="13">
        <f t="shared" si="1084"/>
        <v>-125.38543999999519</v>
      </c>
      <c r="X1988" s="13">
        <f t="shared" si="1085"/>
        <v>312.00000000000188</v>
      </c>
      <c r="Y1988" s="43">
        <f t="shared" si="1086"/>
        <v>-6.5060938148606886E-3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29.64</v>
      </c>
      <c r="V1989" s="13">
        <f>IF(ISNA(VLOOKUP(LOWER(F1989)&amp;H1989,Prices!A:C,2,0)),0,VLOOKUP(LOWER(F1989)&amp;H1989,Prices!A:C,2,0))</f>
        <v>30.42</v>
      </c>
      <c r="W1989" s="13">
        <f t="shared" si="1084"/>
        <v>2598.6262000000011</v>
      </c>
      <c r="X1989" s="13">
        <f t="shared" si="1085"/>
        <v>546.0000000000008</v>
      </c>
      <c r="Y1989" s="43">
        <f t="shared" si="1086"/>
        <v>0.13903831995719643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13.59</v>
      </c>
      <c r="V1990" s="13">
        <f>IF(ISNA(VLOOKUP(LOWER(F1990)&amp;H1990,Prices!A:C,2,0)),0,VLOOKUP(LOWER(F1990)&amp;H1990,Prices!A:C,2,0))</f>
        <v>13.68</v>
      </c>
      <c r="W1990" s="13">
        <f t="shared" si="1084"/>
        <v>-4823.3973199999991</v>
      </c>
      <c r="X1990" s="13">
        <f t="shared" si="1085"/>
        <v>98.999999999999844</v>
      </c>
      <c r="Y1990" s="43">
        <f t="shared" si="1086"/>
        <v>-0.24279660324171948</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7.85</v>
      </c>
      <c r="V1991" s="13">
        <f>IF(ISNA(VLOOKUP(LOWER(F1991)&amp;H1991,Prices!A:C,2,0)),0,VLOOKUP(LOWER(F1991)&amp;H1991,Prices!A:C,2,0))</f>
        <v>7.98</v>
      </c>
      <c r="W1991" s="13">
        <f t="shared" si="1084"/>
        <v>-197.38687999999769</v>
      </c>
      <c r="X1991" s="13">
        <f t="shared" si="1085"/>
        <v>312.00000000000188</v>
      </c>
      <c r="Y1991" s="43">
        <f t="shared" si="1086"/>
        <v>-1.0204036393713693E-2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13.59</v>
      </c>
      <c r="V1992" s="13">
        <f>IF(ISNA(VLOOKUP(LOWER(F1992)&amp;H1992,Prices!A:C,2,0)),0,VLOOKUP(LOWER(F1992)&amp;H1992,Prices!A:C,2,0))</f>
        <v>13.68</v>
      </c>
      <c r="W1992" s="13">
        <f t="shared" si="1084"/>
        <v>-4832.1974960000043</v>
      </c>
      <c r="X1992" s="13">
        <f t="shared" si="1085"/>
        <v>98.999999999999844</v>
      </c>
      <c r="Y1992" s="43">
        <f t="shared" si="1086"/>
        <v>-0.2431318803711234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13.59</v>
      </c>
      <c r="V1993" s="13">
        <f>IF(ISNA(VLOOKUP(LOWER(F1993)&amp;H1993,Prices!A:C,2,0)),0,VLOOKUP(LOWER(F1993)&amp;H1993,Prices!A:C,2,0))</f>
        <v>13.68</v>
      </c>
      <c r="W1993" s="13">
        <f t="shared" si="1084"/>
        <v>-4812.3970999999983</v>
      </c>
      <c r="X1993" s="13">
        <f t="shared" si="1085"/>
        <v>98.999999999999844</v>
      </c>
      <c r="Y1993" s="43">
        <f t="shared" si="1086"/>
        <v>-0.24237708889448492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13.59</v>
      </c>
      <c r="V1994" s="13">
        <f>IF(ISNA(VLOOKUP(LOWER(F1994)&amp;H1994,Prices!A:C,2,0)),0,VLOOKUP(LOWER(F1994)&amp;H1994,Prices!A:C,2,0))</f>
        <v>13.68</v>
      </c>
      <c r="W1994" s="13">
        <f t="shared" si="1084"/>
        <v>-4801.3968800000021</v>
      </c>
      <c r="X1994" s="13">
        <f t="shared" si="1085"/>
        <v>98.999999999999844</v>
      </c>
      <c r="Y1994" s="43">
        <f t="shared" si="1086"/>
        <v>-0.24195710945373927</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7.85</v>
      </c>
      <c r="V1995" s="13">
        <f>IF(ISNA(VLOOKUP(LOWER(F1995)&amp;H1995,Prices!A:C,2,0)),0,VLOOKUP(LOWER(F1995)&amp;H1995,Prices!A:C,2,0))</f>
        <v>7.98</v>
      </c>
      <c r="W1995" s="13">
        <f t="shared" si="1084"/>
        <v>-245.38783999999936</v>
      </c>
      <c r="X1995" s="13">
        <f t="shared" si="1085"/>
        <v>312.00000000000188</v>
      </c>
      <c r="Y1995" s="43">
        <f t="shared" si="1086"/>
        <v>-1.2654075907590726E-2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29.64</v>
      </c>
      <c r="V1996" s="13">
        <f>IF(ISNA(VLOOKUP(LOWER(F1996)&amp;H1996,Prices!A:C,2,0)),0,VLOOKUP(LOWER(F1996)&amp;H1996,Prices!A:C,2,0))</f>
        <v>30.42</v>
      </c>
      <c r="W1996" s="13">
        <f t="shared" si="1084"/>
        <v>2619.6266199999991</v>
      </c>
      <c r="X1996" s="13">
        <f t="shared" si="1085"/>
        <v>546.0000000000008</v>
      </c>
      <c r="Y1996" s="43">
        <f t="shared" si="1086"/>
        <v>0.14031960040709193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13.59</v>
      </c>
      <c r="V1997" s="13">
        <f>IF(ISNA(VLOOKUP(LOWER(F1997)&amp;H1997,Prices!A:C,2,0)),0,VLOOKUP(LOWER(F1997)&amp;H1997,Prices!A:C,2,0))</f>
        <v>13.68</v>
      </c>
      <c r="W1997" s="13">
        <f t="shared" si="1084"/>
        <v>-9820.7797599999958</v>
      </c>
      <c r="X1997" s="13">
        <f t="shared" si="1085"/>
        <v>197.99999999999969</v>
      </c>
      <c r="Y1997" s="43">
        <f t="shared" si="1086"/>
        <v>-0.24608549062844531</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7.85</v>
      </c>
      <c r="V1998" s="13">
        <f>IF(ISNA(VLOOKUP(LOWER(F1998)&amp;H1998,Prices!A:C,2,0)),0,VLOOKUP(LOWER(F1998)&amp;H1998,Prices!A:C,2,0))</f>
        <v>7.98</v>
      </c>
      <c r="W1998" s="13">
        <f t="shared" si="1084"/>
        <v>-173.38639999999685</v>
      </c>
      <c r="X1998" s="13">
        <f t="shared" si="1085"/>
        <v>312.00000000000188</v>
      </c>
      <c r="Y1998" s="43">
        <f t="shared" si="1086"/>
        <v>-8.9744513457555315E-3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16.97</v>
      </c>
      <c r="V1999" s="13">
        <f>IF(ISNA(VLOOKUP(LOWER(F1999)&amp;H1999,Prices!A:C,2,0)),0,VLOOKUP(LOWER(F1999)&amp;H1999,Prices!A:C,2,0))</f>
        <v>17.22</v>
      </c>
      <c r="W1999" s="13">
        <f t="shared" si="1084"/>
        <v>1921.7203199999999</v>
      </c>
      <c r="X1999" s="13">
        <f t="shared" si="1085"/>
        <v>600</v>
      </c>
      <c r="Y1999" s="43">
        <f t="shared" si="1086"/>
        <v>4.8776608187134501E-2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13.59</v>
      </c>
      <c r="V2000" s="13">
        <f>IF(ISNA(VLOOKUP(LOWER(F2000)&amp;H2000,Prices!A:C,2,0)),0,VLOOKUP(LOWER(F2000)&amp;H2000,Prices!A:C,2,0))</f>
        <v>13.68</v>
      </c>
      <c r="W2000" s="13">
        <f t="shared" si="1084"/>
        <v>-4911.3990799999974</v>
      </c>
      <c r="X2000" s="13">
        <f t="shared" si="1085"/>
        <v>98.999999999999844</v>
      </c>
      <c r="Y2000" s="43">
        <f t="shared" si="1086"/>
        <v>-0.24613606695399406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13.59</v>
      </c>
      <c r="V2001" s="13">
        <f>IF(ISNA(VLOOKUP(LOWER(F2001)&amp;H2001,Prices!A:C,2,0)),0,VLOOKUP(LOWER(F2001)&amp;H2001,Prices!A:C,2,0))</f>
        <v>13.68</v>
      </c>
      <c r="W2001" s="13">
        <f t="shared" si="1084"/>
        <v>-4933.399519999999</v>
      </c>
      <c r="X2001" s="13">
        <f t="shared" si="1085"/>
        <v>98.999999999999844</v>
      </c>
      <c r="Y2001" s="43">
        <f t="shared" si="1086"/>
        <v>-0.24696633560272321</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7.85</v>
      </c>
      <c r="V2002" s="13">
        <f>IF(ISNA(VLOOKUP(LOWER(F2002)&amp;H2002,Prices!A:C,2,0)),0,VLOOKUP(LOWER(F2002)&amp;H2002,Prices!A:C,2,0))</f>
        <v>7.98</v>
      </c>
      <c r="W2002" s="13">
        <f t="shared" ref="W2002:W2042" si="1095">IF(I2002="B",(V2002+T2002)*K2002,(V2002+T2002)*K2002)</f>
        <v>97.091439999999807</v>
      </c>
      <c r="X2002" s="13">
        <f t="shared" ref="X2002:X2042" si="1096">K2002*(V2002-U2002)</f>
        <v>-624.00000000000375</v>
      </c>
      <c r="Y2002" s="43">
        <f t="shared" ref="Y2002:Y2042" si="1097">W2002/O2002</f>
        <v>2.5252663337494746E-3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45.95</v>
      </c>
      <c r="V2003" s="13">
        <f>IF(ISNA(VLOOKUP(LOWER(F2003)&amp;H2003,Prices!A:C,2,0)),0,VLOOKUP(LOWER(F2003)&amp;H2003,Prices!A:C,2,0))</f>
        <v>45.82</v>
      </c>
      <c r="W2003" s="13">
        <f t="shared" si="1095"/>
        <v>-2915.6099999999997</v>
      </c>
      <c r="X2003" s="13">
        <f t="shared" si="1096"/>
        <v>78.000000000001535</v>
      </c>
      <c r="Y2003" s="43">
        <f t="shared" si="1097"/>
        <v>-0.11849183126066812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690.25</v>
      </c>
      <c r="V2004" s="13">
        <f>IF(ISNA(VLOOKUP(LOWER(F2004)&amp;H2004,Prices!A:C,2,0)),0,VLOOKUP(LOWER(F2004)&amp;H2004,Prices!A:C,2,0))</f>
        <v>679.15</v>
      </c>
      <c r="W2004" s="13">
        <f t="shared" si="1095"/>
        <v>-22340.668599999994</v>
      </c>
      <c r="X2004" s="13">
        <f t="shared" si="1096"/>
        <v>1110.0000000000023</v>
      </c>
      <c r="Y2004" s="43">
        <f t="shared" si="1097"/>
        <v>-0.48960483453868053</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15.73</v>
      </c>
      <c r="V2005" s="13">
        <f>IF(ISNA(VLOOKUP(LOWER(F2005)&amp;H2005,Prices!A:C,2,0)),0,VLOOKUP(LOWER(F2005)&amp;H2005,Prices!A:C,2,0))</f>
        <v>15.59</v>
      </c>
      <c r="W2005" s="13">
        <f t="shared" si="1095"/>
        <v>-6291.0952000000143</v>
      </c>
      <c r="X2005" s="13">
        <f t="shared" si="1096"/>
        <v>910.00000000000364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29.38</v>
      </c>
      <c r="V2006" s="13">
        <f>IF(ISNA(VLOOKUP(LOWER(F2006)&amp;H2006,Prices!A:C,2,0)),0,VLOOKUP(LOWER(F2006)&amp;H2006,Prices!A:C,2,0))</f>
        <v>30.53</v>
      </c>
      <c r="W2006" s="13">
        <f t="shared" si="1095"/>
        <v>-23120.926399999989</v>
      </c>
      <c r="X2006" s="13">
        <f t="shared" si="1096"/>
        <v>-4600.0000000000082</v>
      </c>
      <c r="Y2006" s="43">
        <f t="shared" si="1097"/>
        <v>-0.23326196933010482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29.64</v>
      </c>
      <c r="V2007" s="13">
        <f>IF(ISNA(VLOOKUP(LOWER(F2007)&amp;H2007,Prices!A:C,2,0)),0,VLOOKUP(LOWER(F2007)&amp;H2007,Prices!A:C,2,0))</f>
        <v>30.42</v>
      </c>
      <c r="W2007" s="13">
        <f t="shared" si="1095"/>
        <v>-8941.1221600000063</v>
      </c>
      <c r="X2007" s="13">
        <f t="shared" si="1096"/>
        <v>-2184.0000000000032</v>
      </c>
      <c r="Y2007" s="43">
        <f t="shared" si="1097"/>
        <v>-0.11714078922544814</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27.36</v>
      </c>
      <c r="V2008" s="13">
        <f>IF(ISNA(VLOOKUP(LOWER(F2008)&amp;H2008,Prices!A:C,2,0)),0,VLOOKUP(LOWER(F2008)&amp;H2008,Prices!A:C,2,0))</f>
        <v>25.09</v>
      </c>
      <c r="W2008" s="13">
        <f t="shared" si="1095"/>
        <v>2645.1510000000058</v>
      </c>
      <c r="X2008" s="13">
        <f t="shared" si="1096"/>
        <v>5674.9999999999991</v>
      </c>
      <c r="Y2008" s="43">
        <f t="shared" si="1097"/>
        <v>4.0414835752482899E-2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13.59</v>
      </c>
      <c r="V2009" s="13">
        <f>IF(ISNA(VLOOKUP(LOWER(F2009)&amp;H2009,Prices!A:C,2,0)),0,VLOOKUP(LOWER(F2009)&amp;H2009,Prices!A:C,2,0))</f>
        <v>13.68</v>
      </c>
      <c r="W2009" s="13">
        <f t="shared" si="1095"/>
        <v>17065.632559999965</v>
      </c>
      <c r="X2009" s="13">
        <f t="shared" si="1096"/>
        <v>-395.99999999999937</v>
      </c>
      <c r="Y2009" s="43">
        <f t="shared" si="1097"/>
        <v>0.22062302926879679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16.97</v>
      </c>
      <c r="V2010" s="13">
        <f>IF(ISNA(VLOOKUP(LOWER(F2010)&amp;H2010,Prices!A:C,2,0)),0,VLOOKUP(LOWER(F2010)&amp;H2010,Prices!A:C,2,0))</f>
        <v>17.22</v>
      </c>
      <c r="W2010" s="13">
        <f t="shared" si="1095"/>
        <v>-3866.5923999999986</v>
      </c>
      <c r="X2010" s="13">
        <f t="shared" si="1096"/>
        <v>-450</v>
      </c>
      <c r="Y2010" s="43">
        <f t="shared" si="1097"/>
        <v>-0.14235300787865396</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16.97</v>
      </c>
      <c r="V2011" s="13">
        <f>IF(ISNA(VLOOKUP(LOWER(F2011)&amp;H2011,Prices!A:C,2,0)),0,VLOOKUP(LOWER(F2011)&amp;H2011,Prices!A:C,2,0))</f>
        <v>17.22</v>
      </c>
      <c r="W2011" s="13">
        <f t="shared" si="1095"/>
        <v>-3902.5551999999989</v>
      </c>
      <c r="X2011" s="13">
        <f t="shared" si="1096"/>
        <v>-450</v>
      </c>
      <c r="Y2011" s="43">
        <f t="shared" si="1097"/>
        <v>-0.14386769888667694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16.97</v>
      </c>
      <c r="V2012" s="13">
        <f>IF(ISNA(VLOOKUP(LOWER(F2012)&amp;H2012,Prices!A:C,2,0)),0,VLOOKUP(LOWER(F2012)&amp;H2012,Prices!A:C,2,0))</f>
        <v>17.22</v>
      </c>
      <c r="W2012" s="13">
        <f t="shared" si="1095"/>
        <v>1614.9999999999977</v>
      </c>
      <c r="X2012" s="13">
        <f t="shared" si="1096"/>
        <v>300</v>
      </c>
      <c r="Y2012" s="43">
        <f t="shared" si="1097"/>
        <v>8.4803612686410304E-2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690.25</v>
      </c>
      <c r="V2013" s="13">
        <f>IF(ISNA(VLOOKUP(LOWER(F2013)&amp;H2013,Prices!A:C,2,0)),0,VLOOKUP(LOWER(F2013)&amp;H2013,Prices!A:C,2,0))</f>
        <v>679.15</v>
      </c>
      <c r="W2013" s="13">
        <f t="shared" si="1095"/>
        <v>22297.966459999992</v>
      </c>
      <c r="X2013" s="13">
        <f t="shared" si="1096"/>
        <v>-1110.0000000000023</v>
      </c>
      <c r="Y2013" s="43">
        <f t="shared" si="1097"/>
        <v>0.48891543973512819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16.97</v>
      </c>
      <c r="V2014" s="13">
        <f>IF(ISNA(VLOOKUP(LOWER(F2014)&amp;H2014,Prices!A:C,2,0)),0,VLOOKUP(LOWER(F2014)&amp;H2014,Prices!A:C,2,0))</f>
        <v>17.22</v>
      </c>
      <c r="W2014" s="13">
        <f t="shared" si="1095"/>
        <v>1494.9999999999982</v>
      </c>
      <c r="X2014" s="13">
        <f t="shared" si="1096"/>
        <v>300</v>
      </c>
      <c r="Y2014" s="43">
        <f t="shared" si="1097"/>
        <v>7.8010853683990716E-2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16.97</v>
      </c>
      <c r="V2015" s="13">
        <f>IF(ISNA(VLOOKUP(LOWER(F2015)&amp;H2015,Prices!A:C,2,0)),0,VLOOKUP(LOWER(F2015)&amp;H2015,Prices!A:C,2,0))</f>
        <v>17.22</v>
      </c>
      <c r="W2015" s="13">
        <f t="shared" si="1095"/>
        <v>1446.999999999997</v>
      </c>
      <c r="X2015" s="13">
        <f t="shared" si="1096"/>
        <v>300</v>
      </c>
      <c r="Y2015" s="43">
        <f t="shared" si="1097"/>
        <v>7.5317509889652134E-2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16.97</v>
      </c>
      <c r="V2016" s="13">
        <f>IF(ISNA(VLOOKUP(LOWER(F2016)&amp;H2016,Prices!A:C,2,0)),0,VLOOKUP(LOWER(F2016)&amp;H2016,Prices!A:C,2,0))</f>
        <v>17.22</v>
      </c>
      <c r="W2016" s="13">
        <f t="shared" si="1095"/>
        <v>1446.999999999997</v>
      </c>
      <c r="X2016" s="13">
        <f t="shared" si="1096"/>
        <v>300</v>
      </c>
      <c r="Y2016" s="43">
        <f t="shared" si="1097"/>
        <v>7.5317509889652134E-2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45.95</v>
      </c>
      <c r="V2017" s="13">
        <f>IF(ISNA(VLOOKUP(LOWER(F2017)&amp;H2017,Prices!A:C,2,0)),0,VLOOKUP(LOWER(F2017)&amp;H2017,Prices!A:C,2,0))</f>
        <v>45.82</v>
      </c>
      <c r="W2017" s="13">
        <f t="shared" si="1095"/>
        <v>2066.9999999999986</v>
      </c>
      <c r="X2017" s="13">
        <f t="shared" si="1096"/>
        <v>-52.000000000001023</v>
      </c>
      <c r="Y2017" s="43">
        <f t="shared" si="1097"/>
        <v>0.12715305118110229</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27.36</v>
      </c>
      <c r="V2018" s="13">
        <f>IF(ISNA(VLOOKUP(LOWER(F2018)&amp;H2018,Prices!A:C,2,0)),0,VLOOKUP(LOWER(F2018)&amp;H2018,Prices!A:C,2,0))</f>
        <v>25.09</v>
      </c>
      <c r="W2018" s="13">
        <f t="shared" si="1095"/>
        <v>-1296.0110800000039</v>
      </c>
      <c r="X2018" s="13">
        <f t="shared" si="1096"/>
        <v>-3177.9999999999995</v>
      </c>
      <c r="Y2018" s="43">
        <f t="shared" si="1097"/>
        <v>-3.5591011149557969E-2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7.85</v>
      </c>
      <c r="V2019" s="13">
        <f>IF(ISNA(VLOOKUP(LOWER(F2019)&amp;H2019,Prices!A:C,2,0)),0,VLOOKUP(LOWER(F2019)&amp;H2019,Prices!A:C,2,0))</f>
        <v>7.98</v>
      </c>
      <c r="W2019" s="13">
        <f t="shared" si="1095"/>
        <v>-30.399499999997914</v>
      </c>
      <c r="X2019" s="13">
        <f t="shared" si="1096"/>
        <v>325.00000000000193</v>
      </c>
      <c r="Y2019" s="43">
        <f t="shared" si="1097"/>
        <v>-1.5218773466832499E-3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45.95</v>
      </c>
      <c r="V2020" s="13">
        <f>IF(ISNA(VLOOKUP(LOWER(F2020)&amp;H2020,Prices!A:C,2,0)),0,VLOOKUP(LOWER(F2020)&amp;H2020,Prices!A:C,2,0))</f>
        <v>45.82</v>
      </c>
      <c r="W2020" s="13">
        <f t="shared" si="1095"/>
        <v>2078.9999999999991</v>
      </c>
      <c r="X2020" s="13">
        <f t="shared" si="1096"/>
        <v>-52.000000000001023</v>
      </c>
      <c r="Y2020" s="43">
        <f t="shared" si="1097"/>
        <v>0.12798571780349663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29.38</v>
      </c>
      <c r="V2021" s="13">
        <f>IF(ISNA(VLOOKUP(LOWER(F2021)&amp;H2021,Prices!A:C,2,0)),0,VLOOKUP(LOWER(F2021)&amp;H2021,Prices!A:C,2,0))</f>
        <v>30.53</v>
      </c>
      <c r="W2021" s="13">
        <f t="shared" si="1095"/>
        <v>4626.604159999999</v>
      </c>
      <c r="X2021" s="13">
        <f t="shared" si="1096"/>
        <v>920.00000000000171</v>
      </c>
      <c r="Y2021" s="43">
        <f t="shared" si="1097"/>
        <v>0.23376132578819719</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15.73</v>
      </c>
      <c r="V2022" s="13">
        <f>IF(ISNA(VLOOKUP(LOWER(F2022)&amp;H2022,Prices!A:C,2,0)),0,VLOOKUP(LOWER(F2022)&amp;H2022,Prices!A:C,2,0))</f>
        <v>15.59</v>
      </c>
      <c r="W2022" s="13">
        <f t="shared" si="1095"/>
        <v>1385.6224800000005</v>
      </c>
      <c r="X2022" s="13">
        <f t="shared" si="1096"/>
        <v>-182.00000000000074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39.799999999999997</v>
      </c>
      <c r="V2023" s="13">
        <f>IF(ISNA(VLOOKUP(LOWER(F2023)&amp;H2023,Prices!A:C,2,0)),0,VLOOKUP(LOWER(F2023)&amp;H2023,Prices!A:C,2,0))</f>
        <v>41.55</v>
      </c>
      <c r="W2023" s="13">
        <f t="shared" si="1095"/>
        <v>7008.9999999999991</v>
      </c>
      <c r="X2023" s="13">
        <f t="shared" si="1096"/>
        <v>1050</v>
      </c>
      <c r="Y2023" s="43">
        <f t="shared" si="1097"/>
        <v>0.39121455682071887</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45.95</v>
      </c>
      <c r="V2024" s="13">
        <f>IF(ISNA(VLOOKUP(LOWER(F2024)&amp;H2024,Prices!A:C,2,0)),0,VLOOKUP(LOWER(F2024)&amp;H2024,Prices!A:C,2,0))</f>
        <v>45.82</v>
      </c>
      <c r="W2024" s="13">
        <f t="shared" si="1095"/>
        <v>2083.0000000000014</v>
      </c>
      <c r="X2024" s="13">
        <f t="shared" si="1096"/>
        <v>-52.000000000001023</v>
      </c>
      <c r="Y2024" s="43">
        <f t="shared" si="1097"/>
        <v>0.12826354679802965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690.25</v>
      </c>
      <c r="V2025" s="13">
        <f>IF(ISNA(VLOOKUP(LOWER(F2025)&amp;H2025,Prices!A:C,2,0)),0,VLOOKUP(LOWER(F2025)&amp;H2025,Prices!A:C,2,0))</f>
        <v>679.15</v>
      </c>
      <c r="W2025" s="13">
        <f t="shared" si="1095"/>
        <v>22391.987140000005</v>
      </c>
      <c r="X2025" s="13">
        <f t="shared" si="1096"/>
        <v>-1110.0000000000023</v>
      </c>
      <c r="Y2025" s="43">
        <f t="shared" si="1097"/>
        <v>0.49199101663261058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7.85</v>
      </c>
      <c r="V2026" s="13">
        <f>IF(ISNA(VLOOKUP(LOWER(F2026)&amp;H2026,Prices!A:C,2,0)),0,VLOOKUP(LOWER(F2026)&amp;H2026,Prices!A:C,2,0))</f>
        <v>7.98</v>
      </c>
      <c r="W2026" s="13">
        <f t="shared" si="1095"/>
        <v>-55.399999999998784</v>
      </c>
      <c r="X2026" s="13">
        <f t="shared" si="1096"/>
        <v>325.00000000000193</v>
      </c>
      <c r="Y2026" s="43">
        <f t="shared" si="1097"/>
        <v>-2.7699999999999392E-3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15.73</v>
      </c>
      <c r="V2027" s="13">
        <f>IF(ISNA(VLOOKUP(LOWER(F2027)&amp;H2027,Prices!A:C,2,0)),0,VLOOKUP(LOWER(F2027)&amp;H2027,Prices!A:C,2,0))</f>
        <v>15.59</v>
      </c>
      <c r="W2027" s="13">
        <f t="shared" si="1095"/>
        <v>2646.2665320000019</v>
      </c>
      <c r="X2027" s="13">
        <f t="shared" si="1096"/>
        <v>-364.00000000000148</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7.85</v>
      </c>
      <c r="V2028" s="13">
        <f>IF(ISNA(VLOOKUP(LOWER(F2028)&amp;H2028,Prices!A:C,2,0)),0,VLOOKUP(LOWER(F2028)&amp;H2028,Prices!A:C,2,0))</f>
        <v>7.98</v>
      </c>
      <c r="W2028" s="13">
        <f t="shared" si="1095"/>
        <v>-344.50080000000014</v>
      </c>
      <c r="X2028" s="13">
        <f t="shared" si="1096"/>
        <v>624.00000000000375</v>
      </c>
      <c r="Y2028" s="43">
        <f t="shared" si="1097"/>
        <v>-8.9156521739130468E-3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29.38</v>
      </c>
      <c r="V2029" s="13">
        <f>IF(ISNA(VLOOKUP(LOWER(F2029)&amp;H2029,Prices!A:C,2,0)),0,VLOOKUP(LOWER(F2029)&amp;H2029,Prices!A:C,2,0))</f>
        <v>30.53</v>
      </c>
      <c r="W2029" s="13">
        <f t="shared" si="1095"/>
        <v>8903.2140799999979</v>
      </c>
      <c r="X2029" s="13">
        <f t="shared" si="1096"/>
        <v>1840.0000000000034</v>
      </c>
      <c r="Y2029" s="43">
        <f t="shared" si="1097"/>
        <v>0.22293705128205124</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39.799999999999997</v>
      </c>
      <c r="V2030" s="13">
        <f>IF(ISNA(VLOOKUP(LOWER(F2030)&amp;H2030,Prices!A:C,2,0)),0,VLOOKUP(LOWER(F2030)&amp;H2030,Prices!A:C,2,0))</f>
        <v>41.55</v>
      </c>
      <c r="W2030" s="13">
        <f t="shared" si="1095"/>
        <v>13840.797599999996</v>
      </c>
      <c r="X2030" s="13">
        <f t="shared" si="1096"/>
        <v>2100</v>
      </c>
      <c r="Y2030" s="43">
        <f t="shared" si="1097"/>
        <v>0.38433848717094293</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45.95</v>
      </c>
      <c r="V2031" s="13">
        <f>IF(ISNA(VLOOKUP(LOWER(F2031)&amp;H2031,Prices!A:C,2,0)),0,VLOOKUP(LOWER(F2031)&amp;H2031,Prices!A:C,2,0))</f>
        <v>45.82</v>
      </c>
      <c r="W2031" s="13">
        <f t="shared" si="1095"/>
        <v>3900.650239999999</v>
      </c>
      <c r="X2031" s="13">
        <f t="shared" si="1096"/>
        <v>-104.00000000000205</v>
      </c>
      <c r="Y2031" s="43">
        <f t="shared" si="1097"/>
        <v>0.1191081883916357</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690.25</v>
      </c>
      <c r="V2032" s="13">
        <f>IF(ISNA(VLOOKUP(LOWER(F2032)&amp;H2032,Prices!A:C,2,0)),0,VLOOKUP(LOWER(F2032)&amp;H2032,Prices!A:C,2,0))</f>
        <v>679.15</v>
      </c>
      <c r="W2032" s="13">
        <f t="shared" si="1095"/>
        <v>44489.909599999999</v>
      </c>
      <c r="X2032" s="13">
        <f t="shared" si="1096"/>
        <v>-2220.0000000000045</v>
      </c>
      <c r="Y2032" s="43">
        <f t="shared" si="1097"/>
        <v>0.48718692071835301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33.22</v>
      </c>
      <c r="V2033" s="13">
        <f>IF(ISNA(VLOOKUP(LOWER(F2033)&amp;H2033,Prices!A:C,2,0)),0,VLOOKUP(LOWER(F2033)&amp;H2033,Prices!A:C,2,0))</f>
        <v>33.1</v>
      </c>
      <c r="W2033" s="13">
        <f t="shared" si="1095"/>
        <v>1940.4903360000062</v>
      </c>
      <c r="X2033" s="13">
        <f t="shared" si="1096"/>
        <v>-143.99999999999693</v>
      </c>
      <c r="Y2033" s="43">
        <f t="shared" si="1097"/>
        <v>5.1374865929597321E-2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45.95</v>
      </c>
      <c r="V2034" s="13">
        <f>IF(ISNA(VLOOKUP(LOWER(F2034)&amp;H2034,Prices!A:C,2,0)),0,VLOOKUP(LOWER(F2034)&amp;H2034,Prices!A:C,2,0))</f>
        <v>45.82</v>
      </c>
      <c r="W2034" s="13">
        <f t="shared" si="1095"/>
        <v>4851.8079999999982</v>
      </c>
      <c r="X2034" s="13">
        <f t="shared" si="1096"/>
        <v>-130.00000000000256</v>
      </c>
      <c r="Y2034" s="43">
        <f t="shared" si="1097"/>
        <v>0.11845234374999995</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690.25</v>
      </c>
      <c r="V2035" s="13">
        <f>IF(ISNA(VLOOKUP(LOWER(F2035)&amp;H2035,Prices!A:C,2,0)),0,VLOOKUP(LOWER(F2035)&amp;H2035,Prices!A:C,2,0))</f>
        <v>679.15</v>
      </c>
      <c r="W2035" s="13">
        <f t="shared" si="1095"/>
        <v>44481.90784</v>
      </c>
      <c r="X2035" s="13">
        <f t="shared" si="1096"/>
        <v>-2220.0000000000045</v>
      </c>
      <c r="Y2035" s="43">
        <f t="shared" si="1097"/>
        <v>0.48705662929222143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45.95</v>
      </c>
      <c r="V2036" s="13">
        <f>IF(ISNA(VLOOKUP(LOWER(F2036)&amp;H2036,Prices!A:C,2,0)),0,VLOOKUP(LOWER(F2036)&amp;H2036,Prices!A:C,2,0))</f>
        <v>45.82</v>
      </c>
      <c r="W2036" s="13">
        <f t="shared" si="1095"/>
        <v>1966.9999999999986</v>
      </c>
      <c r="X2036" s="13">
        <f t="shared" si="1096"/>
        <v>-52.000000000001023</v>
      </c>
      <c r="Y2036" s="43">
        <f t="shared" si="1097"/>
        <v>0.12026167767180232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33.22</v>
      </c>
      <c r="V2037" s="13">
        <f>IF(ISNA(VLOOKUP(LOWER(F2037)&amp;H2037,Prices!A:C,2,0)),0,VLOOKUP(LOWER(F2037)&amp;H2037,Prices!A:C,2,0))</f>
        <v>33.1</v>
      </c>
      <c r="W2037" s="13">
        <f t="shared" si="1095"/>
        <v>942.62176000000227</v>
      </c>
      <c r="X2037" s="13">
        <f t="shared" si="1096"/>
        <v>-71.999999999998465</v>
      </c>
      <c r="Y2037" s="43">
        <f t="shared" si="1097"/>
        <v>4.9842521150592338E-2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33.22</v>
      </c>
      <c r="V2038" s="13">
        <f>IF(ISNA(VLOOKUP(LOWER(F2038)&amp;H2038,Prices!A:C,2,0)),0,VLOOKUP(LOWER(F2038)&amp;H2038,Prices!A:C,2,0))</f>
        <v>33.1</v>
      </c>
      <c r="W2038" s="13">
        <f t="shared" si="1095"/>
        <v>1935.6892799999982</v>
      </c>
      <c r="X2038" s="13">
        <f t="shared" si="1096"/>
        <v>-143.99999999999693</v>
      </c>
      <c r="Y2038" s="43">
        <f t="shared" si="1097"/>
        <v>5.1241245235069836E-2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45.95</v>
      </c>
      <c r="V2039" s="13">
        <f>IF(ISNA(VLOOKUP(LOWER(F2039)&amp;H2039,Prices!A:C,2,0)),0,VLOOKUP(LOWER(F2039)&amp;H2039,Prices!A:C,2,0))</f>
        <v>45.82</v>
      </c>
      <c r="W2039" s="13">
        <f t="shared" si="1095"/>
        <v>3929.4559999999992</v>
      </c>
      <c r="X2039" s="13">
        <f t="shared" si="1096"/>
        <v>-104.00000000000205</v>
      </c>
      <c r="Y2039" s="43">
        <f t="shared" si="1097"/>
        <v>0.12009339853300731</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16.93</v>
      </c>
      <c r="V2040" s="30">
        <f>IF(ISNA(VLOOKUP(LOWER(F2040)&amp;H2040,Prices!A:C,2,0)),0,VLOOKUP(LOWER(F2040)&amp;H2040,Prices!A:C,2,0))</f>
        <v>17.02</v>
      </c>
      <c r="W2040" s="30">
        <f t="shared" si="1095"/>
        <v>4463.2484000000022</v>
      </c>
      <c r="X2040" s="30">
        <f t="shared" si="1096"/>
        <v>233.99999999999963</v>
      </c>
      <c r="Y2040" s="40">
        <f t="shared" si="1097"/>
        <v>0.11219830065359483</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13.59</v>
      </c>
      <c r="V2041" s="13">
        <f>IF(ISNA(VLOOKUP(LOWER(F2041)&amp;H2041,Prices!A:C,2,0)),0,VLOOKUP(LOWER(F2041)&amp;H2041,Prices!A:C,2,0))</f>
        <v>13.68</v>
      </c>
      <c r="W2041" s="13">
        <f t="shared" si="1095"/>
        <v>17197.473520000007</v>
      </c>
      <c r="X2041" s="13">
        <f t="shared" si="1096"/>
        <v>-395.99999999999937</v>
      </c>
      <c r="Y2041" s="43">
        <f t="shared" si="1097"/>
        <v>0.22194870579732598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16.93</v>
      </c>
      <c r="V2042" s="30">
        <f>IF(ISNA(VLOOKUP(LOWER(F2042)&amp;H2042,Prices!A:C,2,0)),0,VLOOKUP(LOWER(F2042)&amp;H2042,Prices!A:C,2,0))</f>
        <v>17.02</v>
      </c>
      <c r="W2042" s="30">
        <f t="shared" si="1095"/>
        <v>4463.2484000000022</v>
      </c>
      <c r="X2042" s="30">
        <f t="shared" si="1096"/>
        <v>233.99999999999963</v>
      </c>
      <c r="Y2042" s="40">
        <f t="shared" si="1097"/>
        <v>0.11219830065359483</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7.85</v>
      </c>
      <c r="V2043" s="13">
        <f>IF(ISNA(VLOOKUP(LOWER(F2043)&amp;H2043,Prices!A:C,2,0)),0,VLOOKUP(LOWER(F2043)&amp;H2043,Prices!A:C,2,0))</f>
        <v>7.98</v>
      </c>
      <c r="W2043" s="13">
        <f t="shared" ref="W2043:W2049" si="1102">IF(I2043="B",(V2043+T2043)*K2043,(V2043+T2043)*K2043)</f>
        <v>1120.6511999999975</v>
      </c>
      <c r="X2043" s="13">
        <f t="shared" ref="X2043:X2049" si="1103">K2043*(V2043-U2043)</f>
        <v>-1040.0000000000064</v>
      </c>
      <c r="Y2043" s="43">
        <f t="shared" ref="Y2043:Y2049" si="1104">W2043/O2043</f>
        <v>1.7230184501844978E-2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39.799999999999997</v>
      </c>
      <c r="V2044" s="13">
        <f>IF(ISNA(VLOOKUP(LOWER(F2044)&amp;H2044,Prices!A:C,2,0)),0,VLOOKUP(LOWER(F2044)&amp;H2044,Prices!A:C,2,0))</f>
        <v>41.55</v>
      </c>
      <c r="W2044" s="13">
        <f t="shared" si="1102"/>
        <v>-34398.431999999986</v>
      </c>
      <c r="X2044" s="13">
        <f t="shared" si="1103"/>
        <v>-5250</v>
      </c>
      <c r="Y2044" s="43">
        <f t="shared" si="1104"/>
        <v>-0.38068207171314727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55.5</v>
      </c>
      <c r="V2045" s="13">
        <f>IF(ISNA(VLOOKUP(LOWER(F2045)&amp;H2045,Prices!A:C,2,0)),0,VLOOKUP(LOWER(F2045)&amp;H2045,Prices!A:C,2,0))</f>
        <v>55.89</v>
      </c>
      <c r="W2045" s="13">
        <f t="shared" si="1102"/>
        <v>-19134.16</v>
      </c>
      <c r="X2045" s="13">
        <f t="shared" si="1103"/>
        <v>-390.00000000000057</v>
      </c>
      <c r="Y2045" s="43">
        <f t="shared" si="1104"/>
        <v>-0.51995000000000002</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45.95</v>
      </c>
      <c r="V2046" s="13">
        <f>IF(ISNA(VLOOKUP(LOWER(F2046)&amp;H2046,Prices!A:C,2,0)),0,VLOOKUP(LOWER(F2046)&amp;H2046,Prices!A:C,2,0))</f>
        <v>45.82</v>
      </c>
      <c r="W2046" s="13">
        <f t="shared" si="1102"/>
        <v>-10470.528399999988</v>
      </c>
      <c r="X2046" s="13">
        <f t="shared" si="1103"/>
        <v>286.00000000000563</v>
      </c>
      <c r="Y2046" s="43">
        <f t="shared" si="1104"/>
        <v>-0.11577064195838203</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33.22</v>
      </c>
      <c r="V2047" s="13">
        <f>IF(ISNA(VLOOKUP(LOWER(F2047)&amp;H2047,Prices!A:C,2,0)),0,VLOOKUP(LOWER(F2047)&amp;H2047,Prices!A:C,2,0))</f>
        <v>33.1</v>
      </c>
      <c r="W2047" s="13">
        <f t="shared" si="1102"/>
        <v>-4016.3879999999958</v>
      </c>
      <c r="X2047" s="13">
        <f t="shared" si="1103"/>
        <v>359.99999999999233</v>
      </c>
      <c r="Y2047" s="43">
        <f t="shared" si="1104"/>
        <v>-4.2100503144654043E-2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690.25</v>
      </c>
      <c r="V2048" s="13">
        <f>IF(ISNA(VLOOKUP(LOWER(F2048)&amp;H2048,Prices!A:C,2,0)),0,VLOOKUP(LOWER(F2048)&amp;H2048,Prices!A:C,2,0))</f>
        <v>679.15</v>
      </c>
      <c r="W2048" s="13">
        <f t="shared" si="1102"/>
        <v>-66938.10428</v>
      </c>
      <c r="X2048" s="13">
        <f t="shared" si="1103"/>
        <v>3330.0000000000068</v>
      </c>
      <c r="Y2048" s="43">
        <f t="shared" si="1104"/>
        <v>-0.48869204578971193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16.97</v>
      </c>
      <c r="V2049" s="13">
        <f>IF(ISNA(VLOOKUP(LOWER(F2049)&amp;H2049,Prices!A:C,2,0)),0,VLOOKUP(LOWER(F2049)&amp;H2049,Prices!A:C,2,0))</f>
        <v>17.22</v>
      </c>
      <c r="W2049" s="13">
        <f t="shared" si="1102"/>
        <v>-4318.1163999999908</v>
      </c>
      <c r="X2049" s="13">
        <f t="shared" si="1103"/>
        <v>-1200</v>
      </c>
      <c r="Y2049" s="43">
        <f t="shared" si="1104"/>
        <v>-5.5055543655650636E-2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33.22</v>
      </c>
      <c r="V2050" s="13">
        <f>IF(ISNA(VLOOKUP(LOWER(F2050)&amp;H2050,Prices!A:C,2,0)),0,VLOOKUP(LOWER(F2050)&amp;H2050,Prices!A:C,2,0))</f>
        <v>33.1</v>
      </c>
      <c r="W2050" s="13">
        <f t="shared" ref="W2050:W2076" si="1109">IF(I2050="B",(V2050+T2050)*K2050,(V2050+T2050)*K2050)</f>
        <v>-1258.9817599999974</v>
      </c>
      <c r="X2050" s="13">
        <f t="shared" ref="X2050:X2076" si="1110">K2050*(V2050-U2050)</f>
        <v>143.99999999999693</v>
      </c>
      <c r="Y2050" s="43">
        <f t="shared" ref="Y2050:Y2076" si="1111">W2050/O2050</f>
        <v>-3.2694031370104841E-2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45.95</v>
      </c>
      <c r="V2051" s="13">
        <f>IF(ISNA(VLOOKUP(LOWER(F2051)&amp;H2051,Prices!A:C,2,0)),0,VLOOKUP(LOWER(F2051)&amp;H2051,Prices!A:C,2,0))</f>
        <v>45.82</v>
      </c>
      <c r="W2051" s="13">
        <f t="shared" si="1109"/>
        <v>-9578.5920000000006</v>
      </c>
      <c r="X2051" s="13">
        <f t="shared" si="1110"/>
        <v>260.00000000000512</v>
      </c>
      <c r="Y2051" s="43">
        <f t="shared" si="1111"/>
        <v>-0.1165846153846154</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39.799999999999997</v>
      </c>
      <c r="V2052" s="13">
        <f>IF(ISNA(VLOOKUP(LOWER(F2052)&amp;H2052,Prices!A:C,2,0)),0,VLOOKUP(LOWER(F2052)&amp;H2052,Prices!A:C,2,0))</f>
        <v>41.55</v>
      </c>
      <c r="W2052" s="13">
        <f t="shared" si="1109"/>
        <v>-23771.279999999992</v>
      </c>
      <c r="X2052" s="13">
        <f t="shared" si="1110"/>
        <v>-3500</v>
      </c>
      <c r="Y2052" s="43">
        <f t="shared" si="1111"/>
        <v>-0.40018989898989887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15.73</v>
      </c>
      <c r="V2053" s="13">
        <f>IF(ISNA(VLOOKUP(LOWER(F2053)&amp;H2053,Prices!A:C,2,0)),0,VLOOKUP(LOWER(F2053)&amp;H2053,Prices!A:C,2,0))</f>
        <v>15.59</v>
      </c>
      <c r="W2053" s="13">
        <f t="shared" si="1109"/>
        <v>1898.6015599999992</v>
      </c>
      <c r="X2053" s="13">
        <f t="shared" si="1110"/>
        <v>-196.0000000000008</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55.5</v>
      </c>
      <c r="V2054" s="13">
        <f>IF(ISNA(VLOOKUP(LOWER(F2054)&amp;H2054,Prices!A:C,2,0)),0,VLOOKUP(LOWER(F2054)&amp;H2054,Prices!A:C,2,0))</f>
        <v>55.89</v>
      </c>
      <c r="W2054" s="13">
        <f t="shared" si="1109"/>
        <v>21992.104200000005</v>
      </c>
      <c r="X2054" s="13">
        <f t="shared" si="1110"/>
        <v>429.00000000000063</v>
      </c>
      <c r="Y2054" s="43">
        <f t="shared" si="1111"/>
        <v>0.55705828921705225</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15.73</v>
      </c>
      <c r="V2055" s="13">
        <f>IF(ISNA(VLOOKUP(LOWER(F2055)&amp;H2055,Prices!A:C,2,0)),0,VLOOKUP(LOWER(F2055)&amp;H2055,Prices!A:C,2,0))</f>
        <v>15.59</v>
      </c>
      <c r="W2055" s="13">
        <f t="shared" si="1109"/>
        <v>3474.5057999999999</v>
      </c>
      <c r="X2055" s="13">
        <f t="shared" si="1110"/>
        <v>-378.00000000000153</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690.25</v>
      </c>
      <c r="V2056" s="13">
        <f>IF(ISNA(VLOOKUP(LOWER(F2056)&amp;H2056,Prices!A:C,2,0)),0,VLOOKUP(LOWER(F2056)&amp;H2056,Prices!A:C,2,0))</f>
        <v>679.15</v>
      </c>
      <c r="W2056" s="13">
        <f t="shared" si="1109"/>
        <v>22989.118479999997</v>
      </c>
      <c r="X2056" s="13">
        <f t="shared" si="1110"/>
        <v>-1110.0000000000023</v>
      </c>
      <c r="Y2056" s="43">
        <f t="shared" si="1111"/>
        <v>0.51182470567281146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45.95</v>
      </c>
      <c r="V2057" s="13">
        <f>IF(ISNA(VLOOKUP(LOWER(F2057)&amp;H2057,Prices!A:C,2,0)),0,VLOOKUP(LOWER(F2057)&amp;H2057,Prices!A:C,2,0))</f>
        <v>45.82</v>
      </c>
      <c r="W2057" s="13">
        <f t="shared" si="1109"/>
        <v>3223.0000000000018</v>
      </c>
      <c r="X2057" s="13">
        <f t="shared" si="1110"/>
        <v>-78.000000000001535</v>
      </c>
      <c r="Y2057" s="43">
        <f t="shared" si="1111"/>
        <v>0.13283053082756355</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45.95</v>
      </c>
      <c r="V2058" s="13">
        <f>IF(ISNA(VLOOKUP(LOWER(F2058)&amp;H2058,Prices!A:C,2,0)),0,VLOOKUP(LOWER(F2058)&amp;H2058,Prices!A:C,2,0))</f>
        <v>45.82</v>
      </c>
      <c r="W2058" s="13">
        <f t="shared" si="1109"/>
        <v>3181.0000000000018</v>
      </c>
      <c r="X2058" s="13">
        <f t="shared" si="1110"/>
        <v>-78.000000000001535</v>
      </c>
      <c r="Y2058" s="43">
        <f t="shared" si="1111"/>
        <v>0.13087303546449444</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55.5</v>
      </c>
      <c r="V2059" s="13">
        <f>IF(ISNA(VLOOKUP(LOWER(F2059)&amp;H2059,Prices!A:C,2,0)),0,VLOOKUP(LOWER(F2059)&amp;H2059,Prices!A:C,2,0))</f>
        <v>55.89</v>
      </c>
      <c r="W2059" s="13">
        <f t="shared" si="1109"/>
        <v>11941.000000000002</v>
      </c>
      <c r="X2059" s="13">
        <f t="shared" si="1110"/>
        <v>234.00000000000034</v>
      </c>
      <c r="Y2059" s="43">
        <f t="shared" si="1111"/>
        <v>0.55313136927922935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45.95</v>
      </c>
      <c r="V2060" s="13">
        <f>IF(ISNA(VLOOKUP(LOWER(F2060)&amp;H2060,Prices!A:C,2,0)),0,VLOOKUP(LOWER(F2060)&amp;H2060,Prices!A:C,2,0))</f>
        <v>45.82</v>
      </c>
      <c r="W2060" s="13">
        <f t="shared" si="1109"/>
        <v>2629.9999999999991</v>
      </c>
      <c r="X2060" s="13">
        <f t="shared" si="1110"/>
        <v>-65.000000000001279</v>
      </c>
      <c r="Y2060" s="43">
        <f t="shared" si="1111"/>
        <v>0.12971639950678171</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55.5</v>
      </c>
      <c r="V2061" s="13">
        <f>IF(ISNA(VLOOKUP(LOWER(F2061)&amp;H2061,Prices!A:C,2,0)),0,VLOOKUP(LOWER(F2061)&amp;H2061,Prices!A:C,2,0))</f>
        <v>55.89</v>
      </c>
      <c r="W2061" s="13">
        <f t="shared" si="1109"/>
        <v>11839.000000000002</v>
      </c>
      <c r="X2061" s="13">
        <f t="shared" si="1110"/>
        <v>234.00000000000034</v>
      </c>
      <c r="Y2061" s="43">
        <f t="shared" si="1111"/>
        <v>0.54582757030889817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55.5</v>
      </c>
      <c r="V2062" s="13">
        <f>IF(ISNA(VLOOKUP(LOWER(F2062)&amp;H2062,Prices!A:C,2,0)),0,VLOOKUP(LOWER(F2062)&amp;H2062,Prices!A:C,2,0))</f>
        <v>55.89</v>
      </c>
      <c r="W2062" s="13">
        <f t="shared" si="1109"/>
        <v>11869</v>
      </c>
      <c r="X2062" s="13">
        <f t="shared" si="1110"/>
        <v>234.00000000000034</v>
      </c>
      <c r="Y2062" s="43">
        <f t="shared" si="1111"/>
        <v>0.54796860572483841</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55.5</v>
      </c>
      <c r="V2063" s="13">
        <f>IF(ISNA(VLOOKUP(LOWER(F2063)&amp;H2063,Prices!A:C,2,0)),0,VLOOKUP(LOWER(F2063)&amp;H2063,Prices!A:C,2,0))</f>
        <v>55.89</v>
      </c>
      <c r="W2063" s="13">
        <f t="shared" si="1109"/>
        <v>11857.000000000002</v>
      </c>
      <c r="X2063" s="13">
        <f t="shared" si="1110"/>
        <v>234.00000000000034</v>
      </c>
      <c r="Y2063" s="43">
        <f t="shared" si="1111"/>
        <v>0.54711148025101519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55.5</v>
      </c>
      <c r="V2064" s="13">
        <f>IF(ISNA(VLOOKUP(LOWER(F2064)&amp;H2064,Prices!A:C,2,0)),0,VLOOKUP(LOWER(F2064)&amp;H2064,Prices!A:C,2,0))</f>
        <v>55.89</v>
      </c>
      <c r="W2064" s="13">
        <f t="shared" si="1109"/>
        <v>11821</v>
      </c>
      <c r="X2064" s="13">
        <f t="shared" si="1110"/>
        <v>234.00000000000034</v>
      </c>
      <c r="Y2064" s="43">
        <f t="shared" si="1111"/>
        <v>0.54454578957066524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45.95</v>
      </c>
      <c r="V2065" s="13">
        <f>IF(ISNA(VLOOKUP(LOWER(F2065)&amp;H2065,Prices!A:C,2,0)),0,VLOOKUP(LOWER(F2065)&amp;H2065,Prices!A:C,2,0))</f>
        <v>45.82</v>
      </c>
      <c r="W2065" s="13">
        <f t="shared" si="1109"/>
        <v>4600.674</v>
      </c>
      <c r="X2065" s="13">
        <f t="shared" si="1110"/>
        <v>-117.0000000000023</v>
      </c>
      <c r="Y2065" s="43">
        <f t="shared" si="1111"/>
        <v>0.12559852579852579</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45.95</v>
      </c>
      <c r="V2066" s="13">
        <f>IF(ISNA(VLOOKUP(LOWER(F2066)&amp;H2066,Prices!A:C,2,0)),0,VLOOKUP(LOWER(F2066)&amp;H2066,Prices!A:C,2,0))</f>
        <v>45.82</v>
      </c>
      <c r="W2066" s="13">
        <f t="shared" si="1109"/>
        <v>4600.674</v>
      </c>
      <c r="X2066" s="13">
        <f t="shared" si="1110"/>
        <v>-117.0000000000023</v>
      </c>
      <c r="Y2066" s="43">
        <f t="shared" si="1111"/>
        <v>0.12559852579852579</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45.95</v>
      </c>
      <c r="V2067" s="13">
        <f>IF(ISNA(VLOOKUP(LOWER(F2067)&amp;H2067,Prices!A:C,2,0)),0,VLOOKUP(LOWER(F2067)&amp;H2067,Prices!A:C,2,0))</f>
        <v>45.82</v>
      </c>
      <c r="W2067" s="13">
        <f t="shared" si="1109"/>
        <v>2047</v>
      </c>
      <c r="X2067" s="13">
        <f t="shared" si="1110"/>
        <v>-52.000000000001023</v>
      </c>
      <c r="Y2067" s="43">
        <f t="shared" si="1111"/>
        <v>0.12576800196608504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690.25</v>
      </c>
      <c r="V2068" s="13">
        <f>IF(ISNA(VLOOKUP(LOWER(F2068)&amp;H2068,Prices!A:C,2,0)),0,VLOOKUP(LOWER(F2068)&amp;H2068,Prices!A:C,2,0))</f>
        <v>679.15</v>
      </c>
      <c r="W2068" s="13">
        <f t="shared" si="1109"/>
        <v>22894.097579999994</v>
      </c>
      <c r="X2068" s="13">
        <f t="shared" si="1110"/>
        <v>-1110.0000000000023</v>
      </c>
      <c r="Y2068" s="43">
        <f t="shared" si="1111"/>
        <v>0.50863339139321484</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45.95</v>
      </c>
      <c r="V2069" s="13">
        <f>IF(ISNA(VLOOKUP(LOWER(F2069)&amp;H2069,Prices!A:C,2,0)),0,VLOOKUP(LOWER(F2069)&amp;H2069,Prices!A:C,2,0))</f>
        <v>45.82</v>
      </c>
      <c r="W2069" s="13">
        <f t="shared" si="1109"/>
        <v>4225.5152000000007</v>
      </c>
      <c r="X2069" s="13">
        <f t="shared" si="1110"/>
        <v>-104.00000000000205</v>
      </c>
      <c r="Y2069" s="43">
        <f t="shared" si="1111"/>
        <v>0.13032060202319273</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690.25</v>
      </c>
      <c r="V2070" s="13">
        <f>IF(ISNA(VLOOKUP(LOWER(F2070)&amp;H2070,Prices!A:C,2,0)),0,VLOOKUP(LOWER(F2070)&amp;H2070,Prices!A:C,2,0))</f>
        <v>679.15</v>
      </c>
      <c r="W2070" s="13">
        <f t="shared" si="1109"/>
        <v>23175.159399999997</v>
      </c>
      <c r="X2070" s="13">
        <f t="shared" si="1110"/>
        <v>-1110.0000000000023</v>
      </c>
      <c r="Y2070" s="43">
        <f t="shared" si="1111"/>
        <v>0.51811221551531406</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16.93</v>
      </c>
      <c r="V2071" s="30">
        <f>IF(ISNA(VLOOKUP(LOWER(F2071)&amp;H2071,Prices!A:C,2,0)),0,VLOOKUP(LOWER(F2071)&amp;H2071,Prices!A:C,2,0))</f>
        <v>17.02</v>
      </c>
      <c r="W2071" s="30">
        <f t="shared" si="1109"/>
        <v>2439.9931879999986</v>
      </c>
      <c r="X2071" s="30">
        <f t="shared" si="1110"/>
        <v>94.049999999999855</v>
      </c>
      <c r="Y2071" s="40">
        <f t="shared" si="1111"/>
        <v>0.1590546124662659</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39.799999999999997</v>
      </c>
      <c r="V2072" s="13">
        <f>IF(ISNA(VLOOKUP(LOWER(F2072)&amp;H2072,Prices!A:C,2,0)),0,VLOOKUP(LOWER(F2072)&amp;H2072,Prices!A:C,2,0))</f>
        <v>41.55</v>
      </c>
      <c r="W2072" s="13">
        <f t="shared" si="1109"/>
        <v>7776.9999999999973</v>
      </c>
      <c r="X2072" s="13">
        <f t="shared" si="1110"/>
        <v>1050</v>
      </c>
      <c r="Y2072" s="43">
        <f t="shared" si="1111"/>
        <v>0.45352227665033806</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39.799999999999997</v>
      </c>
      <c r="V2073" s="13">
        <f>IF(ISNA(VLOOKUP(LOWER(F2073)&amp;H2073,Prices!A:C,2,0)),0,VLOOKUP(LOWER(F2073)&amp;H2073,Prices!A:C,2,0))</f>
        <v>41.55</v>
      </c>
      <c r="W2073" s="13">
        <f t="shared" si="1109"/>
        <v>7644.9999999999982</v>
      </c>
      <c r="X2073" s="13">
        <f t="shared" si="1110"/>
        <v>1050</v>
      </c>
      <c r="Y2073" s="43">
        <f t="shared" si="1111"/>
        <v>0.4424189814814814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15.73</v>
      </c>
      <c r="V2074" s="13">
        <f>IF(ISNA(VLOOKUP(LOWER(F2074)&amp;H2074,Prices!A:C,2,0)),0,VLOOKUP(LOWER(F2074)&amp;H2074,Prices!A:C,2,0))</f>
        <v>15.59</v>
      </c>
      <c r="W2074" s="13">
        <f t="shared" si="1109"/>
        <v>3033.7517600000078</v>
      </c>
      <c r="X2074" s="13">
        <f t="shared" si="1110"/>
        <v>-364.00000000000148</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39.799999999999997</v>
      </c>
      <c r="V2075" s="13">
        <f>IF(ISNA(VLOOKUP(LOWER(F2075)&amp;H2075,Prices!A:C,2,0)),0,VLOOKUP(LOWER(F2075)&amp;H2075,Prices!A:C,2,0))</f>
        <v>41.55</v>
      </c>
      <c r="W2075" s="13">
        <f t="shared" si="1109"/>
        <v>74305.007999999987</v>
      </c>
      <c r="X2075" s="13">
        <f t="shared" si="1110"/>
        <v>10500</v>
      </c>
      <c r="Y2075" s="43">
        <f t="shared" si="1111"/>
        <v>0.42469711934156373</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39.799999999999997</v>
      </c>
      <c r="V2076" s="13">
        <f>IF(ISNA(VLOOKUP(LOWER(F2076)&amp;H2076,Prices!A:C,2,0)),0,VLOOKUP(LOWER(F2076)&amp;H2076,Prices!A:C,2,0))</f>
        <v>41.55</v>
      </c>
      <c r="W2076" s="13">
        <f t="shared" si="1109"/>
        <v>14897.0088</v>
      </c>
      <c r="X2076" s="13">
        <f t="shared" si="1110"/>
        <v>2100</v>
      </c>
      <c r="Y2076" s="43">
        <f t="shared" si="1111"/>
        <v>0.42616457260556129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7.85</v>
      </c>
      <c r="V2077" s="13">
        <f>IF(ISNA(VLOOKUP(LOWER(F2077)&amp;H2077,Prices!A:C,2,0)),0,VLOOKUP(LOWER(F2077)&amp;H2077,Prices!A:C,2,0))</f>
        <v>7.98</v>
      </c>
      <c r="W2077" s="13">
        <f t="shared" ref="W2077:W2092" si="1120">IF(I2077="B",(V2077+T2077)*K2077,(V2077+T2077)*K2077)</f>
        <v>330.21399999999625</v>
      </c>
      <c r="X2077" s="13">
        <f t="shared" ref="X2077:X2092" si="1121">K2077*(V2077-U2077)</f>
        <v>-390.00000000000233</v>
      </c>
      <c r="Y2077" s="43">
        <f t="shared" ref="Y2077:Y2092" si="1122">W2077/O2077</f>
        <v>1.3589053497942233E-2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55.5</v>
      </c>
      <c r="V2078" s="13">
        <f>IF(ISNA(VLOOKUP(LOWER(F2078)&amp;H2078,Prices!A:C,2,0)),0,VLOOKUP(LOWER(F2078)&amp;H2078,Prices!A:C,2,0))</f>
        <v>55.89</v>
      </c>
      <c r="W2078" s="13">
        <f t="shared" si="1120"/>
        <v>-22003.424599999995</v>
      </c>
      <c r="X2078" s="13">
        <f t="shared" si="1121"/>
        <v>-429.00000000000063</v>
      </c>
      <c r="Y2078" s="43">
        <f t="shared" si="1122"/>
        <v>-0.55672455532221732</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15.73</v>
      </c>
      <c r="V2079" s="13">
        <f>IF(ISNA(VLOOKUP(LOWER(F2079)&amp;H2079,Prices!A:C,2,0)),0,VLOOKUP(LOWER(F2079)&amp;H2079,Prices!A:C,2,0))</f>
        <v>15.59</v>
      </c>
      <c r="W2079" s="13">
        <f t="shared" si="1120"/>
        <v>-3940.5071999999977</v>
      </c>
      <c r="X2079" s="13">
        <f t="shared" si="1121"/>
        <v>392.00000000000159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690.25</v>
      </c>
      <c r="V2080" s="13">
        <f>IF(ISNA(VLOOKUP(LOWER(F2080)&amp;H2080,Prices!A:C,2,0)),0,VLOOKUP(LOWER(F2080)&amp;H2080,Prices!A:C,2,0))</f>
        <v>679.15</v>
      </c>
      <c r="W2080" s="13">
        <f t="shared" si="1120"/>
        <v>-22790.119599999998</v>
      </c>
      <c r="X2080" s="13">
        <f t="shared" si="1121"/>
        <v>1110.0000000000023</v>
      </c>
      <c r="Y2080" s="43">
        <f t="shared" si="1122"/>
        <v>-0.50442938468348819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29.38</v>
      </c>
      <c r="V2081" s="13">
        <f>IF(ISNA(VLOOKUP(LOWER(F2081)&amp;H2081,Prices!A:C,2,0)),0,VLOOKUP(LOWER(F2081)&amp;H2081,Prices!A:C,2,0))</f>
        <v>30.53</v>
      </c>
      <c r="W2081" s="13">
        <f t="shared" si="1120"/>
        <v>-2426.9959999999996</v>
      </c>
      <c r="X2081" s="13">
        <f t="shared" si="1121"/>
        <v>-460.00000000000085</v>
      </c>
      <c r="Y2081" s="43">
        <f t="shared" si="1122"/>
        <v>-0.24765265306122444</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29.38</v>
      </c>
      <c r="V2082" s="13">
        <f>IF(ISNA(VLOOKUP(LOWER(F2082)&amp;H2082,Prices!A:C,2,0)),0,VLOOKUP(LOWER(F2082)&amp;H2082,Prices!A:C,2,0))</f>
        <v>30.53</v>
      </c>
      <c r="W2082" s="13">
        <f t="shared" si="1120"/>
        <v>-12199.6824</v>
      </c>
      <c r="X2082" s="13">
        <f t="shared" si="1121"/>
        <v>-2300.0000000000041</v>
      </c>
      <c r="Y2082" s="43">
        <f t="shared" si="1122"/>
        <v>-0.2493802616516762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45.95</v>
      </c>
      <c r="V2083" s="13">
        <f>IF(ISNA(VLOOKUP(LOWER(F2083)&amp;H2083,Prices!A:C,2,0)),0,VLOOKUP(LOWER(F2083)&amp;H2083,Prices!A:C,2,0))</f>
        <v>45.82</v>
      </c>
      <c r="W2083" s="13">
        <f t="shared" si="1120"/>
        <v>-11376.432000000008</v>
      </c>
      <c r="X2083" s="13">
        <f t="shared" si="1121"/>
        <v>260.00000000000512</v>
      </c>
      <c r="Y2083" s="43">
        <f t="shared" si="1122"/>
        <v>-0.1415683424589349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55.5</v>
      </c>
      <c r="V2084" s="13">
        <f>IF(ISNA(VLOOKUP(LOWER(F2084)&amp;H2084,Prices!A:C,2,0)),0,VLOOKUP(LOWER(F2084)&amp;H2084,Prices!A:C,2,0))</f>
        <v>55.89</v>
      </c>
      <c r="W2084" s="13">
        <f t="shared" si="1120"/>
        <v>-40245.943999999996</v>
      </c>
      <c r="X2084" s="13">
        <f t="shared" si="1121"/>
        <v>-780.00000000000114</v>
      </c>
      <c r="Y2084" s="43">
        <f t="shared" si="1122"/>
        <v>-0.56193722423903936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45.95</v>
      </c>
      <c r="V2085" s="13">
        <f>IF(ISNA(VLOOKUP(LOWER(F2085)&amp;H2085,Prices!A:C,2,0)),0,VLOOKUP(LOWER(F2085)&amp;H2085,Prices!A:C,2,0))</f>
        <v>45.82</v>
      </c>
      <c r="W2085" s="13">
        <f t="shared" si="1120"/>
        <v>-12645.9128</v>
      </c>
      <c r="X2085" s="13">
        <f t="shared" si="1121"/>
        <v>286.00000000000563</v>
      </c>
      <c r="Y2085" s="43">
        <f t="shared" si="1122"/>
        <v>-0.14327373334541829</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39.799999999999997</v>
      </c>
      <c r="V2086" s="13">
        <f>IF(ISNA(VLOOKUP(LOWER(F2086)&amp;H2086,Prices!A:C,2,0)),0,VLOOKUP(LOWER(F2086)&amp;H2086,Prices!A:C,2,0))</f>
        <v>41.55</v>
      </c>
      <c r="W2086" s="13">
        <f t="shared" si="1120"/>
        <v>-38563.427999999993</v>
      </c>
      <c r="X2086" s="13">
        <f t="shared" si="1121"/>
        <v>-5250</v>
      </c>
      <c r="Y2086" s="43">
        <f t="shared" si="1122"/>
        <v>-0.44742345979812037</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690.25</v>
      </c>
      <c r="V2087" s="13">
        <f>IF(ISNA(VLOOKUP(LOWER(F2087)&amp;H2087,Prices!A:C,2,0)),0,VLOOKUP(LOWER(F2087)&amp;H2087,Prices!A:C,2,0))</f>
        <v>679.15</v>
      </c>
      <c r="W2087" s="13">
        <f t="shared" si="1120"/>
        <v>-91064.599520000003</v>
      </c>
      <c r="X2087" s="13">
        <f t="shared" si="1121"/>
        <v>4440.0000000000091</v>
      </c>
      <c r="Y2087" s="43">
        <f t="shared" si="1122"/>
        <v>-0.50363131315812759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7.85</v>
      </c>
      <c r="V2088" s="13">
        <f>IF(ISNA(VLOOKUP(LOWER(F2088)&amp;H2088,Prices!A:C,2,0)),0,VLOOKUP(LOWER(F2088)&amp;H2088,Prices!A:C,2,0))</f>
        <v>7.98</v>
      </c>
      <c r="W2088" s="13">
        <f t="shared" si="1120"/>
        <v>330.42665999999576</v>
      </c>
      <c r="X2088" s="13">
        <f t="shared" si="1121"/>
        <v>-429.00000000000256</v>
      </c>
      <c r="Y2088" s="43">
        <f t="shared" si="1122"/>
        <v>1.2376921002359657E-2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15.73</v>
      </c>
      <c r="V2089" s="13">
        <f>IF(ISNA(VLOOKUP(LOWER(F2089)&amp;H2089,Prices!A:C,2,0)),0,VLOOKUP(LOWER(F2089)&amp;H2089,Prices!A:C,2,0))</f>
        <v>15.59</v>
      </c>
      <c r="W2089" s="13">
        <f t="shared" si="1120"/>
        <v>-7186.4370000000035</v>
      </c>
      <c r="X2089" s="13">
        <f t="shared" si="1121"/>
        <v>700.00000000000284</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39.799999999999997</v>
      </c>
      <c r="V2090" s="13">
        <f>IF(ISNA(VLOOKUP(LOWER(F2090)&amp;H2090,Prices!A:C,2,0)),0,VLOOKUP(LOWER(F2090)&amp;H2090,Prices!A:C,2,0))</f>
        <v>41.55</v>
      </c>
      <c r="W2090" s="13">
        <f t="shared" si="1120"/>
        <v>-56252.063999999977</v>
      </c>
      <c r="X2090" s="13">
        <f t="shared" si="1121"/>
        <v>-7700</v>
      </c>
      <c r="Y2090" s="43">
        <f t="shared" si="1122"/>
        <v>-0.44390833333333313</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55.5</v>
      </c>
      <c r="V2091" s="13">
        <f>IF(ISNA(VLOOKUP(LOWER(F2091)&amp;H2091,Prices!A:C,2,0)),0,VLOOKUP(LOWER(F2091)&amp;H2091,Prices!A:C,2,0))</f>
        <v>55.89</v>
      </c>
      <c r="W2091" s="13">
        <f t="shared" si="1120"/>
        <v>-60428.84399999999</v>
      </c>
      <c r="X2091" s="13">
        <f t="shared" si="1121"/>
        <v>-1170.0000000000018</v>
      </c>
      <c r="Y2091" s="43">
        <f t="shared" si="1122"/>
        <v>-0.5628093880972338</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29.38</v>
      </c>
      <c r="V2092" s="13">
        <f>IF(ISNA(VLOOKUP(LOWER(F2092)&amp;H2092,Prices!A:C,2,0)),0,VLOOKUP(LOWER(F2092)&amp;H2092,Prices!A:C,2,0))</f>
        <v>30.53</v>
      </c>
      <c r="W2092" s="13">
        <f t="shared" si="1120"/>
        <v>31623.380000000019</v>
      </c>
      <c r="X2092" s="13">
        <f t="shared" si="1121"/>
        <v>5750.0000000000109</v>
      </c>
      <c r="Y2092" s="43">
        <f t="shared" si="1122"/>
        <v>0.26135024793388445</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33.22</v>
      </c>
      <c r="V2093" s="13">
        <f>IF(ISNA(VLOOKUP(LOWER(F2093)&amp;H2093,Prices!A:C,2,0)),0,VLOOKUP(LOWER(F2093)&amp;H2093,Prices!A:C,2,0))</f>
        <v>33.1</v>
      </c>
      <c r="W2093" s="13">
        <f t="shared" ref="W2093:W2096" si="1127">IF(I2093="B",(V2093+T2093)*K2093,(V2093+T2093)*K2093)</f>
        <v>1450.4947200000033</v>
      </c>
      <c r="X2093" s="13">
        <f t="shared" ref="X2093:X2096" si="1128">K2093*(V2093-U2093)</f>
        <v>-95.999999999997954</v>
      </c>
      <c r="Y2093" s="43">
        <f t="shared" ref="Y2093:Y2096" si="1129">W2093/O2093</f>
        <v>5.796414322250653E-2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9.48</v>
      </c>
      <c r="V2094" s="13">
        <f>IF(ISNA(VLOOKUP(LOWER(F2094)&amp;H2094,Prices!A:C,2,0)),0,VLOOKUP(LOWER(F2094)&amp;H2094,Prices!A:C,2,0))</f>
        <v>9.42</v>
      </c>
      <c r="W2094" s="13">
        <f t="shared" si="1127"/>
        <v>-1005.208399999999</v>
      </c>
      <c r="X2094" s="13">
        <f t="shared" si="1128"/>
        <v>-60.000000000000497</v>
      </c>
      <c r="Y2094" s="43">
        <f t="shared" si="1129"/>
        <v>-9.6469136276391448E-2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75.27</v>
      </c>
      <c r="V2095" s="13">
        <f>IF(ISNA(VLOOKUP(LOWER(F2095)&amp;H2095,Prices!A:C,2,0)),0,VLOOKUP(LOWER(F2095)&amp;H2095,Prices!A:C,2,0))</f>
        <v>75.709999999999994</v>
      </c>
      <c r="W2095" s="13">
        <f t="shared" si="1127"/>
        <v>4475.7867799999985</v>
      </c>
      <c r="X2095" s="13">
        <f t="shared" si="1128"/>
        <v>87.999999999999545</v>
      </c>
      <c r="Y2095" s="43">
        <f t="shared" si="1129"/>
        <v>0.41982804427352016</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11.73</v>
      </c>
      <c r="V2096" s="13">
        <f>IF(ISNA(VLOOKUP(LOWER(F2096)&amp;H2096,Prices!A:C,2,0)),0,VLOOKUP(LOWER(F2096)&amp;H2096,Prices!A:C,2,0))</f>
        <v>11.74</v>
      </c>
      <c r="W2096" s="13">
        <f t="shared" si="1127"/>
        <v>954.78440000000114</v>
      </c>
      <c r="X2096" s="13">
        <f t="shared" si="1128"/>
        <v>9.9999999999997868</v>
      </c>
      <c r="Y2096" s="43">
        <f t="shared" si="1129"/>
        <v>8.8569981447124413E-2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29.38</v>
      </c>
      <c r="V2097" s="13">
        <f>IF(ISNA(VLOOKUP(LOWER(F2097)&amp;H2097,Prices!A:C,2,0)),0,VLOOKUP(LOWER(F2097)&amp;H2097,Prices!A:C,2,0))</f>
        <v>30.53</v>
      </c>
      <c r="W2097" s="13">
        <f t="shared" ref="W2097:W2098" si="1134">IF(I2097="B",(V2097+T2097)*K2097,(V2097+T2097)*K2097)</f>
        <v>-16591.609799999995</v>
      </c>
      <c r="X2097" s="13">
        <f t="shared" ref="X2097:X2098" si="1135">K2097*(V2097-U2097)</f>
        <v>-3450.0000000000064</v>
      </c>
      <c r="Y2097" s="43">
        <f t="shared" ref="Y2097:Y2098" si="1136">W2097/O2097</f>
        <v>-0.22095631642029556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15.73</v>
      </c>
      <c r="V2098" s="13">
        <f>IF(ISNA(VLOOKUP(LOWER(F2098)&amp;H2098,Prices!A:C,2,0)),0,VLOOKUP(LOWER(F2098)&amp;H2098,Prices!A:C,2,0))</f>
        <v>15.59</v>
      </c>
      <c r="W2098" s="13">
        <f t="shared" si="1134"/>
        <v>727.96835999999769</v>
      </c>
      <c r="X2098" s="13">
        <f t="shared" si="1135"/>
        <v>196.0000000000008</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7.85</v>
      </c>
      <c r="V2099" s="13">
        <f>IF(ISNA(VLOOKUP(LOWER(F2099)&amp;H2099,Prices!A:C,2,0)),0,VLOOKUP(LOWER(F2099)&amp;H2099,Prices!A:C,2,0))</f>
        <v>7.98</v>
      </c>
      <c r="W2099" s="13">
        <f t="shared" ref="W2099" si="1139">IF(I2099="B",(V2099+T2099)*K2099,(V2099+T2099)*K2099)</f>
        <v>202.34792000000004</v>
      </c>
      <c r="X2099" s="13">
        <f t="shared" ref="X2099" si="1140">K2099*(V2099-U2099)</f>
        <v>-39.000000000000234</v>
      </c>
      <c r="Y2099" s="43">
        <f t="shared" ref="Y2099" si="1141">W2099/O2099</f>
        <v>7.7706574500768066E-2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75.27</v>
      </c>
      <c r="V2100" s="13">
        <f>IF(ISNA(VLOOKUP(LOWER(F2100)&amp;H2100,Prices!A:C,2,0)),0,VLOOKUP(LOWER(F2100)&amp;H2100,Prices!A:C,2,0))</f>
        <v>75.709999999999994</v>
      </c>
      <c r="W2100" s="13">
        <f t="shared" ref="W2100:W2102" si="1146">IF(I2100="B",(V2100+T2100)*K2100,(V2100+T2100)*K2100)</f>
        <v>15895.839539999997</v>
      </c>
      <c r="X2100" s="13">
        <f t="shared" ref="X2100:X2102" si="1147">K2100*(V2100-U2100)</f>
        <v>307.99999999999841</v>
      </c>
      <c r="Y2100" s="43">
        <f t="shared" ref="Y2100:Y2102" si="1148">W2100/O2100</f>
        <v>0.42854014342328733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75.27</v>
      </c>
      <c r="V2101" s="13">
        <f>IF(ISNA(VLOOKUP(LOWER(F2101)&amp;H2101,Prices!A:C,2,0)),0,VLOOKUP(LOWER(F2101)&amp;H2101,Prices!A:C,2,0))</f>
        <v>75.709999999999994</v>
      </c>
      <c r="W2101" s="13">
        <f t="shared" si="1146"/>
        <v>15720.801039999995</v>
      </c>
      <c r="X2101" s="13">
        <f t="shared" si="1147"/>
        <v>307.99999999999841</v>
      </c>
      <c r="Y2101" s="43">
        <f t="shared" si="1148"/>
        <v>0.42183108940646119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75.27</v>
      </c>
      <c r="V2102" s="13">
        <f>IF(ISNA(VLOOKUP(LOWER(F2102)&amp;H2102,Prices!A:C,2,0)),0,VLOOKUP(LOWER(F2102)&amp;H2102,Prices!A:C,2,0))</f>
        <v>75.709999999999994</v>
      </c>
      <c r="W2102" s="13">
        <f t="shared" si="1146"/>
        <v>15713.799499999999</v>
      </c>
      <c r="X2102" s="13">
        <f t="shared" si="1147"/>
        <v>307.99999999999841</v>
      </c>
      <c r="Y2102" s="43">
        <f t="shared" si="1148"/>
        <v>0.42156403755868543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9.48</v>
      </c>
      <c r="V2103" s="13">
        <f>IF(ISNA(VLOOKUP(LOWER(F2103)&amp;H2103,Prices!A:C,2,0)),0,VLOOKUP(LOWER(F2103)&amp;H2103,Prices!A:C,2,0))</f>
        <v>9.42</v>
      </c>
      <c r="W2103" s="13">
        <f t="shared" ref="W2103:W2111" si="1153">IF(I2103="B",(V2103+T2103)*K2103,(V2103+T2103)*K2103)</f>
        <v>-3246.3082799999956</v>
      </c>
      <c r="X2103" s="13">
        <f t="shared" ref="X2103:X2111" si="1154">K2103*(V2103-U2103)</f>
        <v>-162.00000000000134</v>
      </c>
      <c r="Y2103" s="43">
        <f t="shared" ref="Y2103:Y2111" si="1155">W2103/O2103</f>
        <v>-0.11321435028248573</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11.73</v>
      </c>
      <c r="V2104" s="13">
        <f>IF(ISNA(VLOOKUP(LOWER(F2104)&amp;H2104,Prices!A:C,2,0)),0,VLOOKUP(LOWER(F2104)&amp;H2104,Prices!A:C,2,0))</f>
        <v>11.74</v>
      </c>
      <c r="W2104" s="13">
        <f t="shared" si="1153"/>
        <v>2992.9115999999995</v>
      </c>
      <c r="X2104" s="13">
        <f t="shared" si="1154"/>
        <v>29.999999999999361</v>
      </c>
      <c r="Y2104" s="43">
        <f t="shared" si="1155"/>
        <v>9.2889869646182482E-2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9.48</v>
      </c>
      <c r="V2105" s="13">
        <f>IF(ISNA(VLOOKUP(LOWER(F2105)&amp;H2105,Prices!A:C,2,0)),0,VLOOKUP(LOWER(F2105)&amp;H2105,Prices!A:C,2,0))</f>
        <v>9.42</v>
      </c>
      <c r="W2105" s="13">
        <f t="shared" si="1153"/>
        <v>-2385.4244000000017</v>
      </c>
      <c r="X2105" s="13">
        <f t="shared" si="1154"/>
        <v>-120.00000000000099</v>
      </c>
      <c r="Y2105" s="43">
        <f t="shared" si="1155"/>
        <v>-0.11241396795475975</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690.25</v>
      </c>
      <c r="V2106" s="13">
        <f>IF(ISNA(VLOOKUP(LOWER(F2106)&amp;H2106,Prices!A:C,2,0)),0,VLOOKUP(LOWER(F2106)&amp;H2106,Prices!A:C,2,0))</f>
        <v>679.15</v>
      </c>
      <c r="W2106" s="13">
        <f t="shared" si="1153"/>
        <v>20304.528000000006</v>
      </c>
      <c r="X2106" s="13">
        <f t="shared" si="1154"/>
        <v>-1110.0000000000023</v>
      </c>
      <c r="Y2106" s="43">
        <f t="shared" si="1155"/>
        <v>0.42656571428571438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9.48</v>
      </c>
      <c r="V2107" s="13">
        <f>IF(ISNA(VLOOKUP(LOWER(F2107)&amp;H2107,Prices!A:C,2,0)),0,VLOOKUP(LOWER(F2107)&amp;H2107,Prices!A:C,2,0))</f>
        <v>9.42</v>
      </c>
      <c r="W2107" s="13">
        <f t="shared" si="1153"/>
        <v>-4633.685379999999</v>
      </c>
      <c r="X2107" s="13">
        <f t="shared" si="1154"/>
        <v>-222.00000000000185</v>
      </c>
      <c r="Y2107" s="43">
        <f t="shared" si="1155"/>
        <v>-0.11737089034676661</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11.73</v>
      </c>
      <c r="V2108" s="13">
        <f>IF(ISNA(VLOOKUP(LOWER(F2108)&amp;H2108,Prices!A:C,2,0)),0,VLOOKUP(LOWER(F2108)&amp;H2108,Prices!A:C,2,0))</f>
        <v>11.74</v>
      </c>
      <c r="W2108" s="13">
        <f t="shared" si="1153"/>
        <v>3469.2087999999985</v>
      </c>
      <c r="X2108" s="13">
        <f t="shared" si="1154"/>
        <v>36.999999999999211</v>
      </c>
      <c r="Y2108" s="43">
        <f t="shared" si="1155"/>
        <v>8.6817037037036998E-2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27.36</v>
      </c>
      <c r="V2109" s="13">
        <f>IF(ISNA(VLOOKUP(LOWER(F2109)&amp;H2109,Prices!A:C,2,0)),0,VLOOKUP(LOWER(F2109)&amp;H2109,Prices!A:C,2,0))</f>
        <v>25.09</v>
      </c>
      <c r="W2109" s="13">
        <f t="shared" si="1153"/>
        <v>-1868.6889000000021</v>
      </c>
      <c r="X2109" s="13">
        <f t="shared" si="1154"/>
        <v>-3404.9999999999995</v>
      </c>
      <c r="Y2109" s="43">
        <f t="shared" si="1155"/>
        <v>-4.7314568932776357E-2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11.73</v>
      </c>
      <c r="V2110" s="13">
        <f>IF(ISNA(VLOOKUP(LOWER(F2110)&amp;H2110,Prices!A:C,2,0)),0,VLOOKUP(LOWER(F2110)&amp;H2110,Prices!A:C,2,0))</f>
        <v>11.74</v>
      </c>
      <c r="W2110" s="13">
        <f t="shared" si="1153"/>
        <v>3469.2087999999985</v>
      </c>
      <c r="X2110" s="13">
        <f t="shared" si="1154"/>
        <v>36.999999999999211</v>
      </c>
      <c r="Y2110" s="43">
        <f t="shared" si="1155"/>
        <v>8.6817037037036998E-2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2.99</v>
      </c>
      <c r="V2111" s="13">
        <f>IF(ISNA(VLOOKUP(LOWER(F2111)&amp;H2111,Prices!A:C,2,0)),0,VLOOKUP(LOWER(F2111)&amp;H2111,Prices!A:C,2,0))</f>
        <v>2.996</v>
      </c>
      <c r="W2111" s="13">
        <f t="shared" si="1153"/>
        <v>26.999999999999957</v>
      </c>
      <c r="X2111" s="13">
        <f t="shared" si="1154"/>
        <v>0.59999999999997833</v>
      </c>
      <c r="Y2111" s="43">
        <f t="shared" si="1155"/>
        <v>0.10089686098654692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2.99</v>
      </c>
      <c r="V2112" s="13">
        <f>IF(ISNA(VLOOKUP(LOWER(F2112)&amp;H2112,Prices!A:C,2,0)),0,VLOOKUP(LOWER(F2112)&amp;H2112,Prices!A:C,2,0))</f>
        <v>2.996</v>
      </c>
      <c r="W2112" s="13">
        <f t="shared" ref="W2112:W2121" si="1160">IF(I2112="B",(V2112+T2112)*K2112,(V2112+T2112)*K2112)</f>
        <v>4476.4287199999981</v>
      </c>
      <c r="X2112" s="13">
        <f t="shared" ref="X2112:X2121" si="1161">K2112*(V2112-U2112)</f>
        <v>88.7999999999968</v>
      </c>
      <c r="Y2112" s="43">
        <f t="shared" ref="Y2112:Y2121" si="1162">W2112/O2112</f>
        <v>0.11231392499071662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9.48</v>
      </c>
      <c r="V2113" s="13">
        <f>IF(ISNA(VLOOKUP(LOWER(F2113)&amp;H2113,Prices!A:C,2,0)),0,VLOOKUP(LOWER(F2113)&amp;H2113,Prices!A:C,2,0))</f>
        <v>9.42</v>
      </c>
      <c r="W2113" s="13">
        <f t="shared" si="1160"/>
        <v>-3656.6776800000039</v>
      </c>
      <c r="X2113" s="13">
        <f t="shared" si="1161"/>
        <v>-228.00000000000188</v>
      </c>
      <c r="Y2113" s="43">
        <f t="shared" si="1162"/>
        <v>-9.2705549132948081E-2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11.73</v>
      </c>
      <c r="V2114" s="13">
        <f>IF(ISNA(VLOOKUP(LOWER(F2114)&amp;H2114,Prices!A:C,2,0)),0,VLOOKUP(LOWER(F2114)&amp;H2114,Prices!A:C,2,0))</f>
        <v>11.74</v>
      </c>
      <c r="W2114" s="13">
        <f t="shared" si="1160"/>
        <v>4209.3716000000049</v>
      </c>
      <c r="X2114" s="13">
        <f t="shared" si="1161"/>
        <v>36.999999999999211</v>
      </c>
      <c r="Y2114" s="43">
        <f t="shared" si="1162"/>
        <v>0.10732716981132089</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15.73</v>
      </c>
      <c r="V2115" s="13">
        <f>IF(ISNA(VLOOKUP(LOWER(F2115)&amp;H2115,Prices!A:C,2,0)),0,VLOOKUP(LOWER(F2115)&amp;H2115,Prices!A:C,2,0))</f>
        <v>15.59</v>
      </c>
      <c r="W2115" s="13">
        <f t="shared" si="1160"/>
        <v>-808.75050000000397</v>
      </c>
      <c r="X2115" s="13">
        <f t="shared" si="1161"/>
        <v>-350.00000000000142</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27.36</v>
      </c>
      <c r="V2116" s="13">
        <f>IF(ISNA(VLOOKUP(LOWER(F2116)&amp;H2116,Prices!A:C,2,0)),0,VLOOKUP(LOWER(F2116)&amp;H2116,Prices!A:C,2,0))</f>
        <v>25.09</v>
      </c>
      <c r="W2116" s="13">
        <f t="shared" si="1160"/>
        <v>-1748.6624999999999</v>
      </c>
      <c r="X2116" s="13">
        <f t="shared" si="1161"/>
        <v>-3404.9999999999995</v>
      </c>
      <c r="Y2116" s="43">
        <f t="shared" si="1162"/>
        <v>-4.4410476190476188E-2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2.99</v>
      </c>
      <c r="V2117" s="13">
        <f>IF(ISNA(VLOOKUP(LOWER(F2117)&amp;H2117,Prices!A:C,2,0)),0,VLOOKUP(LOWER(F2117)&amp;H2117,Prices!A:C,2,0))</f>
        <v>2.996</v>
      </c>
      <c r="W2117" s="13">
        <f t="shared" si="1160"/>
        <v>4417.2168800000045</v>
      </c>
      <c r="X2117" s="13">
        <f t="shared" si="1161"/>
        <v>88.7999999999968</v>
      </c>
      <c r="Y2117" s="43">
        <f t="shared" si="1162"/>
        <v>0.11066392287727116</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2.99</v>
      </c>
      <c r="V2118" s="13">
        <f>IF(ISNA(VLOOKUP(LOWER(F2118)&amp;H2118,Prices!A:C,2,0)),0,VLOOKUP(LOWER(F2118)&amp;H2118,Prices!A:C,2,0))</f>
        <v>2.996</v>
      </c>
      <c r="W2118" s="13">
        <f t="shared" si="1160"/>
        <v>4432.0198399999981</v>
      </c>
      <c r="X2118" s="13">
        <f t="shared" si="1161"/>
        <v>88.7999999999968</v>
      </c>
      <c r="Y2118" s="43">
        <f t="shared" si="1162"/>
        <v>0.11107596439169135</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29.38</v>
      </c>
      <c r="V2119" s="13">
        <f>IF(ISNA(VLOOKUP(LOWER(F2119)&amp;H2119,Prices!A:C,2,0)),0,VLOOKUP(LOWER(F2119)&amp;H2119,Prices!A:C,2,0))</f>
        <v>30.53</v>
      </c>
      <c r="W2119" s="13">
        <f t="shared" si="1160"/>
        <v>7311.5355</v>
      </c>
      <c r="X2119" s="13">
        <f t="shared" si="1161"/>
        <v>1725.0000000000032</v>
      </c>
      <c r="Y2119" s="43">
        <f t="shared" si="1162"/>
        <v>0.19003341130604287</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11.73</v>
      </c>
      <c r="V2120" s="13">
        <f>IF(ISNA(VLOOKUP(LOWER(F2120)&amp;H2120,Prices!A:C,2,0)),0,VLOOKUP(LOWER(F2120)&amp;H2120,Prices!A:C,2,0))</f>
        <v>11.74</v>
      </c>
      <c r="W2120" s="13">
        <f t="shared" si="1160"/>
        <v>4209.3716000000049</v>
      </c>
      <c r="X2120" s="13">
        <f t="shared" si="1161"/>
        <v>36.999999999999211</v>
      </c>
      <c r="Y2120" s="43">
        <f t="shared" si="1162"/>
        <v>0.10732716981132089</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9.48</v>
      </c>
      <c r="V2121" s="13">
        <f>IF(ISNA(VLOOKUP(LOWER(F2121)&amp;H2121,Prices!A:C,2,0)),0,VLOOKUP(LOWER(F2121)&amp;H2121,Prices!A:C,2,0))</f>
        <v>9.42</v>
      </c>
      <c r="W2121" s="13">
        <f t="shared" si="1160"/>
        <v>-3618.6693200000013</v>
      </c>
      <c r="X2121" s="13">
        <f t="shared" si="1161"/>
        <v>-228.00000000000188</v>
      </c>
      <c r="Y2121" s="43">
        <f t="shared" si="1162"/>
        <v>-9.1830414657666379E-2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2.99</v>
      </c>
      <c r="V2122" s="13">
        <f>IF(ISNA(VLOOKUP(LOWER(F2122)&amp;H2122,Prices!A:C,2,0)),0,VLOOKUP(LOWER(F2122)&amp;H2122,Prices!A:C,2,0))</f>
        <v>2.996</v>
      </c>
      <c r="W2122" s="13">
        <f t="shared" ref="W2122:W2126" si="1170">IF(I2122="B",(V2122+T2122)*K2122,(V2122+T2122)*K2122)</f>
        <v>44478.018000000011</v>
      </c>
      <c r="X2122" s="13">
        <f t="shared" ref="X2122:X2126" si="1171">K2122*(V2122-U2122)</f>
        <v>809.99999999997078</v>
      </c>
      <c r="Y2122" s="43">
        <f t="shared" ref="Y2122:Y2126" si="1172">W2122/O2122</f>
        <v>0.12358094523630911</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2.99</v>
      </c>
      <c r="V2123" s="13">
        <f>IF(ISNA(VLOOKUP(LOWER(F2123)&amp;H2123,Prices!A:C,2,0)),0,VLOOKUP(LOWER(F2123)&amp;H2123,Prices!A:C,2,0))</f>
        <v>2.996</v>
      </c>
      <c r="W2123" s="13">
        <f t="shared" si="1170"/>
        <v>9974.0220000000027</v>
      </c>
      <c r="X2123" s="13">
        <f t="shared" si="1171"/>
        <v>179.99999999999349</v>
      </c>
      <c r="Y2123" s="43">
        <f t="shared" si="1172"/>
        <v>0.12484693954187011</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2.99</v>
      </c>
      <c r="V2124" s="13">
        <f>IF(ISNA(VLOOKUP(LOWER(F2124)&amp;H2124,Prices!A:C,2,0)),0,VLOOKUP(LOWER(F2124)&amp;H2124,Prices!A:C,2,0))</f>
        <v>2.996</v>
      </c>
      <c r="W2124" s="13">
        <f t="shared" si="1170"/>
        <v>10004.028000000002</v>
      </c>
      <c r="X2124" s="13">
        <f t="shared" si="1171"/>
        <v>179.99999999999349</v>
      </c>
      <c r="Y2124" s="43">
        <f t="shared" si="1172"/>
        <v>0.12526957175056352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2.99</v>
      </c>
      <c r="V2125" s="13">
        <f>IF(ISNA(VLOOKUP(LOWER(F2125)&amp;H2125,Prices!A:C,2,0)),0,VLOOKUP(LOWER(F2125)&amp;H2125,Prices!A:C,2,0))</f>
        <v>2.996</v>
      </c>
      <c r="W2125" s="13">
        <f t="shared" si="1170"/>
        <v>9944.0160000000014</v>
      </c>
      <c r="X2125" s="13">
        <f t="shared" si="1171"/>
        <v>179.99999999999349</v>
      </c>
      <c r="Y2125" s="43">
        <f t="shared" si="1172"/>
        <v>0.12442462462462464</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2.99</v>
      </c>
      <c r="V2126" s="13">
        <f>IF(ISNA(VLOOKUP(LOWER(F2126)&amp;H2126,Prices!A:C,2,0)),0,VLOOKUP(LOWER(F2126)&amp;H2126,Prices!A:C,2,0))</f>
        <v>2.996</v>
      </c>
      <c r="W2126" s="13">
        <f t="shared" si="1170"/>
        <v>13298.696000000004</v>
      </c>
      <c r="X2126" s="13">
        <f t="shared" si="1171"/>
        <v>239.99999999999133</v>
      </c>
      <c r="Y2126" s="43">
        <f t="shared" si="1172"/>
        <v>0.12484693954187012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2.99</v>
      </c>
      <c r="V2127" s="13">
        <f>IF(ISNA(VLOOKUP(LOWER(F2127)&amp;H2127,Prices!A:C,2,0)),0,VLOOKUP(LOWER(F2127)&amp;H2127,Prices!A:C,2,0))</f>
        <v>2.996</v>
      </c>
      <c r="W2127" s="13">
        <f t="shared" ref="W2127:W2134" si="1178">IF(I2127="B",(V2127+T2127)*K2127,(V2127+T2127)*K2127)</f>
        <v>-12741.424000000006</v>
      </c>
      <c r="X2127" s="13">
        <f t="shared" ref="X2127:X2134" si="1179">K2127*(V2127-U2127)</f>
        <v>-239.99999999999133</v>
      </c>
      <c r="Y2127" s="43">
        <f t="shared" ref="Y2127:Y2134" si="1180">W2127/O2127</f>
        <v>-0.11894533233756541</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45.95</v>
      </c>
      <c r="V2128" s="13">
        <f>IF(ISNA(VLOOKUP(LOWER(F2128)&amp;H2128,Prices!A:C,2,0)),0,VLOOKUP(LOWER(F2128)&amp;H2128,Prices!A:C,2,0))</f>
        <v>45.82</v>
      </c>
      <c r="W2128" s="13">
        <f t="shared" si="1178"/>
        <v>2719</v>
      </c>
      <c r="X2128" s="13">
        <f t="shared" si="1179"/>
        <v>-52.000000000001023</v>
      </c>
      <c r="Y2128" s="43">
        <f t="shared" si="1180"/>
        <v>0.17425019225839528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45.95</v>
      </c>
      <c r="V2129" s="13">
        <f>IF(ISNA(VLOOKUP(LOWER(F2129)&amp;H2129,Prices!A:C,2,0)),0,VLOOKUP(LOWER(F2129)&amp;H2129,Prices!A:C,2,0))</f>
        <v>45.82</v>
      </c>
      <c r="W2129" s="13">
        <f t="shared" si="1178"/>
        <v>6802.1979999999967</v>
      </c>
      <c r="X2129" s="13">
        <f t="shared" si="1179"/>
        <v>-130.00000000000256</v>
      </c>
      <c r="Y2129" s="43">
        <f t="shared" si="1180"/>
        <v>0.17437062291720062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2.99</v>
      </c>
      <c r="V2130" s="13">
        <f>IF(ISNA(VLOOKUP(LOWER(F2130)&amp;H2130,Prices!A:C,2,0)),0,VLOOKUP(LOWER(F2130)&amp;H2130,Prices!A:C,2,0))</f>
        <v>2.996</v>
      </c>
      <c r="W2130" s="13">
        <f t="shared" si="1178"/>
        <v>-15876.790000000019</v>
      </c>
      <c r="X2130" s="13">
        <f t="shared" si="1179"/>
        <v>-299.99999999998914</v>
      </c>
      <c r="Y2130" s="43">
        <f t="shared" si="1180"/>
        <v>-0.11852773422919013</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2.99</v>
      </c>
      <c r="V2131" s="13">
        <f>IF(ISNA(VLOOKUP(LOWER(F2131)&amp;H2131,Prices!A:C,2,0)),0,VLOOKUP(LOWER(F2131)&amp;H2131,Prices!A:C,2,0))</f>
        <v>2.996</v>
      </c>
      <c r="W2131" s="13">
        <f t="shared" si="1178"/>
        <v>-15826.799999999985</v>
      </c>
      <c r="X2131" s="13">
        <f t="shared" si="1179"/>
        <v>-299.99999999998914</v>
      </c>
      <c r="Y2131" s="43">
        <f t="shared" si="1180"/>
        <v>-0.11811044776119392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2.99</v>
      </c>
      <c r="V2132" s="13">
        <f>IF(ISNA(VLOOKUP(LOWER(F2132)&amp;H2132,Prices!A:C,2,0)),0,VLOOKUP(LOWER(F2132)&amp;H2132,Prices!A:C,2,0))</f>
        <v>2.996</v>
      </c>
      <c r="W2132" s="13">
        <f t="shared" si="1178"/>
        <v>-15876.790000000019</v>
      </c>
      <c r="X2132" s="13">
        <f t="shared" si="1179"/>
        <v>-299.99999999998914</v>
      </c>
      <c r="Y2132" s="43">
        <f t="shared" si="1180"/>
        <v>-0.11852773422919013</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2.99</v>
      </c>
      <c r="V2133" s="13">
        <f>IF(ISNA(VLOOKUP(LOWER(F2133)&amp;H2133,Prices!A:C,2,0)),0,VLOOKUP(LOWER(F2133)&amp;H2133,Prices!A:C,2,0))</f>
        <v>2.996</v>
      </c>
      <c r="W2133" s="13">
        <f t="shared" si="1178"/>
        <v>-15926.780000000008</v>
      </c>
      <c r="X2133" s="13">
        <f t="shared" si="1179"/>
        <v>-299.99999999998914</v>
      </c>
      <c r="Y2133" s="43">
        <f t="shared" si="1180"/>
        <v>-0.11894533233756541</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2.99</v>
      </c>
      <c r="V2134" s="13">
        <f>IF(ISNA(VLOOKUP(LOWER(F2134)&amp;H2134,Prices!A:C,2,0)),0,VLOOKUP(LOWER(F2134)&amp;H2134,Prices!A:C,2,0))</f>
        <v>2.996</v>
      </c>
      <c r="W2134" s="13">
        <f t="shared" si="1178"/>
        <v>-2390</v>
      </c>
      <c r="X2134" s="13">
        <f t="shared" si="1179"/>
        <v>-44.999999999998373</v>
      </c>
      <c r="Y2134" s="43">
        <f t="shared" si="1180"/>
        <v>-0.11899427433408016</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33.22</v>
      </c>
      <c r="V2135" s="13">
        <f>IF(ISNA(VLOOKUP(LOWER(F2135)&amp;H2135,Prices!A:C,2,0)),0,VLOOKUP(LOWER(F2135)&amp;H2135,Prices!A:C,2,0))</f>
        <v>33.1</v>
      </c>
      <c r="W2135" s="13">
        <f t="shared" ref="W2135:W2140" si="1188">IF(I2135="B",(V2135+T2135)*K2135,(V2135+T2135)*K2135)</f>
        <v>1650.6359200000013</v>
      </c>
      <c r="X2135" s="13">
        <f t="shared" ref="X2135:X2140" si="1189">K2135*(V2135-U2135)</f>
        <v>-71.999999999998465</v>
      </c>
      <c r="Y2135" s="43">
        <f t="shared" ref="Y2135:Y2140" si="1190">W2135/O2135</f>
        <v>9.067435288947491E-2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2.99</v>
      </c>
      <c r="V2136" s="13">
        <f>IF(ISNA(VLOOKUP(LOWER(F2136)&amp;H2136,Prices!A:C,2,0)),0,VLOOKUP(LOWER(F2136)&amp;H2136,Prices!A:C,2,0))</f>
        <v>2.996</v>
      </c>
      <c r="W2136" s="13">
        <f t="shared" si="1188"/>
        <v>-9496.0800000000054</v>
      </c>
      <c r="X2136" s="13">
        <f t="shared" si="1189"/>
        <v>-179.99999999999349</v>
      </c>
      <c r="Y2136" s="43">
        <f t="shared" si="1190"/>
        <v>-0.1181104477611941</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9.48</v>
      </c>
      <c r="V2137" s="13">
        <f>IF(ISNA(VLOOKUP(LOWER(F2137)&amp;H2137,Prices!A:C,2,0)),0,VLOOKUP(LOWER(F2137)&amp;H2137,Prices!A:C,2,0))</f>
        <v>9.42</v>
      </c>
      <c r="W2137" s="13">
        <f t="shared" si="1188"/>
        <v>4237.292000000004</v>
      </c>
      <c r="X2137" s="13">
        <f t="shared" si="1189"/>
        <v>300.0000000000025</v>
      </c>
      <c r="Y2137" s="43">
        <f t="shared" si="1190"/>
        <v>8.2437587548638211E-2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27.36</v>
      </c>
      <c r="V2138" s="13">
        <f>IF(ISNA(VLOOKUP(LOWER(F2138)&amp;H2138,Prices!A:C,2,0)),0,VLOOKUP(LOWER(F2138)&amp;H2138,Prices!A:C,2,0))</f>
        <v>25.09</v>
      </c>
      <c r="W2138" s="13">
        <f t="shared" si="1188"/>
        <v>2136.0963999999994</v>
      </c>
      <c r="X2138" s="13">
        <f t="shared" si="1189"/>
        <v>4539.9999999999991</v>
      </c>
      <c r="Y2138" s="43">
        <f t="shared" si="1190"/>
        <v>4.0780763650248172E-2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11.73</v>
      </c>
      <c r="V2139" s="13">
        <f>IF(ISNA(VLOOKUP(LOWER(F2139)&amp;H2139,Prices!A:C,2,0)),0,VLOOKUP(LOWER(F2139)&amp;H2139,Prices!A:C,2,0))</f>
        <v>11.74</v>
      </c>
      <c r="W2139" s="13">
        <f t="shared" si="1188"/>
        <v>-5564.903999999995</v>
      </c>
      <c r="X2139" s="13">
        <f t="shared" si="1189"/>
        <v>-49.999999999998934</v>
      </c>
      <c r="Y2139" s="43">
        <f t="shared" si="1190"/>
        <v>-0.10460345864661645</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11.73</v>
      </c>
      <c r="V2140" s="13">
        <f>IF(ISNA(VLOOKUP(LOWER(F2140)&amp;H2140,Prices!A:C,2,0)),0,VLOOKUP(LOWER(F2140)&amp;H2140,Prices!A:C,2,0))</f>
        <v>11.74</v>
      </c>
      <c r="W2140" s="13">
        <f t="shared" si="1188"/>
        <v>-5564.903999999995</v>
      </c>
      <c r="X2140" s="13">
        <f t="shared" si="1189"/>
        <v>-49.999999999998934</v>
      </c>
      <c r="Y2140" s="43">
        <f t="shared" si="1190"/>
        <v>-0.10460345864661645</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33.22</v>
      </c>
      <c r="V2141" s="13">
        <f>IF(ISNA(VLOOKUP(LOWER(F2141)&amp;H2141,Prices!A:C,2,0)),0,VLOOKUP(LOWER(F2141)&amp;H2141,Prices!A:C,2,0))</f>
        <v>33.1</v>
      </c>
      <c r="W2141" s="13">
        <f t="shared" ref="W2141:W2143" si="1198">IF(I2141="B",(V2141+T2141)*K2141,(V2141+T2141)*K2141)</f>
        <v>3904.3942600000028</v>
      </c>
      <c r="X2141" s="13">
        <f t="shared" ref="X2141:X2143" si="1199">K2141*(V2141-U2141)</f>
        <v>-155.99999999999667</v>
      </c>
      <c r="Y2141" s="43">
        <f t="shared" ref="Y2141:Y2143" si="1200">W2141/O2141</f>
        <v>9.9813233632436091E-2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29.38</v>
      </c>
      <c r="V2142" s="13">
        <f>IF(ISNA(VLOOKUP(LOWER(F2142)&amp;H2142,Prices!A:C,2,0)),0,VLOOKUP(LOWER(F2142)&amp;H2142,Prices!A:C,2,0))</f>
        <v>30.53</v>
      </c>
      <c r="W2142" s="13">
        <f t="shared" si="1198"/>
        <v>7656.6114000000025</v>
      </c>
      <c r="X2142" s="13">
        <f t="shared" si="1199"/>
        <v>1725.0000000000032</v>
      </c>
      <c r="Y2142" s="43">
        <f t="shared" si="1200"/>
        <v>0.20080281667977976</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33.22</v>
      </c>
      <c r="V2143" s="13">
        <f>IF(ISNA(VLOOKUP(LOWER(F2143)&amp;H2143,Prices!A:C,2,0)),0,VLOOKUP(LOWER(F2143)&amp;H2143,Prices!A:C,2,0))</f>
        <v>33.1</v>
      </c>
      <c r="W2143" s="13">
        <f t="shared" si="1198"/>
        <v>3826.3770999999979</v>
      </c>
      <c r="X2143" s="13">
        <f t="shared" si="1199"/>
        <v>-155.99999999999667</v>
      </c>
      <c r="Y2143" s="43">
        <f t="shared" si="1200"/>
        <v>9.7624112769485849E-2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45.95</v>
      </c>
      <c r="V2144" s="13">
        <f>IF(ISNA(VLOOKUP(LOWER(F2144)&amp;H2144,Prices!A:C,2,0)),0,VLOOKUP(LOWER(F2144)&amp;H2144,Prices!A:C,2,0))</f>
        <v>45.82</v>
      </c>
      <c r="W2144" s="13">
        <f t="shared" ref="W2144:W2157" si="1208">IF(I2144="B",(V2144+T2144)*K2144,(V2144+T2144)*K2144)</f>
        <v>9993.2549999999937</v>
      </c>
      <c r="X2144" s="13">
        <f t="shared" ref="X2144:X2157" si="1209">K2144*(V2144-U2144)</f>
        <v>-195.00000000000384</v>
      </c>
      <c r="Y2144" s="43">
        <f t="shared" ref="Y2144:Y2157" si="1210">W2144/O2144</f>
        <v>0.17017037037037028</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33.22</v>
      </c>
      <c r="V2145" s="13">
        <f>IF(ISNA(VLOOKUP(LOWER(F2145)&amp;H2145,Prices!A:C,2,0)),0,VLOOKUP(LOWER(F2145)&amp;H2145,Prices!A:C,2,0))</f>
        <v>33.1</v>
      </c>
      <c r="W2145" s="13">
        <f t="shared" si="1208"/>
        <v>6126.786799999998</v>
      </c>
      <c r="X2145" s="13">
        <f t="shared" si="1209"/>
        <v>-239.99999999999488</v>
      </c>
      <c r="Y2145" s="43">
        <f t="shared" si="1210"/>
        <v>0.1020111022311022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45.95</v>
      </c>
      <c r="V2146" s="13">
        <f>IF(ISNA(VLOOKUP(LOWER(F2146)&amp;H2146,Prices!A:C,2,0)),0,VLOOKUP(LOWER(F2146)&amp;H2146,Prices!A:C,2,0))</f>
        <v>45.82</v>
      </c>
      <c r="W2146" s="13">
        <f t="shared" si="1208"/>
        <v>6682.1739999999963</v>
      </c>
      <c r="X2146" s="13">
        <f t="shared" si="1209"/>
        <v>-130.00000000000256</v>
      </c>
      <c r="Y2146" s="43">
        <f t="shared" si="1210"/>
        <v>0.17076856631740342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15.73</v>
      </c>
      <c r="V2147" s="13">
        <f>IF(ISNA(VLOOKUP(LOWER(F2147)&amp;H2147,Prices!A:C,2,0)),0,VLOOKUP(LOWER(F2147)&amp;H2147,Prices!A:C,2,0))</f>
        <v>15.59</v>
      </c>
      <c r="W2147" s="13">
        <f t="shared" si="1208"/>
        <v>-1287.1412000000007</v>
      </c>
      <c r="X2147" s="13">
        <f t="shared" si="1209"/>
        <v>-280.00000000000114</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690.25</v>
      </c>
      <c r="V2148" s="13">
        <f>IF(ISNA(VLOOKUP(LOWER(F2148)&amp;H2148,Prices!A:C,2,0)),0,VLOOKUP(LOWER(F2148)&amp;H2148,Prices!A:C,2,0))</f>
        <v>679.15</v>
      </c>
      <c r="W2148" s="13">
        <f t="shared" si="1208"/>
        <v>20078.478280000003</v>
      </c>
      <c r="X2148" s="13">
        <f t="shared" si="1209"/>
        <v>-1110.0000000000023</v>
      </c>
      <c r="Y2148" s="43">
        <f t="shared" si="1210"/>
        <v>0.41982349098816552</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33.22</v>
      </c>
      <c r="V2149" s="13">
        <f>IF(ISNA(VLOOKUP(LOWER(F2149)&amp;H2149,Prices!A:C,2,0)),0,VLOOKUP(LOWER(F2149)&amp;H2149,Prices!A:C,2,0))</f>
        <v>33.1</v>
      </c>
      <c r="W2149" s="13">
        <f t="shared" si="1208"/>
        <v>4655.103299999997</v>
      </c>
      <c r="X2149" s="13">
        <f t="shared" si="1209"/>
        <v>-179.99999999999616</v>
      </c>
      <c r="Y2149" s="43">
        <f t="shared" si="1210"/>
        <v>0.10348123374458146</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11.73</v>
      </c>
      <c r="V2150" s="13">
        <f>IF(ISNA(VLOOKUP(LOWER(F2150)&amp;H2150,Prices!A:C,2,0)),0,VLOOKUP(LOWER(F2150)&amp;H2150,Prices!A:C,2,0))</f>
        <v>11.74</v>
      </c>
      <c r="W2150" s="13">
        <f t="shared" si="1208"/>
        <v>4468.4285800000016</v>
      </c>
      <c r="X2150" s="13">
        <f t="shared" si="1209"/>
        <v>36.999999999999211</v>
      </c>
      <c r="Y2150" s="43">
        <f t="shared" si="1210"/>
        <v>0.11468978157644828</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45.95</v>
      </c>
      <c r="V2151" s="13">
        <f>IF(ISNA(VLOOKUP(LOWER(F2151)&amp;H2151,Prices!A:C,2,0)),0,VLOOKUP(LOWER(F2151)&amp;H2151,Prices!A:C,2,0))</f>
        <v>45.82</v>
      </c>
      <c r="W2151" s="13">
        <f t="shared" si="1208"/>
        <v>6532.1440000000021</v>
      </c>
      <c r="X2151" s="13">
        <f t="shared" si="1209"/>
        <v>-130.00000000000256</v>
      </c>
      <c r="Y2151" s="43">
        <f t="shared" si="1210"/>
        <v>0.16629694501018336</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33.22</v>
      </c>
      <c r="V2152" s="13">
        <f>IF(ISNA(VLOOKUP(LOWER(F2152)&amp;H2152,Prices!A:C,2,0)),0,VLOOKUP(LOWER(F2152)&amp;H2152,Prices!A:C,2,0))</f>
        <v>33.1</v>
      </c>
      <c r="W2152" s="13">
        <f t="shared" si="1208"/>
        <v>4021.4199999999987</v>
      </c>
      <c r="X2152" s="13">
        <f t="shared" si="1209"/>
        <v>-155.99999999999667</v>
      </c>
      <c r="Y2152" s="43">
        <f t="shared" si="1210"/>
        <v>0.10311333333333331</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33.22</v>
      </c>
      <c r="V2153" s="13">
        <f>IF(ISNA(VLOOKUP(LOWER(F2153)&amp;H2153,Prices!A:C,2,0)),0,VLOOKUP(LOWER(F2153)&amp;H2153,Prices!A:C,2,0))</f>
        <v>33.1</v>
      </c>
      <c r="W2153" s="13">
        <f t="shared" si="1208"/>
        <v>4021.4199999999987</v>
      </c>
      <c r="X2153" s="13">
        <f t="shared" si="1209"/>
        <v>-155.99999999999667</v>
      </c>
      <c r="Y2153" s="43">
        <f t="shared" si="1210"/>
        <v>0.10311333333333331</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690.25</v>
      </c>
      <c r="V2154" s="13">
        <f>IF(ISNA(VLOOKUP(LOWER(F2154)&amp;H2154,Prices!A:C,2,0)),0,VLOOKUP(LOWER(F2154)&amp;H2154,Prices!A:C,2,0))</f>
        <v>679.15</v>
      </c>
      <c r="W2154" s="13">
        <f t="shared" si="1208"/>
        <v>20113.485979999998</v>
      </c>
      <c r="X2154" s="13">
        <f t="shared" si="1209"/>
        <v>-1110.0000000000023</v>
      </c>
      <c r="Y2154" s="43">
        <f t="shared" si="1210"/>
        <v>0.42086346759850174</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45.95</v>
      </c>
      <c r="V2155" s="13">
        <f>IF(ISNA(VLOOKUP(LOWER(F2155)&amp;H2155,Prices!A:C,2,0)),0,VLOOKUP(LOWER(F2155)&amp;H2155,Prices!A:C,2,0))</f>
        <v>45.82</v>
      </c>
      <c r="W2155" s="13">
        <f t="shared" si="1208"/>
        <v>6492.1360000000022</v>
      </c>
      <c r="X2155" s="13">
        <f t="shared" si="1209"/>
        <v>-130.00000000000256</v>
      </c>
      <c r="Y2155" s="43">
        <f t="shared" si="1210"/>
        <v>0.1651102746693795</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9.48</v>
      </c>
      <c r="V2156" s="13">
        <f>IF(ISNA(VLOOKUP(LOWER(F2156)&amp;H2156,Prices!A:C,2,0)),0,VLOOKUP(LOWER(F2156)&amp;H2156,Prices!A:C,2,0))</f>
        <v>9.42</v>
      </c>
      <c r="W2156" s="13">
        <f t="shared" si="1208"/>
        <v>-3276.5940800000003</v>
      </c>
      <c r="X2156" s="13">
        <f t="shared" si="1209"/>
        <v>-228.00000000000188</v>
      </c>
      <c r="Y2156" s="43">
        <f t="shared" si="1210"/>
        <v>-8.3877587548638138E-2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45.95</v>
      </c>
      <c r="V2157" s="13">
        <f>IF(ISNA(VLOOKUP(LOWER(F2157)&amp;H2157,Prices!A:C,2,0)),0,VLOOKUP(LOWER(F2157)&amp;H2157,Prices!A:C,2,0))</f>
        <v>45.82</v>
      </c>
      <c r="W2157" s="13">
        <f t="shared" si="1208"/>
        <v>6512.1400000000021</v>
      </c>
      <c r="X2157" s="13">
        <f t="shared" si="1209"/>
        <v>-130.00000000000256</v>
      </c>
      <c r="Y2157" s="43">
        <f t="shared" si="1210"/>
        <v>0.16570330788804077</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45.95</v>
      </c>
      <c r="V2158" s="13">
        <f>IF(ISNA(VLOOKUP(LOWER(F2158)&amp;H2158,Prices!A:C,2,0)),0,VLOOKUP(LOWER(F2158)&amp;H2158,Prices!A:C,2,0))</f>
        <v>45.82</v>
      </c>
      <c r="W2158" s="13">
        <f t="shared" ref="W2158:W2160" si="1218">IF(I2158="B",(V2158+T2158)*K2158,(V2158+T2158)*K2158)</f>
        <v>6748.2819999999965</v>
      </c>
      <c r="X2158" s="13">
        <f t="shared" ref="X2158:X2160" si="1219">K2158*(V2158-U2158)</f>
        <v>-130.00000000000256</v>
      </c>
      <c r="Y2158" s="43">
        <f t="shared" ref="Y2158:Y2160" si="1220">W2158/O2158</f>
        <v>0.17276707629288265</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33.22</v>
      </c>
      <c r="V2159" s="13">
        <f>IF(ISNA(VLOOKUP(LOWER(F2159)&amp;H2159,Prices!A:C,2,0)),0,VLOOKUP(LOWER(F2159)&amp;H2159,Prices!A:C,2,0))</f>
        <v>33.1</v>
      </c>
      <c r="W2159" s="13">
        <f t="shared" si="1218"/>
        <v>4650.6048000000037</v>
      </c>
      <c r="X2159" s="13">
        <f t="shared" si="1219"/>
        <v>-179.99999999999616</v>
      </c>
      <c r="Y2159" s="43">
        <f t="shared" si="1220"/>
        <v>0.10338123374458161</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39.799999999999997</v>
      </c>
      <c r="V2160" s="13">
        <f>IF(ISNA(VLOOKUP(LOWER(F2160)&amp;H2160,Prices!A:C,2,0)),0,VLOOKUP(LOWER(F2160)&amp;H2160,Prices!A:C,2,0))</f>
        <v>41.55</v>
      </c>
      <c r="W2160" s="13">
        <f t="shared" si="1218"/>
        <v>18036.143999999997</v>
      </c>
      <c r="X2160" s="13">
        <f t="shared" si="1219"/>
        <v>2625</v>
      </c>
      <c r="Y2160" s="43">
        <f t="shared" si="1220"/>
        <v>0.40732032520325195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2.99</v>
      </c>
      <c r="V2161" s="13">
        <f>IF(ISNA(VLOOKUP(LOWER(F2161)&amp;H2161,Prices!A:C,2,0)),0,VLOOKUP(LOWER(F2161)&amp;H2161,Prices!A:C,2,0))</f>
        <v>2.996</v>
      </c>
      <c r="W2161" s="13">
        <f t="shared" ref="W2161:W2165" si="1229">IF(I2161="B",(V2161+T2161)*K2161,(V2161+T2161)*K2161)</f>
        <v>14159.319999999998</v>
      </c>
      <c r="X2161" s="13">
        <f t="shared" ref="X2161:X2165" si="1230">K2161*(V2161-U2161)</f>
        <v>299.99999999998914</v>
      </c>
      <c r="Y2161" s="43">
        <f t="shared" ref="Y2161:Y2165" si="1231">W2161/O2161</f>
        <v>0.10441976401179939</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2.99</v>
      </c>
      <c r="V2162" s="13">
        <f>IF(ISNA(VLOOKUP(LOWER(F2162)&amp;H2162,Prices!A:C,2,0)),0,VLOOKUP(LOWER(F2162)&amp;H2162,Prices!A:C,2,0))</f>
        <v>2.996</v>
      </c>
      <c r="W2162" s="13">
        <f t="shared" si="1229"/>
        <v>14209.33499999999</v>
      </c>
      <c r="X2162" s="13">
        <f t="shared" si="1230"/>
        <v>299.99999999998914</v>
      </c>
      <c r="Y2162" s="43">
        <f t="shared" si="1231"/>
        <v>0.10482725931390624</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2.99</v>
      </c>
      <c r="V2163" s="13">
        <f>IF(ISNA(VLOOKUP(LOWER(F2163)&amp;H2163,Prices!A:C,2,0)),0,VLOOKUP(LOWER(F2163)&amp;H2163,Prices!A:C,2,0))</f>
        <v>2.996</v>
      </c>
      <c r="W2163" s="13">
        <f t="shared" si="1229"/>
        <v>14259.350000000004</v>
      </c>
      <c r="X2163" s="13">
        <f t="shared" si="1230"/>
        <v>299.99999999998914</v>
      </c>
      <c r="Y2163" s="43">
        <f t="shared" si="1231"/>
        <v>0.10523505535055354</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2.99</v>
      </c>
      <c r="V2164" s="13">
        <f>IF(ISNA(VLOOKUP(LOWER(F2164)&amp;H2164,Prices!A:C,2,0)),0,VLOOKUP(LOWER(F2164)&amp;H2164,Prices!A:C,2,0))</f>
        <v>2.996</v>
      </c>
      <c r="W2164" s="13">
        <f t="shared" si="1229"/>
        <v>14309.364999999996</v>
      </c>
      <c r="X2164" s="13">
        <f t="shared" si="1230"/>
        <v>299.99999999998914</v>
      </c>
      <c r="Y2164" s="43">
        <f t="shared" si="1231"/>
        <v>0.10564315245478033</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2.99</v>
      </c>
      <c r="V2165" s="13">
        <f>IF(ISNA(VLOOKUP(LOWER(F2165)&amp;H2165,Prices!A:C,2,0)),0,VLOOKUP(LOWER(F2165)&amp;H2165,Prices!A:C,2,0))</f>
        <v>2.996</v>
      </c>
      <c r="W2165" s="13">
        <f t="shared" si="1229"/>
        <v>14459.409999999994</v>
      </c>
      <c r="X2165" s="13">
        <f t="shared" si="1230"/>
        <v>299.99999999998914</v>
      </c>
      <c r="Y2165" s="43">
        <f t="shared" si="1231"/>
        <v>0.10686925351071688</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33.22</v>
      </c>
      <c r="V2166" s="13">
        <f>IF(ISNA(VLOOKUP(LOWER(F2166)&amp;H2166,Prices!A:C,2,0)),0,VLOOKUP(LOWER(F2166)&amp;H2166,Prices!A:C,2,0))</f>
        <v>33.1</v>
      </c>
      <c r="W2166" s="19">
        <f t="shared" ref="W2166:W2175" si="1240">IF(I2166="B",(V2166+T2166)*K2166,(V2166+T2166)*K2166)</f>
        <v>-51322.532480000031</v>
      </c>
      <c r="X2166" s="13">
        <f t="shared" ref="X2166:X2176" si="1241">K2166*(V2166-U2166)</f>
        <v>1547.999999999967</v>
      </c>
      <c r="Y2166" s="43">
        <f t="shared" ref="Y2166:Y2176" si="1242">W2166/O2166</f>
        <v>-0.13643658744590134</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45.95</v>
      </c>
      <c r="V2167" s="13">
        <f>IF(ISNA(VLOOKUP(LOWER(F2167)&amp;H2167,Prices!A:C,2,0)),0,VLOOKUP(LOWER(F2167)&amp;H2167,Prices!A:C,2,0))</f>
        <v>45.82</v>
      </c>
      <c r="W2167" s="19">
        <f t="shared" si="1240"/>
        <v>-67612.996400000004</v>
      </c>
      <c r="X2167" s="13">
        <f t="shared" si="1241"/>
        <v>1092.0000000000214</v>
      </c>
      <c r="Y2167" s="43">
        <f t="shared" si="1242"/>
        <v>-0.21282829820452773</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9.48</v>
      </c>
      <c r="V2168" s="13">
        <f>IF(ISNA(VLOOKUP(LOWER(F2168)&amp;H2168,Prices!A:C,2,0)),0,VLOOKUP(LOWER(F2168)&amp;H2168,Prices!A:C,2,0))</f>
        <v>9.42</v>
      </c>
      <c r="W2168" s="19">
        <f t="shared" si="1240"/>
        <v>8797.6505599999873</v>
      </c>
      <c r="X2168" s="13">
        <f t="shared" si="1241"/>
        <v>948.00000000000784</v>
      </c>
      <c r="Y2168" s="43">
        <f t="shared" si="1242"/>
        <v>5.5737069727955724E-2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11.73</v>
      </c>
      <c r="V2169" s="13">
        <f>IF(ISNA(VLOOKUP(LOWER(F2169)&amp;H2169,Prices!A:C,2,0)),0,VLOOKUP(LOWER(F2169)&amp;H2169,Prices!A:C,2,0))</f>
        <v>11.74</v>
      </c>
      <c r="W2169" s="19">
        <f t="shared" si="1240"/>
        <v>-20416.980000000007</v>
      </c>
      <c r="X2169" s="13">
        <f t="shared" si="1241"/>
        <v>-124.99999999999733</v>
      </c>
      <c r="Y2169" s="43">
        <f t="shared" si="1242"/>
        <v>-0.16139905138339927</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75.27</v>
      </c>
      <c r="V2170" s="13">
        <f>IF(ISNA(VLOOKUP(LOWER(F2170)&amp;H2170,Prices!A:C,2,0)),0,VLOOKUP(LOWER(F2170)&amp;H2170,Prices!A:C,2,0))</f>
        <v>75.709999999999994</v>
      </c>
      <c r="W2170" s="19">
        <f t="shared" si="1240"/>
        <v>-54663.310831999988</v>
      </c>
      <c r="X2170" s="13">
        <f t="shared" si="1241"/>
        <v>-1011.9999999999948</v>
      </c>
      <c r="Y2170" s="43">
        <f t="shared" si="1242"/>
        <v>-0.45694564491806228</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39.799999999999997</v>
      </c>
      <c r="V2171" s="13">
        <f>IF(ISNA(VLOOKUP(LOWER(F2171)&amp;H2171,Prices!A:C,2,0)),0,VLOOKUP(LOWER(F2171)&amp;H2171,Prices!A:C,2,0))</f>
        <v>41.55</v>
      </c>
      <c r="W2171" s="19">
        <f t="shared" si="1240"/>
        <v>-31968.6</v>
      </c>
      <c r="X2171" s="13">
        <f t="shared" si="1241"/>
        <v>-4375</v>
      </c>
      <c r="Y2171" s="43">
        <f t="shared" si="1242"/>
        <v>-0.44400833333333334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27.36</v>
      </c>
      <c r="V2172" s="13">
        <f>IF(ISNA(VLOOKUP(LOWER(F2172)&amp;H2172,Prices!A:C,2,0)),0,VLOOKUP(LOWER(F2172)&amp;H2172,Prices!A:C,2,0))</f>
        <v>25.09</v>
      </c>
      <c r="W2172" s="19">
        <f t="shared" si="1240"/>
        <v>2053.697360000001</v>
      </c>
      <c r="X2172" s="13">
        <f t="shared" si="1241"/>
        <v>5447.9999999999991</v>
      </c>
      <c r="Y2172" s="43">
        <f t="shared" si="1242"/>
        <v>3.2937152938157577E-2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15.73</v>
      </c>
      <c r="V2173" s="13">
        <f>IF(ISNA(VLOOKUP(LOWER(F2173)&amp;H2173,Prices!A:C,2,0)),0,VLOOKUP(LOWER(F2173)&amp;H2173,Prices!A:C,2,0))</f>
        <v>15.59</v>
      </c>
      <c r="W2173" s="19">
        <f t="shared" si="1240"/>
        <v>2412.2342399999889</v>
      </c>
      <c r="X2173" s="13">
        <f t="shared" si="1241"/>
        <v>826.00000000000341</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29.38</v>
      </c>
      <c r="V2174" s="13">
        <f>IF(ISNA(VLOOKUP(LOWER(F2174)&amp;H2174,Prices!A:C,2,0)),0,VLOOKUP(LOWER(F2174)&amp;H2174,Prices!A:C,2,0))</f>
        <v>30.53</v>
      </c>
      <c r="W2174" s="19">
        <f t="shared" si="1240"/>
        <v>-24519.356000000022</v>
      </c>
      <c r="X2174" s="13">
        <f t="shared" si="1241"/>
        <v>-5750.0000000000109</v>
      </c>
      <c r="Y2174" s="43">
        <f t="shared" si="1242"/>
        <v>-0.1911095557287609</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690.25</v>
      </c>
      <c r="V2175" s="13">
        <f>IF(ISNA(VLOOKUP(LOWER(F2175)&amp;H2175,Prices!A:C,2,0)),0,VLOOKUP(LOWER(F2175)&amp;H2175,Prices!A:C,2,0))</f>
        <v>679.15</v>
      </c>
      <c r="W2175" s="19">
        <f t="shared" si="1240"/>
        <v>-82382.17895999999</v>
      </c>
      <c r="X2175" s="13">
        <f t="shared" si="1241"/>
        <v>4440.0000000000091</v>
      </c>
      <c r="Y2175" s="43">
        <f t="shared" si="1242"/>
        <v>-0.4346702279346587</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2.99</v>
      </c>
      <c r="V2176" s="13">
        <f>IF(ISNA(VLOOKUP(LOWER(F2176)&amp;H2176,Prices!A:C,2,0)),0,VLOOKUP(LOWER(F2176)&amp;H2176,Prices!A:C,2,0))</f>
        <v>2.996</v>
      </c>
      <c r="W2176" s="19">
        <f>IF(I2176="B",(V2176+T2176)*K2176,(V2176+T2176)*K2176)</f>
        <v>-63760.680000000037</v>
      </c>
      <c r="X2176" s="13">
        <f t="shared" si="1241"/>
        <v>-1199.9999999999566</v>
      </c>
      <c r="Y2176" s="43">
        <f t="shared" si="1242"/>
        <v>-0.11904533233756541</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2.99</v>
      </c>
      <c r="V2177" s="13">
        <f>IF(ISNA(VLOOKUP(LOWER(F2177)&amp;H2177,Prices!A:C,2,0)),0,VLOOKUP(LOWER(F2177)&amp;H2177,Prices!A:C,2,0))</f>
        <v>2.996</v>
      </c>
      <c r="W2177" s="19">
        <f t="shared" ref="W2177:W2178" si="1250">IF(I2177="B",(V2177+T2177)*K2177,(V2177+T2177)*K2177)</f>
        <v>51936.034499999987</v>
      </c>
      <c r="X2177" s="13">
        <f t="shared" ref="X2177:X2178" si="1251">K2177*(V2177-U2177)</f>
        <v>973.1999999999648</v>
      </c>
      <c r="Y2177" s="43">
        <f t="shared" ref="Y2177:Y2178" si="1252">W2177/O2177</f>
        <v>0.11969999999999997</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2.99</v>
      </c>
      <c r="V2178" s="13">
        <f>IF(ISNA(VLOOKUP(LOWER(F2178)&amp;H2178,Prices!A:C,2,0)),0,VLOOKUP(LOWER(F2178)&amp;H2178,Prices!A:C,2,0))</f>
        <v>2.996</v>
      </c>
      <c r="W2178" s="19">
        <f t="shared" si="1250"/>
        <v>62238.96</v>
      </c>
      <c r="X2178" s="13">
        <f t="shared" si="1251"/>
        <v>1199.9999999999566</v>
      </c>
      <c r="Y2178" s="43">
        <f t="shared" si="1252"/>
        <v>0.11594441132637853</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2.99</v>
      </c>
      <c r="V2179" s="13">
        <f>IF(ISNA(VLOOKUP(LOWER(F2179)&amp;H2179,Prices!A:C,2,0)),0,VLOOKUP(LOWER(F2179)&amp;H2179,Prices!A:C,2,0))</f>
        <v>2.996</v>
      </c>
      <c r="W2179" s="19">
        <f t="shared" ref="W2179:W2180" si="1262">IF(I2179="B",(V2179+T2179)*K2179,(V2179+T2179)*K2179)</f>
        <v>15959.859999999981</v>
      </c>
      <c r="X2179" s="13">
        <f t="shared" ref="X2179:X2180" si="1263">K2179*(V2179-U2179)</f>
        <v>299.99999999998914</v>
      </c>
      <c r="Y2179" s="43">
        <f t="shared" ref="Y2179:Y2180" si="1264">W2179/O2179</f>
        <v>0.11928146487294455</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2.99</v>
      </c>
      <c r="V2180" s="13">
        <f>IF(ISNA(VLOOKUP(LOWER(F2180)&amp;H2180,Prices!A:C,2,0)),0,VLOOKUP(LOWER(F2180)&amp;H2180,Prices!A:C,2,0))</f>
        <v>2.996</v>
      </c>
      <c r="W2180" s="19">
        <f t="shared" si="1262"/>
        <v>16009.874999999996</v>
      </c>
      <c r="X2180" s="13">
        <f t="shared" si="1263"/>
        <v>299.99999999998914</v>
      </c>
      <c r="Y2180" s="43">
        <f t="shared" si="1264"/>
        <v>0.11969999999999997</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2.99</v>
      </c>
      <c r="V2181" s="13">
        <f>IF(ISNA(VLOOKUP(LOWER(F2181)&amp;H2181,Prices!A:C,2,0)),0,VLOOKUP(LOWER(F2181)&amp;H2181,Prices!A:C,2,0))</f>
        <v>2.996</v>
      </c>
      <c r="W2181" s="19">
        <f t="shared" ref="W2181" si="1273">IF(I2181="B",(V2181+T2181)*K2181,(V2181+T2181)*K2181)</f>
        <v>17160.219999999994</v>
      </c>
      <c r="X2181" s="13">
        <f t="shared" ref="X2181" si="1274">K2181*(V2181-U2181)</f>
        <v>299.99999999998914</v>
      </c>
      <c r="Y2181" s="43">
        <f t="shared" ref="Y2181" si="1275">W2181/O2181</f>
        <v>0.12941342383107085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2.99</v>
      </c>
      <c r="V2182" s="13">
        <f>IF(ISNA(VLOOKUP(LOWER(F2182)&amp;H2182,Prices!A:C,2,0)),0,VLOOKUP(LOWER(F2182)&amp;H2182,Prices!A:C,2,0))</f>
        <v>2.996</v>
      </c>
      <c r="W2182" s="19">
        <f t="shared" ref="W2182:W2183" si="1284">IF(I2182="B",(V2182+T2182)*K2182,(V2182+T2182)*K2182)</f>
        <v>-113335.70999999986</v>
      </c>
      <c r="X2182" s="13">
        <f t="shared" ref="X2182:X2183" si="1285">K2182*(V2182-U2182)</f>
        <v>-1799.999999999935</v>
      </c>
      <c r="Y2182" s="43">
        <f t="shared" ref="Y2182:Y2183" si="1286">W2182/O2182</f>
        <v>-0.14424807178312313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2.99</v>
      </c>
      <c r="V2183" s="13">
        <f>IF(ISNA(VLOOKUP(LOWER(F2183)&amp;H2183,Prices!A:C,2,0)),0,VLOOKUP(LOWER(F2183)&amp;H2183,Prices!A:C,2,0))</f>
        <v>2.996</v>
      </c>
      <c r="W2183" s="19">
        <f t="shared" si="1284"/>
        <v>-110262.21772000006</v>
      </c>
      <c r="X2183" s="13">
        <f t="shared" si="1285"/>
        <v>-1765.1999999999362</v>
      </c>
      <c r="Y2183" s="43">
        <f t="shared" si="1286"/>
        <v>-0.14293920671243332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6.03</v>
      </c>
      <c r="V2184" s="30">
        <f>IF(ISNA(VLOOKUP(LOWER(F2184)&amp;H2184,Prices!A:C,2,0)),0,VLOOKUP(LOWER(F2184)&amp;H2184,Prices!A:C,2,0))</f>
        <v>6.11</v>
      </c>
      <c r="W2184" s="18">
        <f t="shared" ref="W2184" si="1295">IF(I2184="B",(V2184+T2184)*K2184,(V2184+T2184)*K2184)</f>
        <v>1506.6880800000015</v>
      </c>
      <c r="X2184" s="30">
        <f t="shared" ref="X2184" si="1296">K2184*(V2184-U2184)</f>
        <v>224.0000000000002</v>
      </c>
      <c r="Y2184" s="40">
        <f t="shared" ref="Y2184" si="1297">W2184/O2184</f>
        <v>9.6607340343677961E-2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7.97</v>
      </c>
      <c r="V2185" s="13">
        <f>IF(ISNA(VLOOKUP(LOWER(F2185)&amp;H2185,Prices!A:C,2,0)),0,VLOOKUP(LOWER(F2185)&amp;H2185,Prices!A:C,2,0))</f>
        <v>8.11</v>
      </c>
      <c r="W2185" s="19">
        <f t="shared" ref="W2185:W2189" si="1306">IF(I2185="B",(V2185+T2185)*K2185,(V2185+T2185)*K2185)</f>
        <v>7351.7695999999833</v>
      </c>
      <c r="X2185" s="13">
        <f t="shared" ref="X2185:X2189" si="1307">K2185*(V2185-U2185)</f>
        <v>-1119.9999999999975</v>
      </c>
      <c r="Y2185" s="43">
        <f t="shared" ref="Y2185:Y2189" si="1308">W2185/O2185</f>
        <v>0.10165610619469004</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7.97</v>
      </c>
      <c r="V2186" s="13">
        <f>IF(ISNA(VLOOKUP(LOWER(F2186)&amp;H2186,Prices!A:C,2,0)),0,VLOOKUP(LOWER(F2186)&amp;H2186,Prices!A:C,2,0))</f>
        <v>8.11</v>
      </c>
      <c r="W2186" s="19">
        <f t="shared" si="1306"/>
        <v>5943.3962000000183</v>
      </c>
      <c r="X2186" s="13">
        <f t="shared" si="1307"/>
        <v>-979.99999999999773</v>
      </c>
      <c r="Y2186" s="43">
        <f t="shared" si="1308"/>
        <v>9.4655139353400503E-2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690.25</v>
      </c>
      <c r="V2187" s="30">
        <f>IF(ISNA(VLOOKUP(LOWER(F2187)&amp;H2187,Prices!A:C,2,0)),0,VLOOKUP(LOWER(F2187)&amp;H2187,Prices!A:C,2,0))</f>
        <v>679.15</v>
      </c>
      <c r="W2187" s="18">
        <f t="shared" si="1306"/>
        <v>20014.464199999999</v>
      </c>
      <c r="X2187" s="30">
        <f t="shared" si="1307"/>
        <v>-1110.0000000000023</v>
      </c>
      <c r="Y2187" s="40">
        <f t="shared" si="1308"/>
        <v>0.41792575067863852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690.25</v>
      </c>
      <c r="V2188" s="30">
        <f>IF(ISNA(VLOOKUP(LOWER(F2188)&amp;H2188,Prices!A:C,2,0)),0,VLOOKUP(LOWER(F2188)&amp;H2188,Prices!A:C,2,0))</f>
        <v>679.15</v>
      </c>
      <c r="W2188" s="18">
        <f t="shared" si="1306"/>
        <v>19684.391599999999</v>
      </c>
      <c r="X2188" s="30">
        <f t="shared" si="1307"/>
        <v>-1110.0000000000023</v>
      </c>
      <c r="Y2188" s="40">
        <f t="shared" si="1308"/>
        <v>0.40822048112816256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690.25</v>
      </c>
      <c r="V2189" s="30">
        <f>IF(ISNA(VLOOKUP(LOWER(F2189)&amp;H2189,Prices!A:C,2,0)),0,VLOOKUP(LOWER(F2189)&amp;H2189,Prices!A:C,2,0))</f>
        <v>679.15</v>
      </c>
      <c r="W2189" s="18">
        <f t="shared" si="1306"/>
        <v>19454.341</v>
      </c>
      <c r="X2189" s="30">
        <f t="shared" si="1307"/>
        <v>-1110.0000000000023</v>
      </c>
      <c r="Y2189" s="40">
        <f t="shared" si="1308"/>
        <v>0.40153438596491231</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690.25</v>
      </c>
      <c r="V2190" s="30">
        <f>IF(ISNA(VLOOKUP(LOWER(F2190)&amp;H2190,Prices!A:C,2,0)),0,VLOOKUP(LOWER(F2190)&amp;H2190,Prices!A:C,2,0))</f>
        <v>679.15</v>
      </c>
      <c r="W2190" s="18">
        <f t="shared" ref="W2190" si="1317">IF(I2190="B",(V2190+T2190)*K2190,(V2190+T2190)*K2190)</f>
        <v>-18834.950799999995</v>
      </c>
      <c r="X2190" s="30">
        <f t="shared" ref="X2190" si="1318">K2190*(V2190-U2190)</f>
        <v>1110.0000000000023</v>
      </c>
      <c r="Y2190" s="40">
        <f t="shared" ref="Y2190" si="1319">W2190/O2190</f>
        <v>-0.38329163207163197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6.03</v>
      </c>
      <c r="V2191" s="30">
        <f>IF(ISNA(VLOOKUP(LOWER(F2191)&amp;H2191,Prices!A:C,2,0)),0,VLOOKUP(LOWER(F2191)&amp;H2191,Prices!A:C,2,0))</f>
        <v>6.11</v>
      </c>
      <c r="W2191" s="18">
        <f t="shared" ref="W2191:W2192" si="1328">IF(I2191="B",(V2191+T2191)*K2191,(V2191+T2191)*K2191)</f>
        <v>1963.2932800000021</v>
      </c>
      <c r="X2191" s="30">
        <f t="shared" ref="X2191:X2192" si="1329">K2191*(V2191-U2191)</f>
        <v>544.00000000000045</v>
      </c>
      <c r="Y2191" s="40">
        <f t="shared" ref="Y2191:Y2192" si="1330">W2191/O2191</f>
        <v>4.960817869415813E-2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6.03</v>
      </c>
      <c r="V2192" s="30">
        <f>IF(ISNA(VLOOKUP(LOWER(F2192)&amp;H2192,Prices!A:C,2,0)),0,VLOOKUP(LOWER(F2192)&amp;H2192,Prices!A:C,2,0))</f>
        <v>6.11</v>
      </c>
      <c r="W2192" s="18">
        <f t="shared" si="1328"/>
        <v>1623.2184799999989</v>
      </c>
      <c r="X2192" s="30">
        <f t="shared" si="1329"/>
        <v>544.00000000000045</v>
      </c>
      <c r="Y2192" s="40">
        <f t="shared" si="1330"/>
        <v>4.0665860306643924E-2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39.799999999999997</v>
      </c>
      <c r="V2193" s="30">
        <f>IF(ISNA(VLOOKUP(LOWER(F2193)&amp;H2193,Prices!A:C,2,0)),0,VLOOKUP(LOWER(F2193)&amp;H2193,Prices!A:C,2,0))</f>
        <v>41.55</v>
      </c>
      <c r="W2193" s="18">
        <f t="shared" ref="W2193" si="1337">IF(I2193="B",(V2193+T2193)*K2193,(V2193+T2193)*K2193)</f>
        <v>8385.5375999999997</v>
      </c>
      <c r="X2193" s="30">
        <f t="shared" ref="X2193" si="1338">K2193*(V2193-U2193)</f>
        <v>1925</v>
      </c>
      <c r="Y2193" s="40">
        <f t="shared" ref="Y2193" si="1339">W2193/O2193</f>
        <v>0.22474103773584905</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6.03</v>
      </c>
      <c r="V2194" s="30">
        <f>IF(ISNA(VLOOKUP(LOWER(F2194)&amp;H2194,Prices!A:C,2,0)),0,VLOOKUP(LOWER(F2194)&amp;H2194,Prices!A:C,2,0))</f>
        <v>6.11</v>
      </c>
      <c r="W2194" s="18">
        <f t="shared" ref="W2194:W2195" si="1348">IF(I2194="B",(V2194+T2194)*K2194,(V2194+T2194)*K2194)</f>
        <v>1465.3181400000024</v>
      </c>
      <c r="X2194" s="30">
        <f t="shared" ref="X2194:X2195" si="1349">K2194*(V2194-U2194)</f>
        <v>536.00000000000045</v>
      </c>
      <c r="Y2194" s="40">
        <f t="shared" ref="Y2194:Y2195" si="1350">W2194/O2194</f>
        <v>3.7131443123938943E-2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690.25</v>
      </c>
      <c r="V2195" s="30">
        <f>IF(ISNA(VLOOKUP(LOWER(F2195)&amp;H2195,Prices!A:C,2,0)),0,VLOOKUP(LOWER(F2195)&amp;H2195,Prices!A:C,2,0))</f>
        <v>679.15</v>
      </c>
      <c r="W2195" s="18">
        <f t="shared" si="1348"/>
        <v>19254.296999999999</v>
      </c>
      <c r="X2195" s="30">
        <f t="shared" si="1349"/>
        <v>-1110.0000000000023</v>
      </c>
      <c r="Y2195" s="40">
        <f t="shared" si="1350"/>
        <v>0.39577177800616647</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690.25</v>
      </c>
      <c r="V2196" s="30">
        <f>IF(ISNA(VLOOKUP(LOWER(F2196)&amp;H2196,Prices!A:C,2,0)),0,VLOOKUP(LOWER(F2196)&amp;H2196,Prices!A:C,2,0))</f>
        <v>679.15</v>
      </c>
      <c r="W2196" s="18">
        <f t="shared" ref="W2196" si="1359">IF(I2196="B",(V2196+T2196)*K2196,(V2196+T2196)*K2196)</f>
        <v>20754.627</v>
      </c>
      <c r="X2196" s="30">
        <f t="shared" ref="X2196" si="1360">K2196*(V2196-U2196)</f>
        <v>-1110.0000000000023</v>
      </c>
      <c r="Y2196" s="40">
        <f>W2196/O2196</f>
        <v>0.44018296924708378</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16.93</v>
      </c>
      <c r="V2197" s="30">
        <f>IF(ISNA(VLOOKUP(LOWER(F2197)&amp;H2197,Prices!A:C,2,0)),0,VLOOKUP(LOWER(F2197)&amp;H2197,Prices!A:C,2,0))</f>
        <v>17.02</v>
      </c>
      <c r="W2197" s="18">
        <f t="shared" ref="W2197" si="1369">IF(I2197="B",(V2197+T2197)*K2197,(V2197+T2197)*K2197)</f>
        <v>5113.3914000000013</v>
      </c>
      <c r="X2197" s="30">
        <f t="shared" ref="X2197" si="1370">K2197*(V2197-U2197)</f>
        <v>233.99999999999963</v>
      </c>
      <c r="Y2197" s="40">
        <f t="shared" ref="Y2197" si="1371">W2197/O2197</f>
        <v>0.13067700996677745</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25.86</v>
      </c>
      <c r="V2198" s="30">
        <f>IF(ISNA(VLOOKUP(LOWER(F2198)&amp;H2198,Prices!A:C,2,0)),0,VLOOKUP(LOWER(F2198)&amp;H2198,Prices!A:C,2,0))</f>
        <v>24.82</v>
      </c>
      <c r="W2198" s="18">
        <f t="shared" ref="W2198:W2199" si="1379">IF(I2198="B",(V2198+T2198)*K2198,(V2198+T2198)*K2198)</f>
        <v>-5099.3997199999994</v>
      </c>
      <c r="X2198" s="30">
        <f t="shared" ref="X2198:X2200" si="1380">K2198*(V2198-U2198)</f>
        <v>-623.99999999999955</v>
      </c>
      <c r="Y2198" s="40">
        <f t="shared" ref="Y2198:Y2200" si="1381">W2198/O2198</f>
        <v>-0.2551485900130091</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67.72</v>
      </c>
      <c r="V2199" s="30">
        <f>IF(ISNA(VLOOKUP(LOWER(F2199)&amp;H2199,Prices!A:C,2,0)),0,VLOOKUP(LOWER(F2199)&amp;H2199,Prices!A:C,2,0))</f>
        <v>68.92</v>
      </c>
      <c r="W2199" s="18">
        <f t="shared" si="1379"/>
        <v>4078.5303200000017</v>
      </c>
      <c r="X2199" s="30">
        <f t="shared" si="1380"/>
        <v>480.00000000000114</v>
      </c>
      <c r="Y2199" s="40">
        <f t="shared" si="1381"/>
        <v>0.17367272696303873</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16.29</v>
      </c>
      <c r="V2200" s="30">
        <f>IF(ISNA(VLOOKUP(LOWER(F2200)&amp;H2200,Prices!A:C,2,0)),0,VLOOKUP(LOWER(F2200)&amp;H2200,Prices!A:C,2,0))</f>
        <v>16.59</v>
      </c>
      <c r="W2200" s="18">
        <f>IF(I2200="B",(V2200+T2200)*K2200,(V2200+T2200)*K2200)</f>
        <v>-3373.9728000000068</v>
      </c>
      <c r="X2200" s="30">
        <f t="shared" si="1380"/>
        <v>660.00000000000159</v>
      </c>
      <c r="Y2200" s="40">
        <f t="shared" si="1381"/>
        <v>-8.4637086092715405E-2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16.29</v>
      </c>
      <c r="V2201" s="30">
        <f>IF(ISNA(VLOOKUP(LOWER(F2201)&amp;H2201,Prices!A:C,2,0)),0,VLOOKUP(LOWER(F2201)&amp;H2201,Prices!A:C,2,0))</f>
        <v>16.59</v>
      </c>
      <c r="W2201" s="18">
        <f>IF(I2201="B",(V2201+T2201)*K2201,(V2201+T2201)*K2201)</f>
        <v>-1889</v>
      </c>
      <c r="X2201" s="30">
        <f t="shared" ref="X2201" si="1389">K2201*(V2201-U2201)</f>
        <v>360.00000000000085</v>
      </c>
      <c r="Y2201" s="40">
        <f t="shared" ref="Y2201" si="1390">W2201/O2201</f>
        <v>-8.6683186490455214E-2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45.95</v>
      </c>
      <c r="V2202" s="30">
        <f>IF(ISNA(VLOOKUP(LOWER(F2202)&amp;H2202,Prices!A:C,2,0)),0,VLOOKUP(LOWER(F2202)&amp;H2202,Prices!A:C,2,0))</f>
        <v>45.82</v>
      </c>
      <c r="W2202" s="18">
        <f t="shared" ref="W2202:W2205" si="1398">IF(I2202="B",(V2202+T2202)*K2202,(V2202+T2202)*K2202)</f>
        <v>4100.0000000000018</v>
      </c>
      <c r="X2202" s="30">
        <f t="shared" ref="X2202:X2205" si="1399">K2202*(V2202-U2202)</f>
        <v>-65.000000000001279</v>
      </c>
      <c r="Y2202" s="40">
        <f t="shared" ref="Y2202:Y2205" si="1400">W2202/O2202</f>
        <v>0.21802712044668981</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29.64</v>
      </c>
      <c r="V2203" s="30">
        <f>IF(ISNA(VLOOKUP(LOWER(F2203)&amp;H2203,Prices!A:C,2,0)),0,VLOOKUP(LOWER(F2203)&amp;H2203,Prices!A:C,2,0))</f>
        <v>30.42</v>
      </c>
      <c r="W2203" s="18">
        <f t="shared" si="1398"/>
        <v>-2105.3461999999995</v>
      </c>
      <c r="X2203" s="30">
        <f t="shared" si="1399"/>
        <v>390.00000000000057</v>
      </c>
      <c r="Y2203" s="40">
        <f t="shared" si="1400"/>
        <v>-0.12162600808781049</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15.59</v>
      </c>
      <c r="V2204" s="13">
        <f>IF(ISNA(VLOOKUP(LOWER(F2204)&amp;H2204,Prices!A:C,2,0)),0,VLOOKUP(LOWER(F2204)&amp;H2204,Prices!A:C,2,0))</f>
        <v>15.35</v>
      </c>
      <c r="W2204" s="19">
        <f t="shared" si="1398"/>
        <v>-126.03311999999977</v>
      </c>
      <c r="X2204" s="13">
        <f t="shared" si="1399"/>
        <v>-24.000000000000021</v>
      </c>
      <c r="Y2204" s="43">
        <f t="shared" si="1400"/>
        <v>-7.6106956521739003E-2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45.95</v>
      </c>
      <c r="V2205" s="30">
        <f>IF(ISNA(VLOOKUP(LOWER(F2205)&amp;H2205,Prices!A:C,2,0)),0,VLOOKUP(LOWER(F2205)&amp;H2205,Prices!A:C,2,0))</f>
        <v>45.82</v>
      </c>
      <c r="W2205" s="18">
        <f t="shared" si="1398"/>
        <v>3980.0000000000005</v>
      </c>
      <c r="X2205" s="30">
        <f t="shared" si="1399"/>
        <v>-65.000000000001279</v>
      </c>
      <c r="Y2205" s="40">
        <f t="shared" si="1400"/>
        <v>0.21030383091149277</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38.53</v>
      </c>
      <c r="V2206" s="30">
        <f>IF(ISNA(VLOOKUP(LOWER(F2206)&amp;H2206,Prices!A:C,2,0)),0,VLOOKUP(LOWER(F2206)&amp;H2206,Prices!A:C,2,0))</f>
        <v>41.01</v>
      </c>
      <c r="W2206" s="18">
        <f t="shared" ref="W2206" si="1408">IF(I2206="B",(V2206+T2206)*K2206,(V2206+T2206)*K2206)</f>
        <v>8172.6714399999973</v>
      </c>
      <c r="X2206" s="30">
        <f t="shared" ref="X2206" si="1409">K2206*(V2206-U2206)</f>
        <v>1487.9999999999982</v>
      </c>
      <c r="Y2206" s="40">
        <f t="shared" ref="Y2206" si="1410">W2206/O2206</f>
        <v>0.49748426101777438</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39.799999999999997</v>
      </c>
      <c r="V2207" s="30">
        <f>IF(ISNA(VLOOKUP(LOWER(F2207)&amp;H2207,Prices!A:C,2,0)),0,VLOOKUP(LOWER(F2207)&amp;H2207,Prices!A:C,2,0))</f>
        <v>41.55</v>
      </c>
      <c r="W2207" s="18">
        <f t="shared" ref="W2207" si="1418">IF(I2207="B",(V2207+T2207)*K2207,(V2207+T2207)*K2207)</f>
        <v>4984.9999999999991</v>
      </c>
      <c r="X2207" s="30">
        <f t="shared" ref="X2207" si="1419">K2207*(V2207-U2207)</f>
        <v>875</v>
      </c>
      <c r="Y2207" s="40">
        <f t="shared" ref="Y2207" si="1420">W2207/O2207</f>
        <v>0.31580614507443772</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27.38</v>
      </c>
      <c r="V2208" s="30">
        <f>IF(ISNA(VLOOKUP(LOWER(F2208)&amp;H2208,Prices!A:C,2,0)),0,VLOOKUP(LOWER(F2208)&amp;H2208,Prices!A:C,2,0))</f>
        <v>27.62</v>
      </c>
      <c r="W2208" s="18">
        <f t="shared" ref="W2208" si="1428">IF(I2208="B",(V2208+T2208)*K2208,(V2208+T2208)*K2208)</f>
        <v>815.00000000000057</v>
      </c>
      <c r="X2208" s="30">
        <f t="shared" ref="X2208" si="1429">K2208*(V2208-U2208)</f>
        <v>96.000000000000796</v>
      </c>
      <c r="Y2208" s="40">
        <f t="shared" ref="Y2208" si="1430">W2208/O2208</f>
        <v>7.9683222526398173E-2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45.95</v>
      </c>
      <c r="V2209" s="30">
        <f>IF(ISNA(VLOOKUP(LOWER(F2209)&amp;H2209,Prices!A:C,2,0)),0,VLOOKUP(LOWER(F2209)&amp;H2209,Prices!A:C,2,0))</f>
        <v>45.82</v>
      </c>
      <c r="W2209" s="18">
        <f t="shared" ref="W2209" si="1438">IF(I2209="B",(V2209+T2209)*K2209,(V2209+T2209)*K2209)</f>
        <v>-7655.8519999999962</v>
      </c>
      <c r="X2209" s="30">
        <f t="shared" ref="X2209" si="1439">K2209*(V2209-U2209)</f>
        <v>130.00000000000256</v>
      </c>
      <c r="Y2209" s="40">
        <f t="shared" ref="Y2209" si="1440">W2209/O2209</f>
        <v>-0.20036252289976436</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16.29</v>
      </c>
      <c r="V2210" s="30">
        <f>IF(ISNA(VLOOKUP(LOWER(F2210)&amp;H2210,Prices!A:C,2,0)),0,VLOOKUP(LOWER(F2210)&amp;H2210,Prices!A:C,2,0))</f>
        <v>16.59</v>
      </c>
      <c r="W2210" s="18">
        <f t="shared" ref="W2210" si="1448">IF(I2210="B",(V2210+T2210)*K2210,(V2210+T2210)*K2210)</f>
        <v>8795.6640000000043</v>
      </c>
      <c r="X2210" s="30">
        <f t="shared" ref="X2210" si="1449">K2210*(V2210-U2210)</f>
        <v>-1020.0000000000024</v>
      </c>
      <c r="Y2210" s="40">
        <f t="shared" ref="Y2210" si="1450">W2210/O2210</f>
        <v>0.13473750000000007</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16.29</v>
      </c>
      <c r="V2211" s="30">
        <f>IF(ISNA(VLOOKUP(LOWER(F2211)&amp;H2211,Prices!A:C,2,0)),0,VLOOKUP(LOWER(F2211)&amp;H2211,Prices!A:C,2,0))</f>
        <v>16.59</v>
      </c>
      <c r="W2211" s="18">
        <f t="shared" ref="W2211" si="1458">IF(I2211="B",(V2211+T2211)*K2211,(V2211+T2211)*K2211)</f>
        <v>-2885.0000000000014</v>
      </c>
      <c r="X2211" s="30">
        <f t="shared" ref="X2211" si="1459">K2211*(V2211-U2211)</f>
        <v>300.00000000000068</v>
      </c>
      <c r="Y2211" s="40">
        <f t="shared" ref="Y2211" si="1460">W2211/O2211</f>
        <v>-0.14817668207498724</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25.86</v>
      </c>
      <c r="V2212" s="30">
        <f>IF(ISNA(VLOOKUP(LOWER(F2212)&amp;H2212,Prices!A:C,2,0)),0,VLOOKUP(LOWER(F2212)&amp;H2212,Prices!A:C,2,0))</f>
        <v>24.82</v>
      </c>
      <c r="W2212" s="18">
        <f t="shared" ref="W2212:W2214" si="1468">IF(I2212="B",(V2212+T2212)*K2212,(V2212+T2212)*K2212)</f>
        <v>-1226.1733399999994</v>
      </c>
      <c r="X2212" s="30">
        <f t="shared" ref="X2212:X2214" si="1469">K2212*(V2212-U2212)</f>
        <v>-311.99999999999977</v>
      </c>
      <c r="Y2212" s="40">
        <f t="shared" ref="Y2212:Y2214" si="1470">W2212/O2212</f>
        <v>-0.1414760978423906</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29.64</v>
      </c>
      <c r="V2213" s="30">
        <f>IF(ISNA(VLOOKUP(LOWER(F2213)&amp;H2213,Prices!A:C,2,0)),0,VLOOKUP(LOWER(F2213)&amp;H2213,Prices!A:C,2,0))</f>
        <v>30.42</v>
      </c>
      <c r="W2213" s="18">
        <f t="shared" si="1468"/>
        <v>-945.32299999999839</v>
      </c>
      <c r="X2213" s="30">
        <f t="shared" si="1469"/>
        <v>390.00000000000057</v>
      </c>
      <c r="Y2213" s="40">
        <f t="shared" si="1470"/>
        <v>-5.8533931888544798E-2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16.29</v>
      </c>
      <c r="V2214" s="30">
        <f>IF(ISNA(VLOOKUP(LOWER(F2214)&amp;H2214,Prices!A:C,2,0)),0,VLOOKUP(LOWER(F2214)&amp;H2214,Prices!A:C,2,0))</f>
        <v>16.59</v>
      </c>
      <c r="W2214" s="18">
        <f t="shared" si="1468"/>
        <v>-2094.9999999999991</v>
      </c>
      <c r="X2214" s="30">
        <f t="shared" si="1469"/>
        <v>300.00000000000068</v>
      </c>
      <c r="Y2214" s="40">
        <f t="shared" si="1470"/>
        <v>-0.11215203426124191</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16.29</v>
      </c>
      <c r="V2215" s="30">
        <f>IF(ISNA(VLOOKUP(LOWER(F2215)&amp;H2215,Prices!A:C,2,0)),0,VLOOKUP(LOWER(F2215)&amp;H2215,Prices!A:C,2,0))</f>
        <v>16.59</v>
      </c>
      <c r="W2215" s="18">
        <f t="shared" ref="W2215" si="1478">IF(I2215="B",(V2215+T2215)*K2215,(V2215+T2215)*K2215)</f>
        <v>-1078.9999999999991</v>
      </c>
      <c r="X2215" s="30">
        <f t="shared" ref="X2215" si="1479">K2215*(V2215-U2215)</f>
        <v>180.00000000000043</v>
      </c>
      <c r="Y2215" s="40">
        <f t="shared" ref="Y2215" si="1480">W2215/O2215</f>
        <v>-9.7841857091040901E-2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15.59</v>
      </c>
      <c r="V2216" s="13">
        <f>IF(ISNA(VLOOKUP(LOWER(F2216)&amp;H2216,Prices!A:C,2,0)),0,VLOOKUP(LOWER(F2216)&amp;H2216,Prices!A:C,2,0))</f>
        <v>15.35</v>
      </c>
      <c r="W2216" s="19">
        <f t="shared" ref="W2216:W2219" si="1488">IF(I2216="B",(V2216+T2216)*K2216,(V2216+T2216)*K2216)</f>
        <v>-1048.2357599999991</v>
      </c>
      <c r="X2216" s="13">
        <f t="shared" ref="X2216:X2219" si="1489">K2216*(V2216-U2216)</f>
        <v>-168.00000000000014</v>
      </c>
      <c r="Y2216" s="43">
        <f>W2216/O2216</f>
        <v>-8.8923970139124453E-2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27.38</v>
      </c>
      <c r="V2217" s="30">
        <f>IF(ISNA(VLOOKUP(LOWER(F2217)&amp;H2217,Prices!A:C,2,0)),0,VLOOKUP(LOWER(F2217)&amp;H2217,Prices!A:C,2,0))</f>
        <v>27.62</v>
      </c>
      <c r="W2217" s="18">
        <f t="shared" si="1488"/>
        <v>955.00000000000114</v>
      </c>
      <c r="X2217" s="30">
        <f t="shared" si="1489"/>
        <v>144.00000000000119</v>
      </c>
      <c r="Y2217" s="40">
        <f>W2217/O2217</f>
        <v>6.1170894183961128E-2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16.29</v>
      </c>
      <c r="V2218" s="30">
        <f>IF(ISNA(VLOOKUP(LOWER(F2218)&amp;H2218,Prices!A:C,2,0)),0,VLOOKUP(LOWER(F2218)&amp;H2218,Prices!A:C,2,0))</f>
        <v>16.59</v>
      </c>
      <c r="W2218" s="18">
        <f t="shared" si="1488"/>
        <v>-1289</v>
      </c>
      <c r="X2218" s="30">
        <f t="shared" si="1489"/>
        <v>180.00000000000043</v>
      </c>
      <c r="Y2218" s="40">
        <f t="shared" ref="Y2218:Y2219" si="1490">W2218/O2218</f>
        <v>-0.11470012457732692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38.53</v>
      </c>
      <c r="V2219" s="30">
        <f>IF(ISNA(VLOOKUP(LOWER(F2219)&amp;H2219,Prices!A:C,2,0)),0,VLOOKUP(LOWER(F2219)&amp;H2219,Prices!A:C,2,0))</f>
        <v>41.01</v>
      </c>
      <c r="W2219" s="18">
        <f t="shared" si="1488"/>
        <v>7920.6663999999964</v>
      </c>
      <c r="X2219" s="30">
        <f t="shared" si="1489"/>
        <v>1487.9999999999982</v>
      </c>
      <c r="Y2219" s="40">
        <f t="shared" si="1490"/>
        <v>0.47486009592326117</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29.64</v>
      </c>
      <c r="V2220" s="30">
        <f>IF(ISNA(VLOOKUP(LOWER(F2220)&amp;H2220,Prices!A:C,2,0)),0,VLOOKUP(LOWER(F2220)&amp;H2220,Prices!A:C,2,0))</f>
        <v>30.42</v>
      </c>
      <c r="W2220" s="18">
        <f t="shared" ref="W2220:W2222" si="1498">IF(I2220="B",(V2220+T2220)*K2220,(V2220+T2220)*K2220)</f>
        <v>-284.188099999999</v>
      </c>
      <c r="X2220" s="30">
        <f t="shared" ref="X2220:X2222" si="1499">K2220*(V2220-U2220)</f>
        <v>234.00000000000034</v>
      </c>
      <c r="Y2220" s="40">
        <f t="shared" ref="Y2220:Y2222" si="1500">W2220/O2220</f>
        <v>-3.0216703880914301E-2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31.51</v>
      </c>
      <c r="V2221" s="30">
        <f>IF(ISNA(VLOOKUP(LOWER(F2221)&amp;H2221,Prices!A:C,2,0)),0,VLOOKUP(LOWER(F2221)&amp;H2221,Prices!A:C,2,0))</f>
        <v>31.2</v>
      </c>
      <c r="W2221" s="18">
        <f t="shared" si="1498"/>
        <v>564.82419999999922</v>
      </c>
      <c r="X2221" s="30">
        <f t="shared" si="1499"/>
        <v>-93.000000000000682</v>
      </c>
      <c r="Y2221" s="40">
        <f t="shared" si="1500"/>
        <v>6.425758816837307E-2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16.29</v>
      </c>
      <c r="V2222" s="30">
        <f>IF(ISNA(VLOOKUP(LOWER(F2222)&amp;H2222,Prices!A:C,2,0)),0,VLOOKUP(LOWER(F2222)&amp;H2222,Prices!A:C,2,0))</f>
        <v>16.59</v>
      </c>
      <c r="W2222" s="18">
        <f t="shared" si="1498"/>
        <v>-975.00000000000136</v>
      </c>
      <c r="X2222" s="30">
        <f t="shared" si="1499"/>
        <v>300.00000000000068</v>
      </c>
      <c r="Y2222" s="40">
        <f t="shared" si="1500"/>
        <v>-5.5523917995444268E-2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15.59</v>
      </c>
      <c r="V2223" s="13">
        <f>IF(ISNA(VLOOKUP(LOWER(F2223)&amp;H2223,Prices!A:C,2,0)),0,VLOOKUP(LOWER(F2223)&amp;H2223,Prices!A:C,2,0))</f>
        <v>15.35</v>
      </c>
      <c r="W2223" s="19">
        <f t="shared" ref="W2223:W2224" si="1508">IF(I2223="B",(V2223+T2223)*K2223,(V2223+T2223)*K2223)</f>
        <v>-695.198000000001</v>
      </c>
      <c r="X2223" s="13">
        <f t="shared" ref="X2223:X2224" si="1509">K2223*(V2223-U2223)</f>
        <v>-144.00000000000011</v>
      </c>
      <c r="Y2223" s="43">
        <f t="shared" ref="Y2223:Y2224" si="1510">W2223/O2223</f>
        <v>-7.0222020202020299E-2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51.94</v>
      </c>
      <c r="V2224" s="30">
        <f>IF(ISNA(VLOOKUP(LOWER(F2224)&amp;H2224,Prices!A:C,2,0)),0,VLOOKUP(LOWER(F2224)&amp;H2224,Prices!A:C,2,0))</f>
        <v>53.53</v>
      </c>
      <c r="W2224" s="18">
        <f t="shared" si="1508"/>
        <v>800.80200000000013</v>
      </c>
      <c r="X2224" s="30">
        <f t="shared" si="1509"/>
        <v>318.00000000000068</v>
      </c>
      <c r="Y2224" s="40">
        <f t="shared" si="1510"/>
        <v>8.0889090909090924E-2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67.72</v>
      </c>
      <c r="V2225" s="30">
        <f>IF(ISNA(VLOOKUP(LOWER(F2225)&amp;H2225,Prices!A:C,2,0)),0,VLOOKUP(LOWER(F2225)&amp;H2225,Prices!A:C,2,0))</f>
        <v>68.92</v>
      </c>
      <c r="W2225" s="18">
        <f t="shared" ref="W2225" si="1518">IF(I2225="B",(V2225+T2225)*K2225,(V2225+T2225)*K2225)</f>
        <v>854.7415199999989</v>
      </c>
      <c r="X2225" s="30">
        <f t="shared" ref="X2225" si="1519">K2225*(V2225-U2225)</f>
        <v>240.00000000000057</v>
      </c>
      <c r="Y2225" s="40">
        <f t="shared" ref="Y2225" si="1520">W2225/O2225</f>
        <v>6.613598885793863E-2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51.94</v>
      </c>
      <c r="V2226" s="30">
        <f>IF(ISNA(VLOOKUP(LOWER(F2226)&amp;H2226,Prices!A:C,2,0)),0,VLOOKUP(LOWER(F2226)&amp;H2226,Prices!A:C,2,0))</f>
        <v>53.53</v>
      </c>
      <c r="W2226" s="18">
        <f t="shared" ref="W2226:W2229" si="1528">IF(I2226="B",(V2226+T2226)*K2226,(V2226+T2226)*K2226)</f>
        <v>970.80539999999905</v>
      </c>
      <c r="X2226" s="30">
        <f t="shared" ref="X2226:X2229" si="1529">K2226*(V2226-U2226)</f>
        <v>318.00000000000068</v>
      </c>
      <c r="Y2226" s="40">
        <f t="shared" ref="Y2226:Y2229" si="1530">W2226/O2226</f>
        <v>9.9774450154162281E-2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55.5</v>
      </c>
      <c r="V2227" s="30">
        <f>IF(ISNA(VLOOKUP(LOWER(F2227)&amp;H2227,Prices!A:C,2,0)),0,VLOOKUP(LOWER(F2227)&amp;H2227,Prices!A:C,2,0))</f>
        <v>55.89</v>
      </c>
      <c r="W2227" s="18">
        <f t="shared" si="1528"/>
        <v>703.00000000000011</v>
      </c>
      <c r="X2227" s="30">
        <f t="shared" si="1529"/>
        <v>39.000000000000057</v>
      </c>
      <c r="Y2227" s="40">
        <f t="shared" si="1530"/>
        <v>0.14402786314279864</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75.27</v>
      </c>
      <c r="V2228" s="30">
        <f>IF(ISNA(VLOOKUP(LOWER(F2228)&amp;H2228,Prices!A:C,2,0)),0,VLOOKUP(LOWER(F2228)&amp;H2228,Prices!A:C,2,0))</f>
        <v>75.709999999999994</v>
      </c>
      <c r="W2228" s="18">
        <f t="shared" si="1528"/>
        <v>3138.7600399999983</v>
      </c>
      <c r="X2228" s="30">
        <f t="shared" si="1529"/>
        <v>87.999999999999545</v>
      </c>
      <c r="Y2228" s="40">
        <f t="shared" si="1530"/>
        <v>0.26160693782297034</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53.65</v>
      </c>
      <c r="V2230" s="30">
        <f>IF(ISNA(VLOOKUP(LOWER(F2230)&amp;H2230,Prices!A:C,2,0)),0,VLOOKUP(LOWER(F2230)&amp;H2230,Prices!A:C,2,0))</f>
        <v>54.62</v>
      </c>
      <c r="W2230" s="18">
        <f t="shared" ref="W2230:W2235" si="1538">IF(I2230="B",(V2230+T2230)*K2230,(V2230+T2230)*K2230)</f>
        <v>920.99999999999932</v>
      </c>
      <c r="X2230" s="30">
        <f t="shared" ref="X2230:X2235" si="1539">K2230*(V2230-U2230)</f>
        <v>193.99999999999977</v>
      </c>
      <c r="Y2230" s="40">
        <f t="shared" ref="Y2230:Y2235" si="1540">W2230/O2230</f>
        <v>9.2118423684736883E-2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31.51</v>
      </c>
      <c r="V2231" s="30">
        <f>IF(ISNA(VLOOKUP(LOWER(F2231)&amp;H2231,Prices!A:C,2,0)),0,VLOOKUP(LOWER(F2231)&amp;H2231,Prices!A:C,2,0))</f>
        <v>31.2</v>
      </c>
      <c r="W2231" s="18">
        <f t="shared" si="1538"/>
        <v>682.76416000000063</v>
      </c>
      <c r="X2231" s="30">
        <f t="shared" si="1539"/>
        <v>-124.00000000000091</v>
      </c>
      <c r="Y2231" s="40">
        <f t="shared" si="1540"/>
        <v>5.7900624151967492E-2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55.5</v>
      </c>
      <c r="V2232" s="30">
        <f>IF(ISNA(VLOOKUP(LOWER(F2232)&amp;H2232,Prices!A:C,2,0)),0,VLOOKUP(LOWER(F2232)&amp;H2232,Prices!A:C,2,0))</f>
        <v>55.89</v>
      </c>
      <c r="W2232" s="18">
        <f t="shared" si="1538"/>
        <v>2434.0000000000009</v>
      </c>
      <c r="X2232" s="30">
        <f t="shared" si="1539"/>
        <v>117.00000000000017</v>
      </c>
      <c r="Y2232" s="40">
        <f t="shared" si="1540"/>
        <v>0.16987716359575664</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67.72</v>
      </c>
      <c r="V2233" s="30">
        <f>IF(ISNA(VLOOKUP(LOWER(F2233)&amp;H2233,Prices!A:C,2,0)),0,VLOOKUP(LOWER(F2233)&amp;H2233,Prices!A:C,2,0))</f>
        <v>68.92</v>
      </c>
      <c r="W2233" s="18">
        <f t="shared" si="1538"/>
        <v>636.73716000000411</v>
      </c>
      <c r="X2233" s="30">
        <f t="shared" si="1539"/>
        <v>240.00000000000057</v>
      </c>
      <c r="Y2233" s="40">
        <f t="shared" si="1540"/>
        <v>4.8450552427332538E-2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6.03</v>
      </c>
      <c r="V2234" s="30">
        <f>IF(ISNA(VLOOKUP(LOWER(F2234)&amp;H2234,Prices!A:C,2,0)),0,VLOOKUP(LOWER(F2234)&amp;H2234,Prices!A:C,2,0))</f>
        <v>6.11</v>
      </c>
      <c r="W2234" s="18">
        <f t="shared" si="1538"/>
        <v>174.6370000000006</v>
      </c>
      <c r="X2234" s="30">
        <f t="shared" si="1539"/>
        <v>240.00000000000023</v>
      </c>
      <c r="Y2234" s="40">
        <f t="shared" si="1540"/>
        <v>9.6218732782369469E-3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16.93</v>
      </c>
      <c r="V2235" s="30">
        <f>IF(ISNA(VLOOKUP(LOWER(F2235)&amp;H2235,Prices!A:C,2,0)),0,VLOOKUP(LOWER(F2235)&amp;H2235,Prices!A:C,2,0))</f>
        <v>17.02</v>
      </c>
      <c r="W2235" s="18">
        <f t="shared" si="1538"/>
        <v>994.67959999999778</v>
      </c>
      <c r="X2235" s="30">
        <f t="shared" si="1539"/>
        <v>89.999999999999858</v>
      </c>
      <c r="Y2235" s="40">
        <f t="shared" si="1540"/>
        <v>6.2089862671660286E-2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67.72</v>
      </c>
      <c r="V2236" s="30">
        <f>IF(ISNA(VLOOKUP(LOWER(F2236)&amp;H2236,Prices!A:C,2,0)),0,VLOOKUP(LOWER(F2236)&amp;H2236,Prices!A:C,2,0))</f>
        <v>68.92</v>
      </c>
      <c r="W2236" s="18">
        <f t="shared" ref="W2236:W2238" si="1548">IF(I2236="B",(V2236+T2236)*K2236,(V2236+T2236)*K2236)</f>
        <v>342.86912000000029</v>
      </c>
      <c r="X2236" s="30">
        <f t="shared" ref="X2236:X2238" si="1549">K2236*(V2236-U2236)</f>
        <v>120.00000000000028</v>
      </c>
      <c r="Y2236" s="40">
        <f t="shared" ref="Y2236:Y2238" si="1550">W2236/O2236</f>
        <v>5.2394425427872905E-2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31.51</v>
      </c>
      <c r="V2237" s="30">
        <f>IF(ISNA(VLOOKUP(LOWER(F2237)&amp;H2237,Prices!A:C,2,0)),0,VLOOKUP(LOWER(F2237)&amp;H2237,Prices!A:C,2,0))</f>
        <v>31.2</v>
      </c>
      <c r="W2237" s="18">
        <f t="shared" si="1548"/>
        <v>564.82419999999922</v>
      </c>
      <c r="X2237" s="30">
        <f t="shared" si="1549"/>
        <v>-93.000000000000682</v>
      </c>
      <c r="Y2237" s="40">
        <f t="shared" si="1550"/>
        <v>6.425758816837307E-2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39.799999999999997</v>
      </c>
      <c r="V2238" s="30">
        <f>IF(ISNA(VLOOKUP(LOWER(F2238)&amp;H2238,Prices!A:C,2,0)),0,VLOOKUP(LOWER(F2238)&amp;H2238,Prices!A:C,2,0))</f>
        <v>41.55</v>
      </c>
      <c r="W2238" s="18">
        <f t="shared" si="1548"/>
        <v>1666.0000000000005</v>
      </c>
      <c r="X2238" s="30">
        <f t="shared" si="1549"/>
        <v>525</v>
      </c>
      <c r="Y2238" s="40">
        <f t="shared" si="1550"/>
        <v>0.15434500648508437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9.59</v>
      </c>
      <c r="V2239" s="30">
        <f>IF(ISNA(VLOOKUP(LOWER(F2239)&amp;H2239,Prices!A:C,2,0)),0,VLOOKUP(LOWER(F2239)&amp;H2239,Prices!A:C,2,0))</f>
        <v>9.8000000000000007</v>
      </c>
      <c r="W2239" s="18">
        <f t="shared" ref="W2239" si="1558">IF(I2239="B",(V2239+T2239)*K2239,(V2239+T2239)*K2239)</f>
        <v>214.90640000000027</v>
      </c>
      <c r="X2239" s="30">
        <f t="shared" ref="X2239" si="1559">K2239*(V2239-U2239)</f>
        <v>105.00000000000043</v>
      </c>
      <c r="Y2239" s="40">
        <f t="shared" ref="Y2239" si="1560">W2239/O2239</f>
        <v>4.5920170940171E-2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6.03</v>
      </c>
      <c r="V2240" s="30">
        <f>IF(ISNA(VLOOKUP(LOWER(F2240)&amp;H2240,Prices!A:C,2,0)),0,VLOOKUP(LOWER(F2240)&amp;H2240,Prices!A:C,2,0))</f>
        <v>6.11</v>
      </c>
      <c r="W2240" s="18">
        <f t="shared" ref="W2240:W2241" si="1568">IF(I2240="B",(V2240+T2240)*K2240,(V2240+T2240)*K2240)</f>
        <v>-37.196159999999168</v>
      </c>
      <c r="X2240" s="30">
        <f t="shared" ref="X2240:X2241" si="1569">K2240*(V2240-U2240)</f>
        <v>128.00000000000011</v>
      </c>
      <c r="Y2240" s="40">
        <f t="shared" ref="Y2240:Y2241" si="1570">W2240/O2240</f>
        <v>-3.7924306688416768E-3</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55.5</v>
      </c>
      <c r="V2241" s="30">
        <f>IF(ISNA(VLOOKUP(LOWER(F2241)&amp;H2241,Prices!A:C,2,0)),0,VLOOKUP(LOWER(F2241)&amp;H2241,Prices!A:C,2,0))</f>
        <v>55.89</v>
      </c>
      <c r="W2241" s="18">
        <f t="shared" si="1568"/>
        <v>2770.0000000000005</v>
      </c>
      <c r="X2241" s="30">
        <f t="shared" si="1569"/>
        <v>117.00000000000017</v>
      </c>
      <c r="Y2241" s="40">
        <f t="shared" si="1570"/>
        <v>0.19797026872498574</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9.59</v>
      </c>
      <c r="V2242" s="30">
        <f>IF(ISNA(VLOOKUP(LOWER(F2242)&amp;H2242,Prices!A:C,2,0)),0,VLOOKUP(LOWER(F2242)&amp;H2242,Prices!A:C,2,0))</f>
        <v>9.8000000000000007</v>
      </c>
      <c r="W2242" s="18">
        <f t="shared" ref="W2242:W2248" si="1578">IF(I2242="B",(V2242+T2242)*K2242,(V2242+T2242)*K2242)</f>
        <v>594.81600000000162</v>
      </c>
      <c r="X2242" s="30">
        <f t="shared" ref="X2242:X2248" si="1579">K2242*(V2242-U2242)</f>
        <v>210.00000000000085</v>
      </c>
      <c r="Y2242" s="40">
        <f t="shared" ref="Y2242:Y2248" si="1580">W2242/O2242</f>
        <v>6.4653913043478436E-2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75.27</v>
      </c>
      <c r="V2243" s="30">
        <f>IF(ISNA(VLOOKUP(LOWER(F2243)&amp;H2243,Prices!A:C,2,0)),0,VLOOKUP(LOWER(F2243)&amp;H2243,Prices!A:C,2,0))</f>
        <v>75.709999999999994</v>
      </c>
      <c r="W2243" s="18">
        <f t="shared" si="1578"/>
        <v>1170.8720999999982</v>
      </c>
      <c r="X2243" s="30">
        <f t="shared" si="1579"/>
        <v>43.999999999999773</v>
      </c>
      <c r="Y2243" s="40">
        <f t="shared" si="1580"/>
        <v>0.18309180609851419</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6.03</v>
      </c>
      <c r="V2244" s="30">
        <f>IF(ISNA(VLOOKUP(LOWER(F2244)&amp;H2244,Prices!A:C,2,0)),0,VLOOKUP(LOWER(F2244)&amp;H2244,Prices!A:C,2,0))</f>
        <v>6.11</v>
      </c>
      <c r="W2244" s="18">
        <f t="shared" si="1578"/>
        <v>74.757200000000523</v>
      </c>
      <c r="X2244" s="30">
        <f t="shared" si="1579"/>
        <v>160.00000000000014</v>
      </c>
      <c r="Y2244" s="40">
        <f t="shared" si="1580"/>
        <v>6.157924217462976E-3</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9.59</v>
      </c>
      <c r="V2245" s="30">
        <f>IF(ISNA(VLOOKUP(LOWER(F2245)&amp;H2245,Prices!A:C,2,0)),0,VLOOKUP(LOWER(F2245)&amp;H2245,Prices!A:C,2,0))</f>
        <v>9.8000000000000007</v>
      </c>
      <c r="W2245" s="18">
        <f t="shared" si="1578"/>
        <v>414.81240000000065</v>
      </c>
      <c r="X2245" s="30">
        <f t="shared" si="1579"/>
        <v>210.00000000000085</v>
      </c>
      <c r="Y2245" s="40">
        <f t="shared" si="1580"/>
        <v>4.4223070362473416E-2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75.27</v>
      </c>
      <c r="V2246" s="30">
        <f>IF(ISNA(VLOOKUP(LOWER(F2246)&amp;H2246,Prices!A:C,2,0)),0,VLOOKUP(LOWER(F2246)&amp;H2246,Prices!A:C,2,0))</f>
        <v>75.709999999999994</v>
      </c>
      <c r="W2246" s="18">
        <f t="shared" si="1578"/>
        <v>1169.872079999999</v>
      </c>
      <c r="X2246" s="30">
        <f t="shared" si="1579"/>
        <v>43.999999999999773</v>
      </c>
      <c r="Y2246" s="40">
        <f t="shared" si="1580"/>
        <v>0.18290682926829252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31.51</v>
      </c>
      <c r="V2247" s="30">
        <f>IF(ISNA(VLOOKUP(LOWER(F2247)&amp;H2247,Prices!A:C,2,0)),0,VLOOKUP(LOWER(F2247)&amp;H2247,Prices!A:C,2,0))</f>
        <v>31.2</v>
      </c>
      <c r="W2247" s="18">
        <f t="shared" si="1578"/>
        <v>795.82882000000086</v>
      </c>
      <c r="X2247" s="30">
        <f t="shared" si="1579"/>
        <v>-93.000000000000682</v>
      </c>
      <c r="Y2247" s="40">
        <f t="shared" si="1580"/>
        <v>9.298151886902685E-2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53.65</v>
      </c>
      <c r="V2248" s="30">
        <f>IF(ISNA(VLOOKUP(LOWER(F2248)&amp;H2248,Prices!A:C,2,0)),0,VLOOKUP(LOWER(F2248)&amp;H2248,Prices!A:C,2,0))</f>
        <v>54.62</v>
      </c>
      <c r="W2248" s="18">
        <f t="shared" si="1578"/>
        <v>784.99999999999943</v>
      </c>
      <c r="X2248" s="30">
        <f t="shared" si="1579"/>
        <v>193.99999999999977</v>
      </c>
      <c r="Y2248" s="40">
        <f t="shared" si="1580"/>
        <v>7.7462009078350047E-2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31.51</v>
      </c>
      <c r="V2249" s="30">
        <f>IF(ISNA(VLOOKUP(LOWER(F2249)&amp;H2249,Prices!A:C,2,0)),0,VLOOKUP(LOWER(F2249)&amp;H2249,Prices!A:C,2,0))</f>
        <v>31.2</v>
      </c>
      <c r="W2249" s="18">
        <f t="shared" ref="W2249" si="1588">IF(I2249="B",(V2249+T2249)*K2249,(V2249+T2249)*K2249)</f>
        <v>741.82774000000006</v>
      </c>
      <c r="X2249" s="30">
        <f t="shared" ref="X2249" si="1589">K2249*(V2249-U2249)</f>
        <v>-93.000000000000682</v>
      </c>
      <c r="Y2249" s="40">
        <f t="shared" ref="Y2249" si="1590">W2249/O2249</f>
        <v>8.6128844769534432E-2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15.59</v>
      </c>
      <c r="V2250" s="13">
        <f>IF(ISNA(VLOOKUP(LOWER(F2250)&amp;H2250,Prices!A:C,2,0)),0,VLOOKUP(LOWER(F2250)&amp;H2250,Prices!A:C,2,0))</f>
        <v>15.35</v>
      </c>
      <c r="W2250" s="19">
        <f t="shared" ref="W2250" si="1598">IF(I2250="B",(V2250+T2250)*K2250,(V2250+T2250)*K2250)</f>
        <v>1133.8969600000003</v>
      </c>
      <c r="X2250" s="13">
        <f t="shared" ref="X2250" si="1599">K2250*(V2250-U2250)</f>
        <v>336.00000000000028</v>
      </c>
      <c r="Y2250" s="43">
        <f t="shared" ref="Y2250" si="1600">W2250/O2250</f>
        <v>5.0057255871446243E-2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53.65</v>
      </c>
      <c r="V2251" s="30">
        <f>IF(ISNA(VLOOKUP(LOWER(F2251)&amp;H2251,Prices!A:C,2,0)),0,VLOOKUP(LOWER(F2251)&amp;H2251,Prices!A:C,2,0))</f>
        <v>54.62</v>
      </c>
      <c r="W2251" s="18">
        <f t="shared" ref="W2251" si="1608">IF(I2251="B",(V2251+T2251)*K2251,(V2251+T2251)*K2251)</f>
        <v>520.99999999999932</v>
      </c>
      <c r="X2251" s="30">
        <f t="shared" ref="X2251" si="1609">K2251*(V2251-U2251)</f>
        <v>193.99999999999977</v>
      </c>
      <c r="Y2251" s="40">
        <f t="shared" ref="Y2251" si="1610">W2251/O2251</f>
        <v>5.0105789574918187E-2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67.72</v>
      </c>
      <c r="V2252" s="30">
        <f>IF(ISNA(VLOOKUP(LOWER(F2252)&amp;H2252,Prices!A:C,2,0)),0,VLOOKUP(LOWER(F2252)&amp;H2252,Prices!A:C,2,0))</f>
        <v>68.92</v>
      </c>
      <c r="W2252" s="18">
        <f t="shared" ref="W2252" si="1618">IF(I2252="B",(V2252+T2252)*K2252,(V2252+T2252)*K2252)</f>
        <v>-179.14131999999938</v>
      </c>
      <c r="X2252" s="30">
        <f t="shared" ref="X2252" si="1619">K2252*(V2252-U2252)</f>
        <v>120.00000000000028</v>
      </c>
      <c r="Y2252" s="40">
        <f t="shared" ref="Y2252" si="1620">W2252/O2252</f>
        <v>-2.5352578545145683E-2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6.03</v>
      </c>
      <c r="V2253" s="30">
        <f>IF(ISNA(VLOOKUP(LOWER(F2253)&amp;H2253,Prices!A:C,2,0)),0,VLOOKUP(LOWER(F2253)&amp;H2253,Prices!A:C,2,0))</f>
        <v>6.11</v>
      </c>
      <c r="W2253" s="18">
        <f t="shared" ref="W2253:W2260" si="1628">IF(I2253="B",(V2253+T2253)*K2253,(V2253+T2253)*K2253)</f>
        <v>294.76160000000107</v>
      </c>
      <c r="X2253" s="30">
        <f t="shared" ref="X2253:X2260" si="1629">K2253*(V2253-U2253)</f>
        <v>160.00000000000014</v>
      </c>
      <c r="Y2253" s="40">
        <f t="shared" ref="Y2253:Y2260" si="1630">W2253/O2253</f>
        <v>2.4728322147651097E-2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6.03</v>
      </c>
      <c r="V2254" s="30">
        <f>IF(ISNA(VLOOKUP(LOWER(F2254)&amp;H2254,Prices!A:C,2,0)),0,VLOOKUP(LOWER(F2254)&amp;H2254,Prices!A:C,2,0))</f>
        <v>6.11</v>
      </c>
      <c r="W2254" s="18">
        <f t="shared" si="1628"/>
        <v>215.79668000000041</v>
      </c>
      <c r="X2254" s="30">
        <f t="shared" si="1629"/>
        <v>136.00000000000011</v>
      </c>
      <c r="Y2254" s="40">
        <f t="shared" si="1630"/>
        <v>2.1227294904583947E-2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31.51</v>
      </c>
      <c r="V2255" s="30">
        <f>IF(ISNA(VLOOKUP(LOWER(F2255)&amp;H2255,Prices!A:C,2,0)),0,VLOOKUP(LOWER(F2255)&amp;H2255,Prices!A:C,2,0))</f>
        <v>31.2</v>
      </c>
      <c r="W2255" s="18">
        <f t="shared" si="1628"/>
        <v>660.82611999999938</v>
      </c>
      <c r="X2255" s="30">
        <f t="shared" si="1629"/>
        <v>-93.000000000000682</v>
      </c>
      <c r="Y2255" s="40">
        <f t="shared" si="1630"/>
        <v>7.6009445594662911E-2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67.72</v>
      </c>
      <c r="V2256" s="30">
        <f>IF(ISNA(VLOOKUP(LOWER(F2256)&amp;H2256,Prices!A:C,2,0)),0,VLOOKUP(LOWER(F2256)&amp;H2256,Prices!A:C,2,0))</f>
        <v>68.92</v>
      </c>
      <c r="W2256" s="18">
        <f t="shared" si="1628"/>
        <v>-44.138619999999662</v>
      </c>
      <c r="X2256" s="30">
        <f t="shared" si="1629"/>
        <v>120.00000000000028</v>
      </c>
      <c r="Y2256" s="40">
        <f t="shared" si="1630"/>
        <v>-6.368290290001394E-3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55.5</v>
      </c>
      <c r="V2257" s="30">
        <f>IF(ISNA(VLOOKUP(LOWER(F2257)&amp;H2257,Prices!A:C,2,0)),0,VLOOKUP(LOWER(F2257)&amp;H2257,Prices!A:C,2,0))</f>
        <v>55.89</v>
      </c>
      <c r="W2257" s="18">
        <f t="shared" si="1628"/>
        <v>1112.9999999999995</v>
      </c>
      <c r="X2257" s="30">
        <f t="shared" si="1629"/>
        <v>78.000000000000114</v>
      </c>
      <c r="Y2257" s="40">
        <f t="shared" si="1630"/>
        <v>0.11063618290258445</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67.72</v>
      </c>
      <c r="V2258" s="30">
        <f>IF(ISNA(VLOOKUP(LOWER(F2258)&amp;H2258,Prices!A:C,2,0)),0,VLOOKUP(LOWER(F2258)&amp;H2258,Prices!A:C,2,0))</f>
        <v>68.92</v>
      </c>
      <c r="W2258" s="18">
        <f t="shared" si="1628"/>
        <v>-223.28004000000021</v>
      </c>
      <c r="X2258" s="30">
        <f t="shared" si="1629"/>
        <v>240.00000000000057</v>
      </c>
      <c r="Y2258" s="40">
        <f t="shared" si="1630"/>
        <v>-1.5946296243393814E-2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31.51</v>
      </c>
      <c r="V2259" s="30">
        <f>IF(ISNA(VLOOKUP(LOWER(F2259)&amp;H2259,Prices!A:C,2,0)),0,VLOOKUP(LOWER(F2259)&amp;H2259,Prices!A:C,2,0))</f>
        <v>31.2</v>
      </c>
      <c r="W2259" s="18">
        <f t="shared" si="1628"/>
        <v>698.76447999999982</v>
      </c>
      <c r="X2259" s="30">
        <f t="shared" si="1629"/>
        <v>-124.00000000000091</v>
      </c>
      <c r="Y2259" s="40">
        <f t="shared" si="1630"/>
        <v>5.9338016304347811E-2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53.65</v>
      </c>
      <c r="V2260" s="30">
        <f>IF(ISNA(VLOOKUP(LOWER(F2260)&amp;H2260,Prices!A:C,2,0)),0,VLOOKUP(LOWER(F2260)&amp;H2260,Prices!A:C,2,0))</f>
        <v>54.62</v>
      </c>
      <c r="W2260" s="18">
        <f t="shared" si="1628"/>
        <v>730.99999999999886</v>
      </c>
      <c r="X2260" s="30">
        <f t="shared" si="1629"/>
        <v>193.99999999999977</v>
      </c>
      <c r="Y2260" s="40">
        <f t="shared" si="1630"/>
        <v>7.1751079701609627E-2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6.03</v>
      </c>
      <c r="V2261" s="30">
        <f>IF(ISNA(VLOOKUP(LOWER(F2261)&amp;H2261,Prices!A:C,2,0)),0,VLOOKUP(LOWER(F2261)&amp;H2261,Prices!A:C,2,0))</f>
        <v>6.11</v>
      </c>
      <c r="W2261" s="18">
        <f t="shared" ref="W2261:W2262" si="1638">IF(I2261="B",(V2261+T2261)*K2261,(V2261+T2261)*K2261)</f>
        <v>574.76720000000012</v>
      </c>
      <c r="X2261" s="30">
        <f t="shared" ref="X2261:X2262" si="1639">K2261*(V2261-U2261)</f>
        <v>160.00000000000014</v>
      </c>
      <c r="Y2261" s="40">
        <f t="shared" ref="Y2261:Y2262" si="1640">W2261/O2261</f>
        <v>4.9378625429553277E-2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6.03</v>
      </c>
      <c r="V2262" s="30">
        <f>IF(ISNA(VLOOKUP(LOWER(F2262)&amp;H2262,Prices!A:C,2,0)),0,VLOOKUP(LOWER(F2262)&amp;H2262,Prices!A:C,2,0))</f>
        <v>6.11</v>
      </c>
      <c r="W2262" s="18">
        <f t="shared" si="1638"/>
        <v>454.76480000000129</v>
      </c>
      <c r="X2262" s="30">
        <f t="shared" si="1639"/>
        <v>160.00000000000014</v>
      </c>
      <c r="Y2262" s="40">
        <f t="shared" si="1640"/>
        <v>3.8670476190476297E-2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67.72</v>
      </c>
      <c r="V2263" s="30">
        <f>IF(ISNA(VLOOKUP(LOWER(F2263)&amp;H2263,Prices!A:C,2,0)),0,VLOOKUP(LOWER(F2263)&amp;H2263,Prices!A:C,2,0))</f>
        <v>68.92</v>
      </c>
      <c r="W2263" s="18">
        <f t="shared" ref="W2263:W2265" si="1648">IF(I2263="B",(V2263+T2263)*K2263,(V2263+T2263)*K2263)</f>
        <v>-91.277399999998465</v>
      </c>
      <c r="X2263" s="30">
        <f t="shared" ref="X2263:X2265" si="1649">K2263*(V2263-U2263)</f>
        <v>240.00000000000057</v>
      </c>
      <c r="Y2263" s="40">
        <f t="shared" ref="Y2263:Y2265" si="1650">W2263/O2263</f>
        <v>-6.5809228550828026E-3</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67.72</v>
      </c>
      <c r="V2264" s="30">
        <f>IF(ISNA(VLOOKUP(LOWER(F2264)&amp;H2264,Prices!A:C,2,0)),0,VLOOKUP(LOWER(F2264)&amp;H2264,Prices!A:C,2,0))</f>
        <v>68.92</v>
      </c>
      <c r="W2264" s="18">
        <f t="shared" si="1648"/>
        <v>-207.2797200000025</v>
      </c>
      <c r="X2264" s="30">
        <f t="shared" si="1649"/>
        <v>240.00000000000057</v>
      </c>
      <c r="Y2264" s="40">
        <f t="shared" si="1650"/>
        <v>-1.4820514800514977E-2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51.94</v>
      </c>
      <c r="V2265" s="30">
        <f>IF(ISNA(VLOOKUP(LOWER(F2265)&amp;H2265,Prices!A:C,2,0)),0,VLOOKUP(LOWER(F2265)&amp;H2265,Prices!A:C,2,0))</f>
        <v>53.53</v>
      </c>
      <c r="W2265" s="18">
        <f t="shared" si="1648"/>
        <v>-9.2141999999995505</v>
      </c>
      <c r="X2265" s="30">
        <f t="shared" si="1649"/>
        <v>318.00000000000068</v>
      </c>
      <c r="Y2265" s="40">
        <f t="shared" si="1650"/>
        <v>-8.6033613445373955E-4</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51.94</v>
      </c>
      <c r="V2266" s="30">
        <f>IF(ISNA(VLOOKUP(LOWER(F2266)&amp;H2266,Prices!A:C,2,0)),0,VLOOKUP(LOWER(F2266)&amp;H2266,Prices!A:C,2,0))</f>
        <v>53.53</v>
      </c>
      <c r="W2266" s="18">
        <f t="shared" ref="W2266:W2274" si="1658">IF(I2266="B",(V2266+T2266)*K2266,(V2266+T2266)*K2266)</f>
        <v>146.89598000000004</v>
      </c>
      <c r="X2266" s="30">
        <f t="shared" ref="X2266:X2274" si="1659">K2266*(V2266-U2266)</f>
        <v>159.00000000000034</v>
      </c>
      <c r="Y2266" s="40">
        <f t="shared" ref="Y2266:Y2274" si="1660">W2266/O2266</f>
        <v>2.8243795423956938E-2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75.27</v>
      </c>
      <c r="V2267" s="30">
        <f>IF(ISNA(VLOOKUP(LOWER(F2267)&amp;H2267,Prices!A:C,2,0)),0,VLOOKUP(LOWER(F2267)&amp;H2267,Prices!A:C,2,0))</f>
        <v>75.709999999999994</v>
      </c>
      <c r="W2267" s="18">
        <f t="shared" si="1658"/>
        <v>696.86261999999886</v>
      </c>
      <c r="X2267" s="30">
        <f t="shared" si="1659"/>
        <v>43.999999999999773</v>
      </c>
      <c r="Y2267" s="40">
        <f t="shared" si="1660"/>
        <v>0.10145037414470794</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38.53</v>
      </c>
      <c r="V2268" s="30">
        <f>IF(ISNA(VLOOKUP(LOWER(F2268)&amp;H2268,Prices!A:C,2,0)),0,VLOOKUP(LOWER(F2268)&amp;H2268,Prices!A:C,2,0))</f>
        <v>41.01</v>
      </c>
      <c r="W2268" s="18">
        <f t="shared" si="1658"/>
        <v>740.85087999999928</v>
      </c>
      <c r="X2268" s="30">
        <f t="shared" si="1659"/>
        <v>495.99999999999937</v>
      </c>
      <c r="Y2268" s="40">
        <f t="shared" si="1660"/>
        <v>9.9363047210300329E-2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55.5</v>
      </c>
      <c r="V2269" s="30">
        <f>IF(ISNA(VLOOKUP(LOWER(F2269)&amp;H2269,Prices!A:C,2,0)),0,VLOOKUP(LOWER(F2269)&amp;H2269,Prices!A:C,2,0))</f>
        <v>55.89</v>
      </c>
      <c r="W2269" s="18">
        <f t="shared" si="1658"/>
        <v>78.999999999999915</v>
      </c>
      <c r="X2269" s="30">
        <f t="shared" si="1659"/>
        <v>39.000000000000057</v>
      </c>
      <c r="Y2269" s="40">
        <f t="shared" si="1660"/>
        <v>1.4350590372388722E-2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55.5</v>
      </c>
      <c r="V2270" s="30">
        <f>IF(ISNA(VLOOKUP(LOWER(F2270)&amp;H2270,Prices!A:C,2,0)),0,VLOOKUP(LOWER(F2270)&amp;H2270,Prices!A:C,2,0))</f>
        <v>55.89</v>
      </c>
      <c r="W2270" s="18">
        <f t="shared" si="1658"/>
        <v>16.000000000000369</v>
      </c>
      <c r="X2270" s="30">
        <f t="shared" si="1659"/>
        <v>39.000000000000057</v>
      </c>
      <c r="Y2270" s="40">
        <f t="shared" si="1660"/>
        <v>2.8735632183908709E-3</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39.799999999999997</v>
      </c>
      <c r="V2271" s="30">
        <f>IF(ISNA(VLOOKUP(LOWER(F2271)&amp;H2271,Prices!A:C,2,0)),0,VLOOKUP(LOWER(F2271)&amp;H2271,Prices!A:C,2,0))</f>
        <v>41.55</v>
      </c>
      <c r="W2271" s="18">
        <f t="shared" si="1658"/>
        <v>373.0000000000004</v>
      </c>
      <c r="X2271" s="30">
        <f t="shared" si="1659"/>
        <v>350</v>
      </c>
      <c r="Y2271" s="40">
        <f t="shared" si="1660"/>
        <v>4.7024710035300107E-2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39.799999999999997</v>
      </c>
      <c r="V2272" s="30">
        <f>IF(ISNA(VLOOKUP(LOWER(F2272)&amp;H2272,Prices!A:C,2,0)),0,VLOOKUP(LOWER(F2272)&amp;H2272,Prices!A:C,2,0))</f>
        <v>41.55</v>
      </c>
      <c r="W2272" s="18">
        <f t="shared" si="1658"/>
        <v>304.99999999999972</v>
      </c>
      <c r="X2272" s="30">
        <f t="shared" si="1659"/>
        <v>350</v>
      </c>
      <c r="Y2272" s="40">
        <f t="shared" si="1660"/>
        <v>3.8124999999999964E-2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39.799999999999997</v>
      </c>
      <c r="V2273" s="30">
        <f>IF(ISNA(VLOOKUP(LOWER(F2273)&amp;H2273,Prices!A:C,2,0)),0,VLOOKUP(LOWER(F2273)&amp;H2273,Prices!A:C,2,0))</f>
        <v>41.55</v>
      </c>
      <c r="W2273" s="18">
        <f t="shared" si="1658"/>
        <v>184.99999999999943</v>
      </c>
      <c r="X2273" s="30">
        <f t="shared" si="1659"/>
        <v>350</v>
      </c>
      <c r="Y2273" s="40">
        <f t="shared" si="1660"/>
        <v>2.2783251231527024E-2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67.72</v>
      </c>
      <c r="V2274" s="30">
        <f>IF(ISNA(VLOOKUP(LOWER(F2274)&amp;H2274,Prices!A:C,2,0)),0,VLOOKUP(LOWER(F2274)&amp;H2274,Prices!A:C,2,0))</f>
        <v>68.92</v>
      </c>
      <c r="W2274" s="18">
        <f t="shared" si="1658"/>
        <v>542.73527999999942</v>
      </c>
      <c r="X2274" s="30">
        <f t="shared" si="1659"/>
        <v>240.00000000000057</v>
      </c>
      <c r="Y2274" s="40">
        <f t="shared" si="1660"/>
        <v>4.1004478694469576E-2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9" si="1661">K2275*M2275</f>
        <v>11496</v>
      </c>
      <c r="O2275" s="30">
        <f t="shared" ref="O2275:O2289" si="1662">ABS(N2275)</f>
        <v>11496</v>
      </c>
      <c r="P2275" s="18">
        <f t="shared" ref="P2275:P2289" si="1663">IF(H2275="510050",0,IF(F2275="SZ",0,ABS(N2275*0.2%%)))</f>
        <v>0.22992000000000001</v>
      </c>
      <c r="Q2275" s="18">
        <f t="shared" ref="Q2275:Q2289" si="1664">IF(I2275&lt;&gt;"D",IF(C2275="Stock",MAX(ABS(N2275*0.0002),5),MAX(ABS(N2275*0.0003),5)),0)</f>
        <v>5</v>
      </c>
      <c r="R2275" s="30">
        <f t="shared" ref="R2275:R2289" si="1665">IF(H2275="510050",0,ROUND(IF(OR(I2275="B",I2275="D"),0,ABS(N2275*0.001)),2))</f>
        <v>0</v>
      </c>
      <c r="S2275" s="18">
        <f t="shared" ref="S2275:S2289" si="1666">-(N2275+P2275+Q2275+R2275)</f>
        <v>-11501.22992</v>
      </c>
      <c r="T2275" s="30">
        <f t="shared" ref="T2275:T2289" si="1667">S2275/K2275</f>
        <v>-38.337433066666669</v>
      </c>
      <c r="U2275" s="30">
        <f>IF(ISNA(VLOOKUP(LOWER(F2275)&amp;H2275,Prices!A:C,3,0)),0,VLOOKUP(LOWER(F2275)&amp;H2275,Prices!A:C,3,0))</f>
        <v>38.53</v>
      </c>
      <c r="V2275" s="30">
        <f>IF(ISNA(VLOOKUP(LOWER(F2275)&amp;H2275,Prices!A:C,2,0)),0,VLOOKUP(LOWER(F2275)&amp;H2275,Prices!A:C,2,0))</f>
        <v>41.01</v>
      </c>
      <c r="W2275" s="18">
        <f t="shared" ref="W2275:W2289" si="1668">IF(I2275="B",(V2275+T2275)*K2275,(V2275+T2275)*K2275)</f>
        <v>801.77007999999864</v>
      </c>
      <c r="X2275" s="30">
        <f t="shared" ref="X2275:X2289" si="1669">K2275*(V2275-U2275)</f>
        <v>743.99999999999909</v>
      </c>
      <c r="Y2275" s="40">
        <f t="shared" ref="Y2275:Y2289" si="1670">W2275/O2275</f>
        <v>6.9743395963813376E-2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36.049999999999997</v>
      </c>
      <c r="V2276" s="30">
        <f>IF(ISNA(VLOOKUP(LOWER(F2276)&amp;H2276,Prices!A:C,2,0)),0,VLOOKUP(LOWER(F2276)&amp;H2276,Prices!A:C,2,0))</f>
        <v>39.25</v>
      </c>
      <c r="W2276" s="18">
        <f t="shared" si="1668"/>
        <v>888.99999999999727</v>
      </c>
      <c r="X2276" s="30">
        <f t="shared" si="1669"/>
        <v>960.00000000000091</v>
      </c>
      <c r="Y2276" s="40">
        <f t="shared" si="1670"/>
        <v>8.1702049443984667E-2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9.59</v>
      </c>
      <c r="V2277" s="30">
        <f>IF(ISNA(VLOOKUP(LOWER(F2277)&amp;H2277,Prices!A:C,2,0)),0,VLOOKUP(LOWER(F2277)&amp;H2277,Prices!A:C,2,0))</f>
        <v>9.8000000000000007</v>
      </c>
      <c r="W2277" s="18">
        <f t="shared" si="1668"/>
        <v>194.80800000000187</v>
      </c>
      <c r="X2277" s="30">
        <f t="shared" si="1669"/>
        <v>210.00000000000085</v>
      </c>
      <c r="Y2277" s="40">
        <f t="shared" si="1670"/>
        <v>2.0292500000000196E-2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36.78</v>
      </c>
      <c r="V2278" s="30">
        <f>IF(ISNA(VLOOKUP(LOWER(F2278)&amp;H2278,Prices!A:C,2,0)),0,VLOOKUP(LOWER(F2278)&amp;H2278,Prices!A:C,2,0))</f>
        <v>38.71</v>
      </c>
      <c r="W2278" s="18">
        <f t="shared" si="1668"/>
        <v>218.6948000000001</v>
      </c>
      <c r="X2278" s="30">
        <f t="shared" si="1669"/>
        <v>771.99999999999989</v>
      </c>
      <c r="Y2278" s="40">
        <f t="shared" si="1670"/>
        <v>1.4331245085190045E-2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53.65</v>
      </c>
      <c r="V2279" s="30">
        <f>IF(ISNA(VLOOKUP(LOWER(F2279)&amp;H2279,Prices!A:C,2,0)),0,VLOOKUP(LOWER(F2279)&amp;H2279,Prices!A:C,2,0))</f>
        <v>54.62</v>
      </c>
      <c r="W2279" s="18">
        <f t="shared" si="1668"/>
        <v>-298.58000000000118</v>
      </c>
      <c r="X2279" s="30">
        <f t="shared" si="1669"/>
        <v>-387.99999999999955</v>
      </c>
      <c r="Y2279" s="40">
        <f t="shared" si="1670"/>
        <v>-1.383852428624403E-2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19.260000000000002</v>
      </c>
      <c r="V2280" s="30">
        <f>IF(ISNA(VLOOKUP(LOWER(F2280)&amp;H2280,Prices!A:C,2,0)),0,VLOOKUP(LOWER(F2280)&amp;H2280,Prices!A:C,2,0))</f>
        <v>19.05</v>
      </c>
      <c r="W2280" s="18">
        <f t="shared" si="1668"/>
        <v>-41.115020000001223</v>
      </c>
      <c r="X2280" s="30">
        <f t="shared" si="1669"/>
        <v>-63.000000000000256</v>
      </c>
      <c r="Y2280" s="40">
        <f t="shared" si="1670"/>
        <v>-7.1491949226223641E-3</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195.51</v>
      </c>
      <c r="V2281" s="30">
        <f>IF(ISNA(VLOOKUP(LOWER(F2281)&amp;H2281,Prices!A:C,2,0)),0,VLOOKUP(LOWER(F2281)&amp;H2281,Prices!A:C,2,0))</f>
        <v>214.09</v>
      </c>
      <c r="W2281" s="18">
        <f t="shared" si="1668"/>
        <v>1084.0000000000005</v>
      </c>
      <c r="X2281" s="30">
        <f t="shared" si="1669"/>
        <v>1858.0000000000014</v>
      </c>
      <c r="Y2281" s="40">
        <f t="shared" si="1670"/>
        <v>5.3346456692913408E-2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36.049999999999997</v>
      </c>
      <c r="V2282" s="30">
        <f>IF(ISNA(VLOOKUP(LOWER(F2282)&amp;H2282,Prices!A:C,2,0)),0,VLOOKUP(LOWER(F2282)&amp;H2282,Prices!A:C,2,0))</f>
        <v>39.25</v>
      </c>
      <c r="W2282" s="18">
        <f t="shared" si="1668"/>
        <v>694.99999999999886</v>
      </c>
      <c r="X2282" s="30">
        <f t="shared" si="1669"/>
        <v>1280.0000000000011</v>
      </c>
      <c r="Y2282" s="40">
        <f t="shared" si="1670"/>
        <v>4.6333333333333254E-2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34.869999999999997</v>
      </c>
      <c r="V2283" s="30">
        <f>IF(ISNA(VLOOKUP(LOWER(F2283)&amp;H2283,Prices!A:C,2,0)),0,VLOOKUP(LOWER(F2283)&amp;H2283,Prices!A:C,2,0))</f>
        <v>34.090000000000003</v>
      </c>
      <c r="W2283" s="18">
        <f t="shared" si="1668"/>
        <v>-400.34879999999976</v>
      </c>
      <c r="X2283" s="30">
        <f t="shared" si="1669"/>
        <v>-389.99999999999704</v>
      </c>
      <c r="Y2283" s="40">
        <f t="shared" si="1670"/>
        <v>-2.2955779816513748E-2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51.94</v>
      </c>
      <c r="V2284" s="30">
        <f>IF(ISNA(VLOOKUP(LOWER(F2284)&amp;H2284,Prices!A:C,2,0)),0,VLOOKUP(LOWER(F2284)&amp;H2284,Prices!A:C,2,0))</f>
        <v>53.53</v>
      </c>
      <c r="W2284" s="18">
        <f t="shared" si="1668"/>
        <v>-891.67728000000682</v>
      </c>
      <c r="X2284" s="30">
        <f t="shared" si="1669"/>
        <v>-1113.0000000000023</v>
      </c>
      <c r="Y2284" s="40">
        <f t="shared" si="1670"/>
        <v>-2.4346802096985771E-2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55.5</v>
      </c>
      <c r="V2285" s="30">
        <f>IF(ISNA(VLOOKUP(LOWER(F2285)&amp;H2285,Prices!A:C,2,0)),0,VLOOKUP(LOWER(F2285)&amp;H2285,Prices!A:C,2,0))</f>
        <v>55.89</v>
      </c>
      <c r="W2285" s="18">
        <f t="shared" si="1668"/>
        <v>-211.99999999999903</v>
      </c>
      <c r="X2285" s="30">
        <f t="shared" si="1669"/>
        <v>117.00000000000017</v>
      </c>
      <c r="Y2285" s="40">
        <f t="shared" si="1670"/>
        <v>-1.2489690114292391E-2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9.59</v>
      </c>
      <c r="V2286" s="30">
        <f>IF(ISNA(VLOOKUP(LOWER(F2286)&amp;H2286,Prices!A:C,2,0)),0,VLOOKUP(LOWER(F2286)&amp;H2286,Prices!A:C,2,0))</f>
        <v>9.8000000000000007</v>
      </c>
      <c r="W2286" s="18">
        <f t="shared" si="1668"/>
        <v>114.61040000000366</v>
      </c>
      <c r="X2286" s="30">
        <f t="shared" si="1669"/>
        <v>420.00000000000171</v>
      </c>
      <c r="Y2286" s="40">
        <f t="shared" si="1670"/>
        <v>5.8834907597537815E-3</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16.29</v>
      </c>
      <c r="V2287" s="30">
        <f>IF(ISNA(VLOOKUP(LOWER(F2287)&amp;H2287,Prices!A:C,2,0)),0,VLOOKUP(LOWER(F2287)&amp;H2287,Prices!A:C,2,0))</f>
        <v>16.59</v>
      </c>
      <c r="W2287" s="18">
        <f t="shared" si="1668"/>
        <v>-704.4712800000035</v>
      </c>
      <c r="X2287" s="30">
        <f t="shared" si="1669"/>
        <v>-1260.000000000003</v>
      </c>
      <c r="Y2287" s="40">
        <f t="shared" si="1670"/>
        <v>-1.0201390168036614E-2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29.64</v>
      </c>
      <c r="V2288" s="30">
        <f>IF(ISNA(VLOOKUP(LOWER(F2288)&amp;H2288,Prices!A:C,2,0)),0,VLOOKUP(LOWER(F2288)&amp;H2288,Prices!A:C,2,0))</f>
        <v>30.42</v>
      </c>
      <c r="W2288" s="18">
        <f t="shared" si="1668"/>
        <v>-437.77432000000613</v>
      </c>
      <c r="X2288" s="30">
        <f t="shared" si="1669"/>
        <v>-1014.0000000000015</v>
      </c>
      <c r="Y2288" s="40">
        <f t="shared" si="1670"/>
        <v>-1.11802615180306E-2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si="1661"/>
        <v>-23355</v>
      </c>
      <c r="O2289" s="30">
        <f t="shared" si="1662"/>
        <v>23355</v>
      </c>
      <c r="P2289" s="18">
        <f t="shared" si="1663"/>
        <v>0.46710000000000002</v>
      </c>
      <c r="Q2289" s="18">
        <f t="shared" si="1664"/>
        <v>5</v>
      </c>
      <c r="R2289" s="30">
        <f t="shared" si="1665"/>
        <v>23.36</v>
      </c>
      <c r="S2289" s="18">
        <f t="shared" si="1666"/>
        <v>23326.172899999998</v>
      </c>
      <c r="T2289" s="30">
        <f t="shared" si="1667"/>
        <v>-25.917969888888887</v>
      </c>
      <c r="U2289" s="30">
        <f>IF(ISNA(VLOOKUP(LOWER(F2289)&amp;H2289,Prices!A:C,3,0)),0,VLOOKUP(LOWER(F2289)&amp;H2289,Prices!A:C,3,0))</f>
        <v>25.86</v>
      </c>
      <c r="V2289" s="30">
        <f>IF(ISNA(VLOOKUP(LOWER(F2289)&amp;H2289,Prices!A:C,2,0)),0,VLOOKUP(LOWER(F2289)&amp;H2289,Prices!A:C,2,0))</f>
        <v>24.82</v>
      </c>
      <c r="W2289" s="18">
        <f t="shared" si="1668"/>
        <v>988.17289999999821</v>
      </c>
      <c r="X2289" s="30">
        <f t="shared" si="1669"/>
        <v>935.9999999999992</v>
      </c>
      <c r="Y2289" s="40">
        <f t="shared" si="1670"/>
        <v>4.2310978377221073E-2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12" sqref="F12"/>
    </sheetView>
  </sheetViews>
  <sheetFormatPr defaultRowHeight="13.5" x14ac:dyDescent="0.15"/>
  <sheetData>
    <row r="1" spans="1:3" x14ac:dyDescent="0.15">
      <c r="A1" t="s">
        <v>4403</v>
      </c>
      <c r="B1" t="s">
        <v>4404</v>
      </c>
      <c r="C1" t="s">
        <v>4405</v>
      </c>
    </row>
    <row r="2" spans="1:3" x14ac:dyDescent="0.15">
      <c r="A2" s="30" t="s">
        <v>868</v>
      </c>
      <c r="B2" s="30">
        <v>22.3</v>
      </c>
      <c r="C2" s="30">
        <v>22.57</v>
      </c>
    </row>
    <row r="3" spans="1:3" x14ac:dyDescent="0.15">
      <c r="A3" s="30" t="s">
        <v>4447</v>
      </c>
      <c r="B3" s="30">
        <v>31.29</v>
      </c>
      <c r="C3" s="30">
        <v>31.01</v>
      </c>
    </row>
    <row r="4" spans="1:3" x14ac:dyDescent="0.15">
      <c r="A4" s="30" t="s">
        <v>311</v>
      </c>
      <c r="B4" s="30">
        <v>23.2</v>
      </c>
      <c r="C4" s="30">
        <v>22.51</v>
      </c>
    </row>
    <row r="5" spans="1:3" x14ac:dyDescent="0.15">
      <c r="A5" s="30" t="s">
        <v>2762</v>
      </c>
      <c r="B5" s="30">
        <v>20.61</v>
      </c>
      <c r="C5" s="30">
        <v>20.11</v>
      </c>
    </row>
    <row r="6" spans="1:3" x14ac:dyDescent="0.15">
      <c r="A6" s="30" t="s">
        <v>3238</v>
      </c>
      <c r="B6" s="30">
        <v>10.220000000000001</v>
      </c>
      <c r="C6" s="30">
        <v>10.17</v>
      </c>
    </row>
    <row r="7" spans="1:3" x14ac:dyDescent="0.15">
      <c r="A7" s="30" t="s">
        <v>2738</v>
      </c>
      <c r="B7" s="30">
        <v>11.79</v>
      </c>
      <c r="C7" s="30">
        <v>11.5</v>
      </c>
    </row>
    <row r="8" spans="1:3" x14ac:dyDescent="0.15">
      <c r="A8" s="30" t="s">
        <v>764</v>
      </c>
      <c r="B8" s="30">
        <v>7.37</v>
      </c>
      <c r="C8" s="30">
        <v>7.14</v>
      </c>
    </row>
    <row r="9" spans="1:3" x14ac:dyDescent="0.15">
      <c r="A9" s="30" t="s">
        <v>970</v>
      </c>
      <c r="B9" s="30">
        <v>12.74</v>
      </c>
      <c r="C9" s="30">
        <v>12.86</v>
      </c>
    </row>
    <row r="10" spans="1:3" x14ac:dyDescent="0.15">
      <c r="A10" s="30" t="s">
        <v>513</v>
      </c>
      <c r="B10" s="30">
        <v>40.049999999999997</v>
      </c>
      <c r="C10" s="30">
        <v>37.520000000000003</v>
      </c>
    </row>
    <row r="11" spans="1:3" x14ac:dyDescent="0.15">
      <c r="A11" s="30" t="s">
        <v>554</v>
      </c>
      <c r="B11" s="30">
        <v>6.09</v>
      </c>
      <c r="C11" s="30">
        <v>6.13</v>
      </c>
    </row>
    <row r="12" spans="1:3" x14ac:dyDescent="0.15">
      <c r="A12" s="30" t="s">
        <v>4448</v>
      </c>
      <c r="B12" s="30">
        <v>6.59</v>
      </c>
      <c r="C12" s="30">
        <v>6.69</v>
      </c>
    </row>
    <row r="13" spans="1:3" x14ac:dyDescent="0.15">
      <c r="A13" s="30" t="s">
        <v>750</v>
      </c>
      <c r="B13" s="30">
        <v>13.44</v>
      </c>
      <c r="C13" s="30">
        <v>13.59</v>
      </c>
    </row>
    <row r="14" spans="1:3" x14ac:dyDescent="0.15">
      <c r="A14" s="30" t="s">
        <v>644</v>
      </c>
      <c r="B14" s="30">
        <v>4.91</v>
      </c>
      <c r="C14" s="30">
        <v>4.93</v>
      </c>
    </row>
    <row r="15" spans="1:3" x14ac:dyDescent="0.15">
      <c r="A15" s="30" t="s">
        <v>960</v>
      </c>
      <c r="B15" s="30">
        <v>9.3800000000000008</v>
      </c>
      <c r="C15" s="30">
        <v>9.39</v>
      </c>
    </row>
    <row r="16" spans="1:3" x14ac:dyDescent="0.15">
      <c r="A16" s="30" t="s">
        <v>226</v>
      </c>
      <c r="B16" s="30">
        <v>29.14</v>
      </c>
      <c r="C16" s="30">
        <v>29.44</v>
      </c>
    </row>
    <row r="17" spans="1:3" x14ac:dyDescent="0.15">
      <c r="A17" s="30" t="s">
        <v>4449</v>
      </c>
      <c r="B17" s="30">
        <v>8.59</v>
      </c>
      <c r="C17" s="30">
        <v>8.24</v>
      </c>
    </row>
    <row r="18" spans="1:3" x14ac:dyDescent="0.15">
      <c r="A18" s="30" t="s">
        <v>766</v>
      </c>
      <c r="B18" s="30">
        <v>7.76</v>
      </c>
      <c r="C18" s="30">
        <v>7.7</v>
      </c>
    </row>
    <row r="19" spans="1:3" x14ac:dyDescent="0.15">
      <c r="A19" s="30" t="s">
        <v>4450</v>
      </c>
      <c r="B19" s="30">
        <v>23.03</v>
      </c>
      <c r="C19" s="30">
        <v>23.03</v>
      </c>
    </row>
    <row r="20" spans="1:3" x14ac:dyDescent="0.15">
      <c r="A20" s="30" t="s">
        <v>2750</v>
      </c>
      <c r="B20" s="30">
        <v>7.79</v>
      </c>
      <c r="C20" s="30">
        <v>7.67</v>
      </c>
    </row>
    <row r="21" spans="1:3" x14ac:dyDescent="0.15">
      <c r="A21" s="30" t="s">
        <v>952</v>
      </c>
      <c r="B21" s="30">
        <v>8.4499999999999993</v>
      </c>
      <c r="C21" s="30">
        <v>8.4700000000000006</v>
      </c>
    </row>
    <row r="22" spans="1:3" x14ac:dyDescent="0.15">
      <c r="A22" s="30" t="s">
        <v>3454</v>
      </c>
      <c r="B22" s="30">
        <v>3.87</v>
      </c>
      <c r="C22" s="30">
        <v>3.91</v>
      </c>
    </row>
    <row r="23" spans="1:3" x14ac:dyDescent="0.15">
      <c r="A23" s="30" t="s">
        <v>1032</v>
      </c>
      <c r="B23" s="30">
        <v>14.19</v>
      </c>
      <c r="C23" s="30">
        <v>14.46</v>
      </c>
    </row>
    <row r="24" spans="1:3" x14ac:dyDescent="0.15">
      <c r="A24" s="30" t="s">
        <v>650</v>
      </c>
      <c r="B24" s="30">
        <v>24.9</v>
      </c>
      <c r="C24" s="30">
        <v>23.61</v>
      </c>
    </row>
    <row r="25" spans="1:3" x14ac:dyDescent="0.15">
      <c r="A25" s="30" t="s">
        <v>3180</v>
      </c>
      <c r="B25" s="30">
        <v>9.94</v>
      </c>
      <c r="C25" s="30">
        <v>9.48</v>
      </c>
    </row>
    <row r="26" spans="1:3" x14ac:dyDescent="0.15">
      <c r="A26" s="30" t="s">
        <v>3490</v>
      </c>
      <c r="B26" s="30">
        <v>12</v>
      </c>
      <c r="C26" s="30">
        <v>12.49</v>
      </c>
    </row>
    <row r="27" spans="1:3" x14ac:dyDescent="0.15">
      <c r="A27" s="30" t="s">
        <v>550</v>
      </c>
      <c r="B27" s="30">
        <v>6.34</v>
      </c>
      <c r="C27" s="30">
        <v>6.29</v>
      </c>
    </row>
    <row r="28" spans="1:3" x14ac:dyDescent="0.15">
      <c r="A28" s="30" t="s">
        <v>277</v>
      </c>
      <c r="B28" s="30">
        <v>9.8000000000000007</v>
      </c>
      <c r="C28" s="30">
        <v>9.59</v>
      </c>
    </row>
    <row r="29" spans="1:3" x14ac:dyDescent="0.15">
      <c r="A29" s="30" t="s">
        <v>552</v>
      </c>
      <c r="B29" s="30">
        <v>7.12</v>
      </c>
      <c r="C29" s="30">
        <v>6.99</v>
      </c>
    </row>
    <row r="30" spans="1:3" x14ac:dyDescent="0.15">
      <c r="A30" s="30" t="s">
        <v>407</v>
      </c>
      <c r="B30" s="30">
        <v>7.24</v>
      </c>
      <c r="C30" s="30">
        <v>7.4</v>
      </c>
    </row>
    <row r="31" spans="1:3" x14ac:dyDescent="0.15">
      <c r="A31" s="30" t="s">
        <v>287</v>
      </c>
      <c r="B31" s="30">
        <v>25.11</v>
      </c>
      <c r="C31" s="30">
        <v>26.07</v>
      </c>
    </row>
    <row r="32" spans="1:3" x14ac:dyDescent="0.15">
      <c r="A32" s="30" t="s">
        <v>4451</v>
      </c>
      <c r="B32" s="30">
        <v>7.52</v>
      </c>
      <c r="C32" s="30">
        <v>7.67</v>
      </c>
    </row>
    <row r="33" spans="1:3" x14ac:dyDescent="0.15">
      <c r="A33" s="30" t="s">
        <v>4452</v>
      </c>
      <c r="B33" s="30">
        <v>17.82</v>
      </c>
      <c r="C33" s="30">
        <v>17.559999999999999</v>
      </c>
    </row>
    <row r="34" spans="1:3" x14ac:dyDescent="0.15">
      <c r="A34" s="30" t="s">
        <v>405</v>
      </c>
      <c r="B34" s="30">
        <v>33.19</v>
      </c>
      <c r="C34" s="30">
        <v>32.770000000000003</v>
      </c>
    </row>
    <row r="35" spans="1:3" x14ac:dyDescent="0.15">
      <c r="A35" s="30" t="s">
        <v>4453</v>
      </c>
      <c r="B35" s="30">
        <v>14.52</v>
      </c>
      <c r="C35" s="30">
        <v>14.89</v>
      </c>
    </row>
    <row r="36" spans="1:3" x14ac:dyDescent="0.15">
      <c r="A36" s="30" t="s">
        <v>4454</v>
      </c>
      <c r="B36" s="30">
        <v>7.97</v>
      </c>
      <c r="C36" s="30">
        <v>7.99</v>
      </c>
    </row>
    <row r="37" spans="1:3" x14ac:dyDescent="0.15">
      <c r="A37" s="30" t="s">
        <v>4455</v>
      </c>
      <c r="B37" s="30">
        <v>12.86</v>
      </c>
      <c r="C37" s="30">
        <v>13.1</v>
      </c>
    </row>
    <row r="38" spans="1:3" x14ac:dyDescent="0.15">
      <c r="A38" s="30" t="s">
        <v>4456</v>
      </c>
      <c r="B38" s="30">
        <v>16.55</v>
      </c>
      <c r="C38" s="30">
        <v>16.579999999999998</v>
      </c>
    </row>
    <row r="39" spans="1:3" x14ac:dyDescent="0.15">
      <c r="A39" s="30" t="s">
        <v>4457</v>
      </c>
      <c r="B39" s="30">
        <v>8.0299999999999994</v>
      </c>
      <c r="C39" s="30">
        <v>7.94</v>
      </c>
    </row>
    <row r="40" spans="1:3" x14ac:dyDescent="0.15">
      <c r="A40" s="30" t="s">
        <v>4458</v>
      </c>
      <c r="B40" s="30">
        <v>13.23</v>
      </c>
      <c r="C40" s="30">
        <v>13.48</v>
      </c>
    </row>
    <row r="41" spans="1:3" x14ac:dyDescent="0.15">
      <c r="A41" s="30" t="s">
        <v>3146</v>
      </c>
      <c r="B41" s="30">
        <v>12.68</v>
      </c>
      <c r="C41" s="30">
        <v>12.8</v>
      </c>
    </row>
    <row r="42" spans="1:3" x14ac:dyDescent="0.15">
      <c r="A42" s="30" t="s">
        <v>3492</v>
      </c>
      <c r="B42" s="30">
        <v>19.88</v>
      </c>
      <c r="C42" s="30">
        <v>19.09</v>
      </c>
    </row>
    <row r="43" spans="1:3" x14ac:dyDescent="0.15">
      <c r="A43" s="30" t="s">
        <v>3494</v>
      </c>
      <c r="B43" s="30">
        <v>12.21</v>
      </c>
      <c r="C43" s="30">
        <v>11.9</v>
      </c>
    </row>
    <row r="44" spans="1:3" x14ac:dyDescent="0.15">
      <c r="A44" s="30" t="s">
        <v>4459</v>
      </c>
      <c r="B44" s="30">
        <v>10.5</v>
      </c>
      <c r="C44" s="30">
        <v>10.5</v>
      </c>
    </row>
    <row r="45" spans="1:3" x14ac:dyDescent="0.15">
      <c r="A45" s="30" t="s">
        <v>162</v>
      </c>
      <c r="B45" s="30">
        <v>42.24</v>
      </c>
      <c r="C45" s="30">
        <v>41.4</v>
      </c>
    </row>
    <row r="46" spans="1:3" x14ac:dyDescent="0.15">
      <c r="A46" s="30" t="s">
        <v>3318</v>
      </c>
      <c r="B46" s="30">
        <v>5.2</v>
      </c>
      <c r="C46" s="30">
        <v>5.18</v>
      </c>
    </row>
    <row r="47" spans="1:3" x14ac:dyDescent="0.15">
      <c r="A47" s="30" t="s">
        <v>522</v>
      </c>
      <c r="B47" s="30">
        <v>17.62</v>
      </c>
      <c r="C47" s="30">
        <v>17.760000000000002</v>
      </c>
    </row>
    <row r="48" spans="1:3" x14ac:dyDescent="0.15">
      <c r="A48" s="30" t="s">
        <v>896</v>
      </c>
      <c r="B48" s="30">
        <v>34.69</v>
      </c>
      <c r="C48" s="30">
        <v>34.4</v>
      </c>
    </row>
    <row r="49" spans="1:3" x14ac:dyDescent="0.15">
      <c r="A49" s="30" t="s">
        <v>4460</v>
      </c>
      <c r="B49" s="30">
        <v>17.45</v>
      </c>
      <c r="C49" s="30">
        <v>17.28</v>
      </c>
    </row>
    <row r="50" spans="1:3" x14ac:dyDescent="0.15">
      <c r="A50" s="30" t="s">
        <v>3244</v>
      </c>
      <c r="B50" s="30">
        <v>42.65</v>
      </c>
      <c r="C50" s="30">
        <v>40</v>
      </c>
    </row>
    <row r="51" spans="1:3" x14ac:dyDescent="0.15">
      <c r="A51" s="30" t="s">
        <v>852</v>
      </c>
      <c r="B51" s="30">
        <v>10.19</v>
      </c>
      <c r="C51" s="30">
        <v>10.01</v>
      </c>
    </row>
    <row r="52" spans="1:3" x14ac:dyDescent="0.15">
      <c r="A52" s="30" t="s">
        <v>232</v>
      </c>
      <c r="B52" s="30">
        <v>43.47</v>
      </c>
      <c r="C52" s="30">
        <v>41.28</v>
      </c>
    </row>
    <row r="53" spans="1:3" x14ac:dyDescent="0.15">
      <c r="A53" s="30" t="s">
        <v>3380</v>
      </c>
      <c r="B53" s="30">
        <v>7.1</v>
      </c>
      <c r="C53" s="30">
        <v>6.96</v>
      </c>
    </row>
    <row r="54" spans="1:3" x14ac:dyDescent="0.15">
      <c r="A54" s="30" t="s">
        <v>3150</v>
      </c>
      <c r="B54" s="30">
        <v>8.26</v>
      </c>
      <c r="C54" s="30">
        <v>8.24</v>
      </c>
    </row>
    <row r="55" spans="1:3" x14ac:dyDescent="0.15">
      <c r="A55" s="30" t="s">
        <v>271</v>
      </c>
      <c r="B55" s="30">
        <v>27.55</v>
      </c>
      <c r="C55" s="30">
        <v>26.7</v>
      </c>
    </row>
    <row r="56" spans="1:3" x14ac:dyDescent="0.15">
      <c r="A56" s="30" t="s">
        <v>4461</v>
      </c>
      <c r="B56" s="30">
        <v>19.79</v>
      </c>
      <c r="C56" s="30">
        <v>18.899999999999999</v>
      </c>
    </row>
    <row r="57" spans="1:3" x14ac:dyDescent="0.15">
      <c r="A57" s="30" t="s">
        <v>441</v>
      </c>
      <c r="B57" s="30">
        <v>3.07</v>
      </c>
      <c r="C57" s="30">
        <v>3.06</v>
      </c>
    </row>
    <row r="58" spans="1:3" x14ac:dyDescent="0.15">
      <c r="A58" s="30" t="s">
        <v>3496</v>
      </c>
      <c r="B58" s="30">
        <v>13.91</v>
      </c>
      <c r="C58" s="30">
        <v>13.91</v>
      </c>
    </row>
    <row r="59" spans="1:3" x14ac:dyDescent="0.15">
      <c r="A59" s="30" t="s">
        <v>4462</v>
      </c>
      <c r="B59" s="30">
        <v>19.32</v>
      </c>
      <c r="C59" s="30">
        <v>18.920000000000002</v>
      </c>
    </row>
    <row r="60" spans="1:3" x14ac:dyDescent="0.15">
      <c r="A60" s="30" t="s">
        <v>198</v>
      </c>
      <c r="B60" s="30">
        <v>27.62</v>
      </c>
      <c r="C60" s="30">
        <v>27.38</v>
      </c>
    </row>
    <row r="61" spans="1:3" x14ac:dyDescent="0.15">
      <c r="A61" s="30" t="s">
        <v>3004</v>
      </c>
      <c r="B61" s="30">
        <v>16.12</v>
      </c>
      <c r="C61" s="30">
        <v>16.55</v>
      </c>
    </row>
    <row r="62" spans="1:3" x14ac:dyDescent="0.15">
      <c r="A62" s="30" t="s">
        <v>285</v>
      </c>
      <c r="B62" s="30">
        <v>9.31</v>
      </c>
      <c r="C62" s="30">
        <v>9.36</v>
      </c>
    </row>
    <row r="63" spans="1:3" x14ac:dyDescent="0.15">
      <c r="A63" s="30" t="s">
        <v>4463</v>
      </c>
      <c r="B63" s="30">
        <v>19.02</v>
      </c>
      <c r="C63" s="30">
        <v>19.3</v>
      </c>
    </row>
    <row r="64" spans="1:3" x14ac:dyDescent="0.15">
      <c r="A64" s="30" t="s">
        <v>4464</v>
      </c>
      <c r="B64" s="30">
        <v>17.559999999999999</v>
      </c>
      <c r="C64" s="30">
        <v>17.29</v>
      </c>
    </row>
    <row r="65" spans="1:3" x14ac:dyDescent="0.15">
      <c r="A65" s="30" t="s">
        <v>4465</v>
      </c>
      <c r="B65" s="30">
        <v>76.2</v>
      </c>
      <c r="C65" s="30">
        <v>77.2</v>
      </c>
    </row>
    <row r="66" spans="1:3" x14ac:dyDescent="0.15">
      <c r="A66" s="30" t="s">
        <v>3170</v>
      </c>
      <c r="B66" s="30">
        <v>14.43</v>
      </c>
      <c r="C66" s="30">
        <v>14.55</v>
      </c>
    </row>
    <row r="67" spans="1:3" x14ac:dyDescent="0.15">
      <c r="A67" s="30" t="s">
        <v>471</v>
      </c>
      <c r="B67" s="30">
        <v>24.15</v>
      </c>
      <c r="C67" s="30">
        <v>24.03</v>
      </c>
    </row>
    <row r="68" spans="1:3" x14ac:dyDescent="0.15">
      <c r="A68" s="30" t="s">
        <v>548</v>
      </c>
      <c r="B68" s="30">
        <v>13.36</v>
      </c>
      <c r="C68" s="30">
        <v>12.58</v>
      </c>
    </row>
    <row r="69" spans="1:3" x14ac:dyDescent="0.15">
      <c r="A69" s="30" t="s">
        <v>1042</v>
      </c>
      <c r="B69" s="30">
        <v>6.82</v>
      </c>
      <c r="C69" s="30">
        <v>6.32</v>
      </c>
    </row>
    <row r="70" spans="1:3" x14ac:dyDescent="0.15">
      <c r="A70" s="30" t="s">
        <v>646</v>
      </c>
      <c r="B70" s="30">
        <v>18.579999999999998</v>
      </c>
      <c r="C70" s="30">
        <v>17.899999999999999</v>
      </c>
    </row>
    <row r="71" spans="1:3" x14ac:dyDescent="0.15">
      <c r="A71" s="30" t="s">
        <v>2942</v>
      </c>
      <c r="B71" s="30">
        <v>33.090000000000003</v>
      </c>
      <c r="C71" s="30">
        <v>31.59</v>
      </c>
    </row>
    <row r="72" spans="1:3" x14ac:dyDescent="0.15">
      <c r="A72" s="30" t="s">
        <v>2970</v>
      </c>
      <c r="B72" s="30">
        <v>28.1</v>
      </c>
      <c r="C72" s="30">
        <v>28.5</v>
      </c>
    </row>
    <row r="73" spans="1:3" x14ac:dyDescent="0.15">
      <c r="A73" s="30" t="s">
        <v>467</v>
      </c>
      <c r="B73" s="30">
        <v>6.46</v>
      </c>
      <c r="C73" s="30">
        <v>6.48</v>
      </c>
    </row>
    <row r="74" spans="1:3" x14ac:dyDescent="0.15">
      <c r="A74" s="30" t="s">
        <v>716</v>
      </c>
      <c r="B74" s="30">
        <v>12.89</v>
      </c>
      <c r="C74" s="30">
        <v>12.84</v>
      </c>
    </row>
    <row r="75" spans="1:3" x14ac:dyDescent="0.15">
      <c r="A75" s="30" t="s">
        <v>4466</v>
      </c>
      <c r="B75" s="30">
        <v>24.54</v>
      </c>
      <c r="C75" s="30">
        <v>23.34</v>
      </c>
    </row>
    <row r="76" spans="1:3" x14ac:dyDescent="0.15">
      <c r="A76" s="30" t="s">
        <v>1012</v>
      </c>
      <c r="B76" s="30">
        <v>8.5500000000000007</v>
      </c>
      <c r="C76" s="30">
        <v>8.59</v>
      </c>
    </row>
    <row r="77" spans="1:3" x14ac:dyDescent="0.15">
      <c r="A77" s="30" t="s">
        <v>4467</v>
      </c>
      <c r="B77" s="30">
        <v>24.2</v>
      </c>
      <c r="C77" s="30">
        <v>23.3</v>
      </c>
    </row>
    <row r="78" spans="1:3" x14ac:dyDescent="0.15">
      <c r="A78" s="30" t="s">
        <v>3498</v>
      </c>
      <c r="B78" s="30">
        <v>8.48</v>
      </c>
      <c r="C78" s="30">
        <v>8.43</v>
      </c>
    </row>
    <row r="79" spans="1:3" x14ac:dyDescent="0.15">
      <c r="A79" s="30" t="s">
        <v>584</v>
      </c>
      <c r="B79" s="30">
        <v>6.64</v>
      </c>
      <c r="C79" s="30">
        <v>6.72</v>
      </c>
    </row>
    <row r="80" spans="1:3" x14ac:dyDescent="0.15">
      <c r="A80" s="30" t="s">
        <v>4468</v>
      </c>
      <c r="B80" s="30">
        <v>32.200000000000003</v>
      </c>
      <c r="C80" s="30">
        <v>30.7</v>
      </c>
    </row>
    <row r="81" spans="1:3" x14ac:dyDescent="0.15">
      <c r="A81" s="30" t="s">
        <v>4469</v>
      </c>
      <c r="B81" s="30">
        <v>14.99</v>
      </c>
      <c r="C81" s="30">
        <v>15.1</v>
      </c>
    </row>
    <row r="82" spans="1:3" x14ac:dyDescent="0.15">
      <c r="A82" s="30" t="s">
        <v>3054</v>
      </c>
      <c r="B82" s="30">
        <v>20.39</v>
      </c>
      <c r="C82" s="30">
        <v>19.71</v>
      </c>
    </row>
    <row r="83" spans="1:3" x14ac:dyDescent="0.15">
      <c r="A83" s="30" t="s">
        <v>1443</v>
      </c>
      <c r="B83" s="30">
        <v>3392.3987999999999</v>
      </c>
      <c r="C83" s="30">
        <v>3382.9074999999998</v>
      </c>
    </row>
    <row r="84" spans="1:3" x14ac:dyDescent="0.15">
      <c r="A84" s="30" t="s">
        <v>1004</v>
      </c>
      <c r="B84" s="30">
        <v>52.02</v>
      </c>
      <c r="C84" s="30">
        <v>53.5</v>
      </c>
    </row>
    <row r="85" spans="1:3" x14ac:dyDescent="0.15">
      <c r="A85" s="30" t="s">
        <v>2922</v>
      </c>
      <c r="B85" s="30">
        <v>23.97</v>
      </c>
      <c r="C85" s="30">
        <v>23.21</v>
      </c>
    </row>
    <row r="86" spans="1:3" x14ac:dyDescent="0.15">
      <c r="A86" s="30" t="s">
        <v>800</v>
      </c>
      <c r="B86" s="30">
        <v>26.54</v>
      </c>
      <c r="C86" s="30">
        <v>25.7</v>
      </c>
    </row>
    <row r="87" spans="1:3" x14ac:dyDescent="0.15">
      <c r="A87" s="30" t="s">
        <v>4470</v>
      </c>
      <c r="B87" s="30">
        <v>36.76</v>
      </c>
      <c r="C87" s="30">
        <v>35.71</v>
      </c>
    </row>
    <row r="88" spans="1:3" x14ac:dyDescent="0.15">
      <c r="A88" s="30" t="s">
        <v>984</v>
      </c>
      <c r="B88" s="30">
        <v>17.25</v>
      </c>
      <c r="C88" s="30">
        <v>16.579999999999998</v>
      </c>
    </row>
    <row r="89" spans="1:3" x14ac:dyDescent="0.15">
      <c r="A89" s="30" t="s">
        <v>4471</v>
      </c>
      <c r="B89" s="30">
        <v>6.65</v>
      </c>
      <c r="C89" s="30">
        <v>6.27</v>
      </c>
    </row>
    <row r="90" spans="1:3" x14ac:dyDescent="0.15">
      <c r="A90" s="30" t="s">
        <v>988</v>
      </c>
      <c r="B90" s="30">
        <v>4.18</v>
      </c>
      <c r="C90" s="30">
        <v>4.1900000000000004</v>
      </c>
    </row>
    <row r="91" spans="1:3" x14ac:dyDescent="0.15">
      <c r="A91" s="30" t="s">
        <v>293</v>
      </c>
      <c r="B91" s="30">
        <v>21.77</v>
      </c>
      <c r="C91" s="30">
        <v>21.32</v>
      </c>
    </row>
    <row r="92" spans="1:3" x14ac:dyDescent="0.15">
      <c r="A92" s="30" t="s">
        <v>4472</v>
      </c>
      <c r="B92" s="30">
        <v>14.45</v>
      </c>
      <c r="C92" s="30">
        <v>14.31</v>
      </c>
    </row>
    <row r="93" spans="1:3" x14ac:dyDescent="0.15">
      <c r="A93" s="30" t="s">
        <v>3288</v>
      </c>
      <c r="B93" s="30">
        <v>13.62</v>
      </c>
      <c r="C93" s="30">
        <v>13.96</v>
      </c>
    </row>
    <row r="94" spans="1:3" x14ac:dyDescent="0.15">
      <c r="A94" s="30" t="s">
        <v>194</v>
      </c>
      <c r="B94" s="30">
        <v>2.17</v>
      </c>
      <c r="C94" s="30">
        <v>2.17</v>
      </c>
    </row>
    <row r="95" spans="1:3" x14ac:dyDescent="0.15">
      <c r="A95" s="30" t="s">
        <v>836</v>
      </c>
      <c r="B95" s="30">
        <v>11.46</v>
      </c>
      <c r="C95" s="30">
        <v>11.46</v>
      </c>
    </row>
    <row r="96" spans="1:3" x14ac:dyDescent="0.15">
      <c r="A96" s="30" t="s">
        <v>976</v>
      </c>
      <c r="B96" s="30">
        <v>19.71</v>
      </c>
      <c r="C96" s="30">
        <v>19.38</v>
      </c>
    </row>
    <row r="97" spans="1:3" x14ac:dyDescent="0.15">
      <c r="A97" s="30" t="s">
        <v>848</v>
      </c>
      <c r="B97" s="30">
        <v>26.28</v>
      </c>
      <c r="C97" s="30">
        <v>26.44</v>
      </c>
    </row>
    <row r="98" spans="1:3" x14ac:dyDescent="0.15">
      <c r="A98" s="30" t="s">
        <v>1040</v>
      </c>
      <c r="B98" s="30">
        <v>7.97</v>
      </c>
      <c r="C98" s="30">
        <v>7.86</v>
      </c>
    </row>
    <row r="99" spans="1:3" x14ac:dyDescent="0.15">
      <c r="A99" s="30" t="s">
        <v>234</v>
      </c>
      <c r="B99" s="30">
        <v>8.1199999999999992</v>
      </c>
      <c r="C99" s="30">
        <v>8.09</v>
      </c>
    </row>
    <row r="100" spans="1:3" x14ac:dyDescent="0.15">
      <c r="A100" s="30" t="s">
        <v>1449</v>
      </c>
      <c r="B100" s="30">
        <v>2941.1532000000002</v>
      </c>
      <c r="C100" s="30">
        <v>2938.7982999999999</v>
      </c>
    </row>
    <row r="101" spans="1:3" x14ac:dyDescent="0.15">
      <c r="A101" s="30" t="s">
        <v>2814</v>
      </c>
      <c r="B101" s="30">
        <v>4.2</v>
      </c>
      <c r="C101" s="30">
        <v>4.1900000000000004</v>
      </c>
    </row>
    <row r="102" spans="1:3" x14ac:dyDescent="0.15">
      <c r="A102" s="30" t="s">
        <v>3500</v>
      </c>
      <c r="B102" s="30">
        <v>16.989999999999998</v>
      </c>
      <c r="C102" s="30">
        <v>16.989999999999998</v>
      </c>
    </row>
    <row r="103" spans="1:3" x14ac:dyDescent="0.15">
      <c r="A103" s="30" t="s">
        <v>1463</v>
      </c>
      <c r="B103" s="30">
        <v>3.86</v>
      </c>
      <c r="C103" s="30">
        <v>3.6850000000000001</v>
      </c>
    </row>
    <row r="104" spans="1:3" x14ac:dyDescent="0.15">
      <c r="A104" s="30" t="s">
        <v>2844</v>
      </c>
      <c r="B104" s="30">
        <v>54.41</v>
      </c>
      <c r="C104" s="30">
        <v>56.55</v>
      </c>
    </row>
    <row r="105" spans="1:3" x14ac:dyDescent="0.15">
      <c r="A105" s="30" t="s">
        <v>692</v>
      </c>
      <c r="B105" s="30">
        <v>13.99</v>
      </c>
      <c r="C105" s="30">
        <v>14.92</v>
      </c>
    </row>
    <row r="106" spans="1:3" x14ac:dyDescent="0.15">
      <c r="A106" s="30" t="s">
        <v>914</v>
      </c>
      <c r="B106" s="30">
        <v>4.62</v>
      </c>
      <c r="C106" s="30">
        <v>4.59</v>
      </c>
    </row>
    <row r="107" spans="1:3" x14ac:dyDescent="0.15">
      <c r="A107" s="30" t="s">
        <v>106</v>
      </c>
      <c r="B107" s="30">
        <v>5.68</v>
      </c>
      <c r="C107" s="30">
        <v>5.73</v>
      </c>
    </row>
    <row r="108" spans="1:3" x14ac:dyDescent="0.15">
      <c r="A108" s="30" t="s">
        <v>1006</v>
      </c>
      <c r="B108" s="30">
        <v>28.37</v>
      </c>
      <c r="C108" s="30">
        <v>28.66</v>
      </c>
    </row>
    <row r="109" spans="1:3" x14ac:dyDescent="0.15">
      <c r="A109" s="30" t="s">
        <v>4473</v>
      </c>
      <c r="B109" s="30">
        <v>70.56</v>
      </c>
      <c r="C109" s="30">
        <v>67.2</v>
      </c>
    </row>
    <row r="110" spans="1:3" x14ac:dyDescent="0.15">
      <c r="A110" s="30" t="s">
        <v>108</v>
      </c>
      <c r="B110" s="30">
        <v>14.81</v>
      </c>
      <c r="C110" s="30">
        <v>14.64</v>
      </c>
    </row>
    <row r="111" spans="1:3" x14ac:dyDescent="0.15">
      <c r="A111" s="30" t="s">
        <v>986</v>
      </c>
      <c r="B111" s="30">
        <v>6.27</v>
      </c>
      <c r="C111" s="30">
        <v>6.13</v>
      </c>
    </row>
    <row r="112" spans="1:3" x14ac:dyDescent="0.15">
      <c r="A112" s="30" t="s">
        <v>4474</v>
      </c>
      <c r="B112" s="30">
        <v>10.51</v>
      </c>
      <c r="C112" s="30">
        <v>10.66</v>
      </c>
    </row>
    <row r="113" spans="1:3" x14ac:dyDescent="0.15">
      <c r="A113" s="30" t="s">
        <v>4475</v>
      </c>
      <c r="B113" s="30">
        <v>42.06</v>
      </c>
      <c r="C113" s="30">
        <v>41.65</v>
      </c>
    </row>
    <row r="114" spans="1:3" x14ac:dyDescent="0.15">
      <c r="A114" s="30" t="s">
        <v>4476</v>
      </c>
      <c r="B114" s="30">
        <v>81.56</v>
      </c>
      <c r="C114" s="30">
        <v>80.19</v>
      </c>
    </row>
    <row r="115" spans="1:3" x14ac:dyDescent="0.15">
      <c r="A115" s="30" t="s">
        <v>236</v>
      </c>
      <c r="B115" s="30">
        <v>11.39</v>
      </c>
      <c r="C115" s="30">
        <v>11.85</v>
      </c>
    </row>
    <row r="116" spans="1:3" x14ac:dyDescent="0.15">
      <c r="A116" s="30" t="s">
        <v>4477</v>
      </c>
      <c r="B116" s="30">
        <v>11.73</v>
      </c>
      <c r="C116" s="30">
        <v>11.62</v>
      </c>
    </row>
    <row r="117" spans="1:3" x14ac:dyDescent="0.15">
      <c r="A117" s="30" t="s">
        <v>3156</v>
      </c>
      <c r="B117" s="30">
        <v>15</v>
      </c>
      <c r="C117" s="30">
        <v>13.75</v>
      </c>
    </row>
    <row r="118" spans="1:3" x14ac:dyDescent="0.15">
      <c r="A118" s="30" t="s">
        <v>401</v>
      </c>
      <c r="B118" s="30">
        <v>10.96</v>
      </c>
      <c r="C118" s="30">
        <v>11.23</v>
      </c>
    </row>
    <row r="119" spans="1:3" x14ac:dyDescent="0.15">
      <c r="A119" s="30" t="s">
        <v>3188</v>
      </c>
      <c r="B119" s="30">
        <v>5.73</v>
      </c>
      <c r="C119" s="30">
        <v>5.68</v>
      </c>
    </row>
    <row r="120" spans="1:3" x14ac:dyDescent="0.15">
      <c r="A120" s="30" t="s">
        <v>3284</v>
      </c>
      <c r="B120" s="30">
        <v>14.09</v>
      </c>
      <c r="C120" s="30">
        <v>13.49</v>
      </c>
    </row>
    <row r="121" spans="1:3" x14ac:dyDescent="0.15">
      <c r="A121" s="30" t="s">
        <v>4478</v>
      </c>
      <c r="B121" s="30">
        <v>7.96</v>
      </c>
      <c r="C121" s="30">
        <v>7.63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22.63</v>
      </c>
      <c r="C124" s="30">
        <v>22.71</v>
      </c>
    </row>
    <row r="125" spans="1:3" x14ac:dyDescent="0.15">
      <c r="A125" s="30" t="s">
        <v>4479</v>
      </c>
      <c r="B125" s="30">
        <v>12.79</v>
      </c>
      <c r="C125" s="30">
        <v>12.97</v>
      </c>
    </row>
    <row r="126" spans="1:3" x14ac:dyDescent="0.15">
      <c r="A126" s="30" t="s">
        <v>840</v>
      </c>
      <c r="B126" s="30">
        <v>4.33</v>
      </c>
      <c r="C126" s="30">
        <v>4.3499999999999996</v>
      </c>
    </row>
    <row r="127" spans="1:3" x14ac:dyDescent="0.15">
      <c r="A127" s="30" t="s">
        <v>860</v>
      </c>
      <c r="B127" s="30">
        <v>10.66</v>
      </c>
      <c r="C127" s="30">
        <v>10.63</v>
      </c>
    </row>
    <row r="128" spans="1:3" x14ac:dyDescent="0.15">
      <c r="A128" s="30" t="s">
        <v>4480</v>
      </c>
      <c r="B128" s="30">
        <v>31.3</v>
      </c>
      <c r="C128" s="30">
        <v>30.55</v>
      </c>
    </row>
    <row r="129" spans="1:3" x14ac:dyDescent="0.15">
      <c r="A129" s="30" t="s">
        <v>4481</v>
      </c>
      <c r="B129" s="30">
        <v>11.94</v>
      </c>
      <c r="C129" s="30">
        <v>11.95</v>
      </c>
    </row>
    <row r="130" spans="1:3" x14ac:dyDescent="0.15">
      <c r="A130" s="30" t="s">
        <v>2900</v>
      </c>
      <c r="B130" s="30">
        <v>8.41</v>
      </c>
      <c r="C130" s="30">
        <v>8.64</v>
      </c>
    </row>
    <row r="131" spans="1:3" x14ac:dyDescent="0.15">
      <c r="A131" s="30" t="s">
        <v>4482</v>
      </c>
      <c r="B131" s="30">
        <v>13.51</v>
      </c>
      <c r="C131" s="30">
        <v>12.85</v>
      </c>
    </row>
    <row r="132" spans="1:3" x14ac:dyDescent="0.15">
      <c r="A132" s="30" t="s">
        <v>972</v>
      </c>
      <c r="B132" s="30">
        <v>13.97</v>
      </c>
      <c r="C132" s="30">
        <v>13.03</v>
      </c>
    </row>
    <row r="133" spans="1:3" x14ac:dyDescent="0.15">
      <c r="A133" s="30" t="s">
        <v>88</v>
      </c>
      <c r="B133" s="30">
        <v>66.930000000000007</v>
      </c>
      <c r="C133" s="30">
        <v>66.69</v>
      </c>
    </row>
    <row r="134" spans="1:3" x14ac:dyDescent="0.15">
      <c r="A134" s="30" t="s">
        <v>90</v>
      </c>
      <c r="B134" s="30">
        <v>12.6</v>
      </c>
      <c r="C134" s="30">
        <v>12.7</v>
      </c>
    </row>
    <row r="135" spans="1:3" x14ac:dyDescent="0.15">
      <c r="A135" s="30" t="s">
        <v>4483</v>
      </c>
      <c r="B135" s="30">
        <v>5.63</v>
      </c>
      <c r="C135" s="30">
        <v>5.55</v>
      </c>
    </row>
    <row r="136" spans="1:3" x14ac:dyDescent="0.15">
      <c r="A136" s="30" t="s">
        <v>790</v>
      </c>
      <c r="B136" s="30">
        <v>10.16</v>
      </c>
      <c r="C136" s="30">
        <v>10.1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14.08</v>
      </c>
      <c r="C139" s="30">
        <v>14.05</v>
      </c>
    </row>
    <row r="140" spans="1:3" x14ac:dyDescent="0.15">
      <c r="A140" s="30" t="s">
        <v>4485</v>
      </c>
      <c r="B140" s="30">
        <v>61.29</v>
      </c>
      <c r="C140" s="30">
        <v>57.65</v>
      </c>
    </row>
    <row r="141" spans="1:3" x14ac:dyDescent="0.15">
      <c r="A141" s="30" t="s">
        <v>4486</v>
      </c>
      <c r="B141" s="30">
        <v>14.87</v>
      </c>
      <c r="C141" s="30">
        <v>14.58</v>
      </c>
    </row>
    <row r="142" spans="1:3" x14ac:dyDescent="0.15">
      <c r="A142" s="30" t="s">
        <v>3154</v>
      </c>
      <c r="B142" s="30">
        <v>10.14</v>
      </c>
      <c r="C142" s="30">
        <v>10.15</v>
      </c>
    </row>
    <row r="143" spans="1:3" x14ac:dyDescent="0.15">
      <c r="A143" s="30" t="s">
        <v>4487</v>
      </c>
      <c r="B143" s="30">
        <v>14.61</v>
      </c>
      <c r="C143" s="30">
        <v>14.63</v>
      </c>
    </row>
    <row r="144" spans="1:3" x14ac:dyDescent="0.15">
      <c r="A144" s="30" t="s">
        <v>534</v>
      </c>
      <c r="B144" s="30">
        <v>72.930000000000007</v>
      </c>
      <c r="C144" s="30">
        <v>74.86</v>
      </c>
    </row>
    <row r="145" spans="1:3" x14ac:dyDescent="0.15">
      <c r="A145" s="30" t="s">
        <v>566</v>
      </c>
      <c r="B145" s="30">
        <v>4.79</v>
      </c>
      <c r="C145" s="30">
        <v>4.67</v>
      </c>
    </row>
    <row r="146" spans="1:3" x14ac:dyDescent="0.15">
      <c r="A146" s="30" t="s">
        <v>616</v>
      </c>
      <c r="B146" s="30">
        <v>6.51</v>
      </c>
      <c r="C146" s="30">
        <v>6.48</v>
      </c>
    </row>
    <row r="147" spans="1:3" x14ac:dyDescent="0.15">
      <c r="A147" s="30" t="s">
        <v>180</v>
      </c>
      <c r="B147" s="30">
        <v>15.63</v>
      </c>
      <c r="C147" s="30">
        <v>15.53</v>
      </c>
    </row>
    <row r="148" spans="1:3" x14ac:dyDescent="0.15">
      <c r="A148" s="30" t="s">
        <v>140</v>
      </c>
      <c r="B148" s="30">
        <v>11.95</v>
      </c>
      <c r="C148" s="30">
        <v>12.05</v>
      </c>
    </row>
    <row r="149" spans="1:3" x14ac:dyDescent="0.15">
      <c r="A149" s="30" t="s">
        <v>872</v>
      </c>
      <c r="B149" s="30">
        <v>26.66</v>
      </c>
      <c r="C149" s="30">
        <v>26.66</v>
      </c>
    </row>
    <row r="150" spans="1:3" x14ac:dyDescent="0.15">
      <c r="A150" s="30" t="s">
        <v>3320</v>
      </c>
      <c r="B150" s="30">
        <v>29.02</v>
      </c>
      <c r="C150" s="30">
        <v>29.13</v>
      </c>
    </row>
    <row r="151" spans="1:3" x14ac:dyDescent="0.15">
      <c r="A151" s="30" t="s">
        <v>606</v>
      </c>
      <c r="B151" s="30">
        <v>19.05</v>
      </c>
      <c r="C151" s="30">
        <v>19.260000000000002</v>
      </c>
    </row>
    <row r="152" spans="1:3" x14ac:dyDescent="0.15">
      <c r="A152" s="30" t="s">
        <v>4488</v>
      </c>
      <c r="B152" s="30">
        <v>25.32</v>
      </c>
      <c r="C152" s="30">
        <v>25</v>
      </c>
    </row>
    <row r="153" spans="1:3" x14ac:dyDescent="0.15">
      <c r="A153" s="30" t="s">
        <v>1056</v>
      </c>
      <c r="B153" s="30">
        <v>14.83</v>
      </c>
      <c r="C153" s="30">
        <v>14.93</v>
      </c>
    </row>
    <row r="154" spans="1:3" x14ac:dyDescent="0.15">
      <c r="A154" s="30" t="s">
        <v>4489</v>
      </c>
      <c r="B154" s="30">
        <v>24.45</v>
      </c>
      <c r="C154" s="30">
        <v>24.12</v>
      </c>
    </row>
    <row r="155" spans="1:3" x14ac:dyDescent="0.15">
      <c r="A155" s="30" t="s">
        <v>2972</v>
      </c>
      <c r="B155" s="30">
        <v>6.27</v>
      </c>
      <c r="C155" s="30">
        <v>6.29</v>
      </c>
    </row>
    <row r="156" spans="1:3" x14ac:dyDescent="0.15">
      <c r="A156" s="30" t="s">
        <v>668</v>
      </c>
      <c r="B156" s="30">
        <v>23.72</v>
      </c>
      <c r="C156" s="30">
        <v>23.9</v>
      </c>
    </row>
    <row r="157" spans="1:3" x14ac:dyDescent="0.15">
      <c r="A157" s="30" t="s">
        <v>672</v>
      </c>
      <c r="B157" s="30">
        <v>9.85</v>
      </c>
      <c r="C157" s="30">
        <v>10.19</v>
      </c>
    </row>
    <row r="158" spans="1:3" x14ac:dyDescent="0.15">
      <c r="A158" s="30" t="s">
        <v>445</v>
      </c>
      <c r="B158" s="30">
        <v>35.81</v>
      </c>
      <c r="C158" s="30">
        <v>35.9</v>
      </c>
    </row>
    <row r="159" spans="1:3" x14ac:dyDescent="0.15">
      <c r="A159" s="30" t="s">
        <v>682</v>
      </c>
      <c r="B159" s="30">
        <v>13.14</v>
      </c>
      <c r="C159" s="30">
        <v>13.16</v>
      </c>
    </row>
    <row r="160" spans="1:3" x14ac:dyDescent="0.15">
      <c r="A160" s="30" t="s">
        <v>349</v>
      </c>
      <c r="B160" s="30">
        <v>3.64</v>
      </c>
      <c r="C160" s="30">
        <v>3.69</v>
      </c>
    </row>
    <row r="161" spans="1:3" x14ac:dyDescent="0.15">
      <c r="A161" s="30" t="s">
        <v>1010</v>
      </c>
      <c r="B161" s="30">
        <v>8.0399999999999991</v>
      </c>
      <c r="C161" s="30">
        <v>8.31</v>
      </c>
    </row>
    <row r="162" spans="1:3" x14ac:dyDescent="0.15">
      <c r="A162" s="30" t="s">
        <v>1014</v>
      </c>
      <c r="B162" s="30">
        <v>38.99</v>
      </c>
      <c r="C162" s="30">
        <v>39.93</v>
      </c>
    </row>
    <row r="163" spans="1:3" x14ac:dyDescent="0.15">
      <c r="A163" s="30" t="s">
        <v>4490</v>
      </c>
      <c r="B163" s="30">
        <v>13.5</v>
      </c>
      <c r="C163" s="30">
        <v>13</v>
      </c>
    </row>
    <row r="164" spans="1:3" x14ac:dyDescent="0.15">
      <c r="A164" s="30" t="s">
        <v>110</v>
      </c>
      <c r="B164" s="30">
        <v>7.07</v>
      </c>
      <c r="C164" s="30">
        <v>6.99</v>
      </c>
    </row>
    <row r="165" spans="1:3" x14ac:dyDescent="0.15">
      <c r="A165" s="30" t="s">
        <v>3504</v>
      </c>
      <c r="B165" s="30">
        <v>7.76</v>
      </c>
      <c r="C165" s="30">
        <v>7.7</v>
      </c>
    </row>
    <row r="166" spans="1:3" x14ac:dyDescent="0.15">
      <c r="A166" s="30" t="s">
        <v>928</v>
      </c>
      <c r="B166" s="30">
        <v>6.88</v>
      </c>
      <c r="C166" s="30">
        <v>7.01</v>
      </c>
    </row>
    <row r="167" spans="1:3" x14ac:dyDescent="0.15">
      <c r="A167" s="30" t="s">
        <v>760</v>
      </c>
      <c r="B167" s="30">
        <v>21.72</v>
      </c>
      <c r="C167" s="30">
        <v>21.31</v>
      </c>
    </row>
    <row r="168" spans="1:3" x14ac:dyDescent="0.15">
      <c r="A168" s="30" t="s">
        <v>3392</v>
      </c>
      <c r="B168" s="30">
        <v>6.39</v>
      </c>
      <c r="C168" s="30">
        <v>6.43</v>
      </c>
    </row>
    <row r="169" spans="1:3" x14ac:dyDescent="0.15">
      <c r="A169" s="30" t="s">
        <v>718</v>
      </c>
      <c r="B169" s="30">
        <v>23.84</v>
      </c>
      <c r="C169" s="30">
        <v>23.22</v>
      </c>
    </row>
    <row r="170" spans="1:3" x14ac:dyDescent="0.15">
      <c r="A170" s="30" t="s">
        <v>291</v>
      </c>
      <c r="B170" s="30">
        <v>9.5299999999999994</v>
      </c>
      <c r="C170" s="30">
        <v>9.52</v>
      </c>
    </row>
    <row r="171" spans="1:3" x14ac:dyDescent="0.15">
      <c r="A171" s="30" t="s">
        <v>1022</v>
      </c>
      <c r="B171" s="30">
        <v>7.51</v>
      </c>
      <c r="C171" s="30">
        <v>7.58</v>
      </c>
    </row>
    <row r="172" spans="1:3" x14ac:dyDescent="0.15">
      <c r="A172" s="30" t="s">
        <v>4491</v>
      </c>
      <c r="B172" s="30">
        <v>20</v>
      </c>
      <c r="C172" s="30">
        <v>19.98</v>
      </c>
    </row>
    <row r="173" spans="1:3" x14ac:dyDescent="0.15">
      <c r="A173" s="30" t="s">
        <v>3208</v>
      </c>
      <c r="B173" s="30">
        <v>2.99</v>
      </c>
      <c r="C173" s="30">
        <v>2.99</v>
      </c>
    </row>
    <row r="174" spans="1:3" x14ac:dyDescent="0.15">
      <c r="A174" s="30" t="s">
        <v>4492</v>
      </c>
      <c r="B174" s="30">
        <v>11.65</v>
      </c>
      <c r="C174" s="30">
        <v>12.7</v>
      </c>
    </row>
    <row r="175" spans="1:3" x14ac:dyDescent="0.15">
      <c r="A175" s="30" t="s">
        <v>3484</v>
      </c>
      <c r="B175" s="30">
        <v>9.5399999999999991</v>
      </c>
      <c r="C175" s="30">
        <v>9.7899999999999991</v>
      </c>
    </row>
    <row r="176" spans="1:3" x14ac:dyDescent="0.15">
      <c r="A176" s="30" t="s">
        <v>473</v>
      </c>
      <c r="B176" s="30">
        <v>17.399999999999999</v>
      </c>
      <c r="C176" s="30">
        <v>17.45</v>
      </c>
    </row>
    <row r="177" spans="1:3" x14ac:dyDescent="0.15">
      <c r="A177" s="30" t="s">
        <v>142</v>
      </c>
      <c r="B177" s="30">
        <v>7.26</v>
      </c>
      <c r="C177" s="30">
        <v>7.17</v>
      </c>
    </row>
    <row r="178" spans="1:3" x14ac:dyDescent="0.15">
      <c r="A178" s="30" t="s">
        <v>938</v>
      </c>
      <c r="B178" s="30">
        <v>9.66</v>
      </c>
      <c r="C178" s="30">
        <v>9.8800000000000008</v>
      </c>
    </row>
    <row r="179" spans="1:3" x14ac:dyDescent="0.15">
      <c r="A179" s="30" t="s">
        <v>3132</v>
      </c>
      <c r="B179" s="30">
        <v>11.38</v>
      </c>
      <c r="C179" s="30">
        <v>11.2</v>
      </c>
    </row>
    <row r="180" spans="1:3" x14ac:dyDescent="0.15">
      <c r="A180" s="30" t="s">
        <v>544</v>
      </c>
      <c r="B180" s="30">
        <v>22.44</v>
      </c>
      <c r="C180" s="30">
        <v>22.17</v>
      </c>
    </row>
    <row r="181" spans="1:3" x14ac:dyDescent="0.15">
      <c r="A181" s="30" t="s">
        <v>100</v>
      </c>
      <c r="B181" s="30">
        <v>17.809999999999999</v>
      </c>
      <c r="C181" s="30">
        <v>17.989999999999998</v>
      </c>
    </row>
    <row r="182" spans="1:3" x14ac:dyDescent="0.15">
      <c r="A182" s="30" t="s">
        <v>4493</v>
      </c>
      <c r="B182" s="30">
        <v>8.59</v>
      </c>
      <c r="C182" s="30">
        <v>8.91</v>
      </c>
    </row>
    <row r="183" spans="1:3" x14ac:dyDescent="0.15">
      <c r="A183" s="30" t="s">
        <v>844</v>
      </c>
      <c r="B183" s="30">
        <v>17.97</v>
      </c>
      <c r="C183" s="30">
        <v>17.98</v>
      </c>
    </row>
    <row r="184" spans="1:3" x14ac:dyDescent="0.15">
      <c r="A184" s="30" t="s">
        <v>3236</v>
      </c>
      <c r="B184" s="30">
        <v>7.85</v>
      </c>
      <c r="C184" s="30">
        <v>7.78</v>
      </c>
    </row>
    <row r="185" spans="1:3" x14ac:dyDescent="0.15">
      <c r="A185" s="30" t="s">
        <v>2882</v>
      </c>
      <c r="B185" s="30">
        <v>4.74</v>
      </c>
      <c r="C185" s="30">
        <v>4.7300000000000004</v>
      </c>
    </row>
    <row r="186" spans="1:3" x14ac:dyDescent="0.15">
      <c r="A186" s="30" t="s">
        <v>4494</v>
      </c>
      <c r="B186" s="30">
        <v>19.78</v>
      </c>
      <c r="C186" s="30">
        <v>20.27</v>
      </c>
    </row>
    <row r="187" spans="1:3" x14ac:dyDescent="0.15">
      <c r="A187" s="30" t="s">
        <v>345</v>
      </c>
      <c r="B187" s="30">
        <v>10.83</v>
      </c>
      <c r="C187" s="30">
        <v>10.92</v>
      </c>
    </row>
    <row r="188" spans="1:3" x14ac:dyDescent="0.15">
      <c r="A188" s="30" t="s">
        <v>3018</v>
      </c>
      <c r="B188" s="30">
        <v>14.75</v>
      </c>
      <c r="C188" s="30">
        <v>14.81</v>
      </c>
    </row>
    <row r="189" spans="1:3" x14ac:dyDescent="0.15">
      <c r="A189" s="30" t="s">
        <v>2768</v>
      </c>
      <c r="B189" s="30">
        <v>13.68</v>
      </c>
      <c r="C189" s="30">
        <v>13.59</v>
      </c>
    </row>
    <row r="190" spans="1:3" x14ac:dyDescent="0.15">
      <c r="A190" s="30" t="s">
        <v>3056</v>
      </c>
      <c r="B190" s="30">
        <v>5.85</v>
      </c>
      <c r="C190" s="30">
        <v>5.81</v>
      </c>
    </row>
    <row r="191" spans="1:3" x14ac:dyDescent="0.15">
      <c r="A191" s="30" t="s">
        <v>3184</v>
      </c>
      <c r="B191" s="30">
        <v>23.39</v>
      </c>
      <c r="C191" s="30">
        <v>23.46</v>
      </c>
    </row>
    <row r="192" spans="1:3" x14ac:dyDescent="0.15">
      <c r="A192" s="30" t="s">
        <v>788</v>
      </c>
      <c r="B192" s="30">
        <v>3</v>
      </c>
      <c r="C192" s="30">
        <v>3.05</v>
      </c>
    </row>
    <row r="193" spans="1:3" x14ac:dyDescent="0.15">
      <c r="A193" s="30" t="s">
        <v>1441</v>
      </c>
      <c r="B193" s="30">
        <v>11437.546</v>
      </c>
      <c r="C193" s="30">
        <v>11292.933999999999</v>
      </c>
    </row>
    <row r="194" spans="1:3" x14ac:dyDescent="0.15">
      <c r="A194" s="30" t="s">
        <v>4495</v>
      </c>
      <c r="B194" s="30">
        <v>19.72</v>
      </c>
      <c r="C194" s="30">
        <v>19.53</v>
      </c>
    </row>
    <row r="195" spans="1:3" x14ac:dyDescent="0.15">
      <c r="A195" s="30" t="s">
        <v>4496</v>
      </c>
      <c r="B195" s="30">
        <v>257.02</v>
      </c>
      <c r="C195" s="30">
        <v>257.02</v>
      </c>
    </row>
    <row r="196" spans="1:3" x14ac:dyDescent="0.15">
      <c r="A196" s="30" t="s">
        <v>730</v>
      </c>
      <c r="B196" s="30">
        <v>40.880000000000003</v>
      </c>
      <c r="C196" s="30">
        <v>38.979999999999997</v>
      </c>
    </row>
    <row r="197" spans="1:3" x14ac:dyDescent="0.15">
      <c r="A197" s="30" t="s">
        <v>4497</v>
      </c>
      <c r="B197" s="30">
        <v>107.09</v>
      </c>
      <c r="C197" s="30">
        <v>104.01</v>
      </c>
    </row>
    <row r="198" spans="1:3" x14ac:dyDescent="0.15">
      <c r="A198" s="30" t="s">
        <v>1451</v>
      </c>
      <c r="B198" s="30">
        <v>1859.75</v>
      </c>
      <c r="C198" s="30">
        <v>1833.895</v>
      </c>
    </row>
    <row r="199" spans="1:3" x14ac:dyDescent="0.15">
      <c r="A199" s="30" t="s">
        <v>168</v>
      </c>
      <c r="B199" s="30">
        <v>8.48</v>
      </c>
      <c r="C199" s="30">
        <v>8.39</v>
      </c>
    </row>
    <row r="200" spans="1:3" x14ac:dyDescent="0.15">
      <c r="A200" s="30" t="s">
        <v>3144</v>
      </c>
      <c r="B200" s="30">
        <v>10.1</v>
      </c>
      <c r="C200" s="30">
        <v>10.210000000000001</v>
      </c>
    </row>
    <row r="201" spans="1:3" x14ac:dyDescent="0.15">
      <c r="A201" s="30" t="s">
        <v>720</v>
      </c>
      <c r="B201" s="30">
        <v>9.1300000000000008</v>
      </c>
      <c r="C201" s="30">
        <v>9.2100000000000009</v>
      </c>
    </row>
    <row r="202" spans="1:3" x14ac:dyDescent="0.15">
      <c r="A202" s="30" t="s">
        <v>200</v>
      </c>
      <c r="B202" s="30">
        <v>21.1</v>
      </c>
      <c r="C202" s="30">
        <v>20.68</v>
      </c>
    </row>
    <row r="203" spans="1:3" x14ac:dyDescent="0.15">
      <c r="A203" s="30" t="s">
        <v>740</v>
      </c>
      <c r="B203" s="30">
        <v>18.34</v>
      </c>
      <c r="C203" s="30">
        <v>18.68</v>
      </c>
    </row>
    <row r="204" spans="1:3" x14ac:dyDescent="0.15">
      <c r="A204" s="30" t="s">
        <v>706</v>
      </c>
      <c r="B204" s="30">
        <v>31.2</v>
      </c>
      <c r="C204" s="30">
        <v>31.51</v>
      </c>
    </row>
    <row r="205" spans="1:3" x14ac:dyDescent="0.15">
      <c r="A205" s="30" t="s">
        <v>4498</v>
      </c>
      <c r="B205" s="30">
        <v>4.72</v>
      </c>
      <c r="C205" s="30">
        <v>4.71</v>
      </c>
    </row>
    <row r="206" spans="1:3" x14ac:dyDescent="0.15">
      <c r="A206" s="30" t="s">
        <v>319</v>
      </c>
      <c r="B206" s="30">
        <v>7.48</v>
      </c>
      <c r="C206" s="30">
        <v>7.55</v>
      </c>
    </row>
    <row r="207" spans="1:3" x14ac:dyDescent="0.15">
      <c r="A207" s="30" t="s">
        <v>4499</v>
      </c>
      <c r="B207" s="30">
        <v>43.43</v>
      </c>
      <c r="C207" s="30">
        <v>42.82</v>
      </c>
    </row>
    <row r="208" spans="1:3" x14ac:dyDescent="0.15">
      <c r="A208" s="30" t="s">
        <v>3510</v>
      </c>
      <c r="B208" s="30">
        <v>12.34</v>
      </c>
      <c r="C208" s="30">
        <v>12.16</v>
      </c>
    </row>
    <row r="209" spans="1:3" x14ac:dyDescent="0.15">
      <c r="A209" s="30" t="s">
        <v>728</v>
      </c>
      <c r="B209" s="30">
        <v>5.72</v>
      </c>
      <c r="C209" s="30">
        <v>5.7</v>
      </c>
    </row>
    <row r="210" spans="1:3" x14ac:dyDescent="0.15">
      <c r="A210" s="30" t="s">
        <v>3020</v>
      </c>
      <c r="B210" s="30">
        <v>20.03</v>
      </c>
      <c r="C210" s="30">
        <v>19.68</v>
      </c>
    </row>
    <row r="211" spans="1:3" x14ac:dyDescent="0.15">
      <c r="A211" s="30" t="s">
        <v>4500</v>
      </c>
      <c r="B211" s="30">
        <v>7.24</v>
      </c>
      <c r="C211" s="30">
        <v>7.28</v>
      </c>
    </row>
    <row r="212" spans="1:3" x14ac:dyDescent="0.15">
      <c r="A212" s="30" t="s">
        <v>3148</v>
      </c>
      <c r="B212" s="30">
        <v>15.69</v>
      </c>
      <c r="C212" s="30">
        <v>15.3</v>
      </c>
    </row>
    <row r="213" spans="1:3" x14ac:dyDescent="0.15">
      <c r="A213" s="30" t="s">
        <v>2968</v>
      </c>
      <c r="B213" s="30">
        <v>5.45</v>
      </c>
      <c r="C213" s="30">
        <v>5.25</v>
      </c>
    </row>
    <row r="214" spans="1:3" x14ac:dyDescent="0.15">
      <c r="A214" s="30" t="s">
        <v>884</v>
      </c>
      <c r="B214" s="30">
        <v>7.44</v>
      </c>
      <c r="C214" s="30">
        <v>7.53</v>
      </c>
    </row>
    <row r="215" spans="1:3" x14ac:dyDescent="0.15">
      <c r="A215" s="30" t="s">
        <v>118</v>
      </c>
      <c r="B215" s="30">
        <v>3.94</v>
      </c>
      <c r="C215" s="30">
        <v>3.92</v>
      </c>
    </row>
    <row r="216" spans="1:3" x14ac:dyDescent="0.15">
      <c r="A216" s="30" t="s">
        <v>892</v>
      </c>
      <c r="B216" s="30">
        <v>6.11</v>
      </c>
      <c r="C216" s="30">
        <v>6.04</v>
      </c>
    </row>
    <row r="217" spans="1:3" x14ac:dyDescent="0.15">
      <c r="A217" s="30" t="s">
        <v>4501</v>
      </c>
      <c r="B217" s="30">
        <v>28.96</v>
      </c>
      <c r="C217" s="30">
        <v>28.96</v>
      </c>
    </row>
    <row r="218" spans="1:3" x14ac:dyDescent="0.15">
      <c r="A218" s="30" t="s">
        <v>596</v>
      </c>
      <c r="B218" s="30">
        <v>34.75</v>
      </c>
      <c r="C218" s="30">
        <v>35.11</v>
      </c>
    </row>
    <row r="219" spans="1:3" x14ac:dyDescent="0.15">
      <c r="A219" s="30" t="s">
        <v>399</v>
      </c>
      <c r="B219" s="30">
        <v>5</v>
      </c>
      <c r="C219" s="30">
        <v>4.92</v>
      </c>
    </row>
    <row r="220" spans="1:3" x14ac:dyDescent="0.15">
      <c r="A220" s="30" t="s">
        <v>301</v>
      </c>
      <c r="B220" s="30">
        <v>9.35</v>
      </c>
      <c r="C220" s="30">
        <v>9.2100000000000009</v>
      </c>
    </row>
    <row r="221" spans="1:3" x14ac:dyDescent="0.15">
      <c r="A221" s="30" t="s">
        <v>4502</v>
      </c>
      <c r="B221" s="30">
        <v>11.61</v>
      </c>
      <c r="C221" s="30">
        <v>11.5</v>
      </c>
    </row>
    <row r="222" spans="1:3" x14ac:dyDescent="0.15">
      <c r="A222" s="30" t="s">
        <v>640</v>
      </c>
      <c r="B222" s="30">
        <v>6.68</v>
      </c>
      <c r="C222" s="30">
        <v>6.7</v>
      </c>
    </row>
    <row r="223" spans="1:3" x14ac:dyDescent="0.15">
      <c r="A223" s="30" t="s">
        <v>3514</v>
      </c>
      <c r="B223" s="30">
        <v>10.79</v>
      </c>
      <c r="C223" s="30">
        <v>10.44</v>
      </c>
    </row>
    <row r="224" spans="1:3" x14ac:dyDescent="0.15">
      <c r="A224" s="30" t="s">
        <v>114</v>
      </c>
      <c r="B224" s="30">
        <v>16.05</v>
      </c>
      <c r="C224" s="30">
        <v>16.079999999999998</v>
      </c>
    </row>
    <row r="225" spans="1:3" x14ac:dyDescent="0.15">
      <c r="A225" s="30" t="s">
        <v>144</v>
      </c>
      <c r="B225" s="30">
        <v>28.03</v>
      </c>
      <c r="C225" s="30">
        <v>27.88</v>
      </c>
    </row>
    <row r="226" spans="1:3" x14ac:dyDescent="0.15">
      <c r="A226" s="30" t="s">
        <v>3268</v>
      </c>
      <c r="B226" s="30">
        <v>19.350000000000001</v>
      </c>
      <c r="C226" s="30">
        <v>17.829999999999998</v>
      </c>
    </row>
    <row r="227" spans="1:3" x14ac:dyDescent="0.15">
      <c r="A227" s="30" t="s">
        <v>3516</v>
      </c>
      <c r="B227" s="30">
        <v>5.57</v>
      </c>
      <c r="C227" s="30">
        <v>5.56</v>
      </c>
    </row>
    <row r="228" spans="1:3" x14ac:dyDescent="0.15">
      <c r="A228" s="30" t="s">
        <v>748</v>
      </c>
      <c r="B228" s="30">
        <v>11.62</v>
      </c>
      <c r="C228" s="30">
        <v>11.77</v>
      </c>
    </row>
    <row r="229" spans="1:3" x14ac:dyDescent="0.15">
      <c r="A229" s="30" t="s">
        <v>443</v>
      </c>
      <c r="B229" s="30">
        <v>6.57</v>
      </c>
      <c r="C229" s="30">
        <v>6.46</v>
      </c>
    </row>
    <row r="230" spans="1:3" x14ac:dyDescent="0.15">
      <c r="A230" s="30" t="s">
        <v>102</v>
      </c>
      <c r="B230" s="30">
        <v>52.7</v>
      </c>
      <c r="C230" s="30">
        <v>53.77</v>
      </c>
    </row>
    <row r="231" spans="1:3" x14ac:dyDescent="0.15">
      <c r="A231" s="30" t="s">
        <v>333</v>
      </c>
      <c r="B231" s="30">
        <v>25.09</v>
      </c>
      <c r="C231" s="30">
        <v>27.36</v>
      </c>
    </row>
    <row r="232" spans="1:3" x14ac:dyDescent="0.15">
      <c r="A232" s="30" t="s">
        <v>4503</v>
      </c>
      <c r="B232" s="30">
        <v>23.06</v>
      </c>
      <c r="C232" s="30">
        <v>22.64</v>
      </c>
    </row>
    <row r="233" spans="1:3" x14ac:dyDescent="0.15">
      <c r="A233" s="30" t="s">
        <v>2786</v>
      </c>
      <c r="B233" s="30">
        <v>12.49</v>
      </c>
      <c r="C233" s="30">
        <v>12.92</v>
      </c>
    </row>
    <row r="234" spans="1:3" x14ac:dyDescent="0.15">
      <c r="A234" s="30" t="s">
        <v>4504</v>
      </c>
      <c r="B234" s="30">
        <v>12.98</v>
      </c>
      <c r="C234" s="30">
        <v>12.98</v>
      </c>
    </row>
    <row r="235" spans="1:3" x14ac:dyDescent="0.15">
      <c r="A235" s="30" t="s">
        <v>4505</v>
      </c>
      <c r="B235" s="30">
        <v>12.2</v>
      </c>
      <c r="C235" s="30">
        <v>13.01</v>
      </c>
    </row>
    <row r="236" spans="1:3" x14ac:dyDescent="0.15">
      <c r="A236" s="30" t="s">
        <v>2852</v>
      </c>
      <c r="B236" s="30">
        <v>15.94</v>
      </c>
      <c r="C236" s="30">
        <v>16.18</v>
      </c>
    </row>
    <row r="237" spans="1:3" x14ac:dyDescent="0.15">
      <c r="A237" s="30" t="s">
        <v>503</v>
      </c>
      <c r="B237" s="30">
        <v>15.67</v>
      </c>
      <c r="C237" s="30">
        <v>15.25</v>
      </c>
    </row>
    <row r="238" spans="1:3" x14ac:dyDescent="0.15">
      <c r="A238" s="30" t="s">
        <v>447</v>
      </c>
      <c r="B238" s="30">
        <v>11.39</v>
      </c>
      <c r="C238" s="30">
        <v>11.54</v>
      </c>
    </row>
    <row r="239" spans="1:3" x14ac:dyDescent="0.15">
      <c r="A239" s="30" t="s">
        <v>4506</v>
      </c>
      <c r="B239" s="30">
        <v>7.98</v>
      </c>
      <c r="C239" s="30">
        <v>7.98</v>
      </c>
    </row>
    <row r="240" spans="1:3" x14ac:dyDescent="0.15">
      <c r="A240" s="30" t="s">
        <v>3060</v>
      </c>
      <c r="B240" s="30">
        <v>6.8</v>
      </c>
      <c r="C240" s="30">
        <v>6.72</v>
      </c>
    </row>
    <row r="241" spans="1:3" x14ac:dyDescent="0.15">
      <c r="A241" s="30" t="s">
        <v>4507</v>
      </c>
      <c r="B241" s="30">
        <v>6.45</v>
      </c>
      <c r="C241" s="30">
        <v>6.38</v>
      </c>
    </row>
    <row r="242" spans="1:3" x14ac:dyDescent="0.15">
      <c r="A242" s="30" t="s">
        <v>962</v>
      </c>
      <c r="B242" s="30">
        <v>9.0299999999999994</v>
      </c>
      <c r="C242" s="30">
        <v>9.0299999999999994</v>
      </c>
    </row>
    <row r="243" spans="1:3" x14ac:dyDescent="0.15">
      <c r="A243" s="30" t="s">
        <v>830</v>
      </c>
      <c r="B243" s="30">
        <v>24.67</v>
      </c>
      <c r="C243" s="30">
        <v>24.67</v>
      </c>
    </row>
    <row r="244" spans="1:3" x14ac:dyDescent="0.15">
      <c r="A244" s="30" t="s">
        <v>3290</v>
      </c>
      <c r="B244" s="30">
        <v>15.93</v>
      </c>
      <c r="C244" s="30">
        <v>15.67</v>
      </c>
    </row>
    <row r="245" spans="1:3" x14ac:dyDescent="0.15">
      <c r="A245" s="30" t="s">
        <v>2954</v>
      </c>
      <c r="B245" s="30">
        <v>19.86</v>
      </c>
      <c r="C245" s="30">
        <v>19.32</v>
      </c>
    </row>
    <row r="246" spans="1:3" x14ac:dyDescent="0.15">
      <c r="A246" s="30" t="s">
        <v>4508</v>
      </c>
      <c r="B246" s="30">
        <v>12.26</v>
      </c>
      <c r="C246" s="30">
        <v>12.07</v>
      </c>
    </row>
    <row r="247" spans="1:3" x14ac:dyDescent="0.15">
      <c r="A247" s="30" t="s">
        <v>654</v>
      </c>
      <c r="B247" s="30">
        <v>8.31</v>
      </c>
      <c r="C247" s="30">
        <v>8.1300000000000008</v>
      </c>
    </row>
    <row r="248" spans="1:3" x14ac:dyDescent="0.15">
      <c r="A248" s="30" t="s">
        <v>1048</v>
      </c>
      <c r="B248" s="30">
        <v>9.2899999999999991</v>
      </c>
      <c r="C248" s="30">
        <v>9.39</v>
      </c>
    </row>
    <row r="249" spans="1:3" x14ac:dyDescent="0.15">
      <c r="A249" s="30" t="s">
        <v>4509</v>
      </c>
      <c r="B249" s="30">
        <v>15.48</v>
      </c>
      <c r="C249" s="30">
        <v>15.28</v>
      </c>
    </row>
    <row r="250" spans="1:3" x14ac:dyDescent="0.15">
      <c r="A250" s="30" t="s">
        <v>3410</v>
      </c>
      <c r="B250" s="30">
        <v>10.33</v>
      </c>
      <c r="C250" s="30">
        <v>10.34</v>
      </c>
    </row>
    <row r="251" spans="1:3" x14ac:dyDescent="0.15">
      <c r="A251" s="30" t="s">
        <v>4510</v>
      </c>
      <c r="B251" s="30">
        <v>2.84</v>
      </c>
      <c r="C251" s="30">
        <v>2.82</v>
      </c>
    </row>
    <row r="252" spans="1:3" x14ac:dyDescent="0.15">
      <c r="A252" s="30" t="s">
        <v>1970</v>
      </c>
      <c r="B252" s="30">
        <v>13480</v>
      </c>
      <c r="C252" s="30">
        <v>13372.5</v>
      </c>
    </row>
    <row r="253" spans="1:3" x14ac:dyDescent="0.15">
      <c r="A253" s="30" t="s">
        <v>4511</v>
      </c>
      <c r="B253" s="30">
        <v>36.36</v>
      </c>
      <c r="C253" s="30">
        <v>36.36</v>
      </c>
    </row>
    <row r="254" spans="1:3" x14ac:dyDescent="0.15">
      <c r="A254" s="30" t="s">
        <v>4512</v>
      </c>
      <c r="B254" s="30">
        <v>27.99</v>
      </c>
      <c r="C254" s="30">
        <v>28</v>
      </c>
    </row>
    <row r="255" spans="1:3" x14ac:dyDescent="0.15">
      <c r="A255" s="30" t="s">
        <v>182</v>
      </c>
      <c r="B255" s="30">
        <v>31.95</v>
      </c>
      <c r="C255" s="30">
        <v>31.51</v>
      </c>
    </row>
    <row r="256" spans="1:3" x14ac:dyDescent="0.15">
      <c r="A256" s="30" t="s">
        <v>4513</v>
      </c>
      <c r="B256" s="30">
        <v>10.95</v>
      </c>
      <c r="C256" s="30">
        <v>10.95</v>
      </c>
    </row>
    <row r="257" spans="1:3" x14ac:dyDescent="0.15">
      <c r="A257" s="30" t="s">
        <v>1447</v>
      </c>
      <c r="B257" s="30">
        <v>6433.1701999999996</v>
      </c>
      <c r="C257" s="30">
        <v>6361.9414999999999</v>
      </c>
    </row>
    <row r="258" spans="1:3" x14ac:dyDescent="0.15">
      <c r="A258" s="30" t="s">
        <v>2836</v>
      </c>
      <c r="B258" s="30">
        <v>11.26</v>
      </c>
      <c r="C258" s="30">
        <v>11.39</v>
      </c>
    </row>
    <row r="259" spans="1:3" x14ac:dyDescent="0.15">
      <c r="A259" s="30" t="s">
        <v>461</v>
      </c>
      <c r="B259" s="30">
        <v>3.36</v>
      </c>
      <c r="C259" s="30">
        <v>3.36</v>
      </c>
    </row>
    <row r="260" spans="1:3" x14ac:dyDescent="0.15">
      <c r="A260" s="30" t="s">
        <v>126</v>
      </c>
      <c r="B260" s="30">
        <v>9.33</v>
      </c>
      <c r="C260" s="30">
        <v>9.25</v>
      </c>
    </row>
    <row r="261" spans="1:3" x14ac:dyDescent="0.15">
      <c r="A261" s="30" t="s">
        <v>2754</v>
      </c>
      <c r="B261" s="30">
        <v>4.43</v>
      </c>
      <c r="C261" s="30">
        <v>4.5</v>
      </c>
    </row>
    <row r="262" spans="1:3" x14ac:dyDescent="0.15">
      <c r="A262" s="30" t="s">
        <v>774</v>
      </c>
      <c r="B262" s="30">
        <v>27.86</v>
      </c>
      <c r="C262" s="30">
        <v>27.68</v>
      </c>
    </row>
    <row r="263" spans="1:3" x14ac:dyDescent="0.15">
      <c r="A263" s="30" t="s">
        <v>4514</v>
      </c>
      <c r="B263" s="30">
        <v>10.96</v>
      </c>
      <c r="C263" s="30">
        <v>11.05</v>
      </c>
    </row>
    <row r="264" spans="1:3" x14ac:dyDescent="0.15">
      <c r="A264" s="30" t="s">
        <v>4515</v>
      </c>
      <c r="B264" s="30">
        <v>27.88</v>
      </c>
      <c r="C264" s="30">
        <v>27.35</v>
      </c>
    </row>
    <row r="265" spans="1:3" x14ac:dyDescent="0.15">
      <c r="A265" s="30" t="s">
        <v>2818</v>
      </c>
      <c r="B265" s="30">
        <v>2.64</v>
      </c>
      <c r="C265" s="30">
        <v>2.65</v>
      </c>
    </row>
    <row r="266" spans="1:3" x14ac:dyDescent="0.15">
      <c r="A266" s="30" t="s">
        <v>598</v>
      </c>
      <c r="B266" s="30">
        <v>3.62</v>
      </c>
      <c r="C266" s="30">
        <v>3.63</v>
      </c>
    </row>
    <row r="267" spans="1:3" x14ac:dyDescent="0.15">
      <c r="A267" s="30" t="s">
        <v>437</v>
      </c>
      <c r="B267" s="30">
        <v>34.36</v>
      </c>
      <c r="C267" s="30">
        <v>34.36</v>
      </c>
    </row>
    <row r="268" spans="1:3" x14ac:dyDescent="0.15">
      <c r="A268" s="30" t="s">
        <v>507</v>
      </c>
      <c r="B268" s="30">
        <v>5.84</v>
      </c>
      <c r="C268" s="30">
        <v>5.88</v>
      </c>
    </row>
    <row r="269" spans="1:3" x14ac:dyDescent="0.15">
      <c r="A269" s="30" t="s">
        <v>792</v>
      </c>
      <c r="B269" s="30">
        <v>10.48</v>
      </c>
      <c r="C269" s="30">
        <v>10.6</v>
      </c>
    </row>
    <row r="270" spans="1:3" x14ac:dyDescent="0.15">
      <c r="A270" s="30" t="s">
        <v>3034</v>
      </c>
      <c r="B270" s="30">
        <v>7.85</v>
      </c>
      <c r="C270" s="30">
        <v>7.77</v>
      </c>
    </row>
    <row r="271" spans="1:3" x14ac:dyDescent="0.15">
      <c r="A271" s="30" t="s">
        <v>3480</v>
      </c>
      <c r="B271" s="30">
        <v>23.51</v>
      </c>
      <c r="C271" s="30">
        <v>23</v>
      </c>
    </row>
    <row r="272" spans="1:3" x14ac:dyDescent="0.15">
      <c r="A272" s="30" t="s">
        <v>2796</v>
      </c>
      <c r="B272" s="30">
        <v>33.4</v>
      </c>
      <c r="C272" s="30">
        <v>32.46</v>
      </c>
    </row>
    <row r="273" spans="1:3" x14ac:dyDescent="0.15">
      <c r="A273" s="30" t="s">
        <v>4516</v>
      </c>
      <c r="B273" s="30">
        <v>5.4</v>
      </c>
      <c r="C273" s="30">
        <v>5.94</v>
      </c>
    </row>
    <row r="274" spans="1:3" x14ac:dyDescent="0.15">
      <c r="A274" s="30" t="s">
        <v>4517</v>
      </c>
      <c r="B274" s="30">
        <v>27.75</v>
      </c>
      <c r="C274" s="30">
        <v>27.01</v>
      </c>
    </row>
    <row r="275" spans="1:3" x14ac:dyDescent="0.15">
      <c r="A275" s="30" t="s">
        <v>4518</v>
      </c>
      <c r="B275" s="30">
        <v>9.7100000000000009</v>
      </c>
      <c r="C275" s="30">
        <v>9.8800000000000008</v>
      </c>
    </row>
    <row r="276" spans="1:3" x14ac:dyDescent="0.15">
      <c r="A276" s="30" t="s">
        <v>528</v>
      </c>
      <c r="B276" s="30">
        <v>41.01</v>
      </c>
      <c r="C276" s="30">
        <v>38.53</v>
      </c>
    </row>
    <row r="277" spans="1:3" x14ac:dyDescent="0.15">
      <c r="A277" s="30" t="s">
        <v>3478</v>
      </c>
      <c r="B277" s="30">
        <v>2.96</v>
      </c>
      <c r="C277" s="30">
        <v>2.95</v>
      </c>
    </row>
    <row r="278" spans="1:3" x14ac:dyDescent="0.15">
      <c r="A278" s="30" t="s">
        <v>850</v>
      </c>
      <c r="B278" s="30">
        <v>14.86</v>
      </c>
      <c r="C278" s="30">
        <v>14.17</v>
      </c>
    </row>
    <row r="279" spans="1:3" x14ac:dyDescent="0.15">
      <c r="A279" s="30" t="s">
        <v>3198</v>
      </c>
      <c r="B279" s="30">
        <v>5.08</v>
      </c>
      <c r="C279" s="30">
        <v>5.15</v>
      </c>
    </row>
    <row r="280" spans="1:3" x14ac:dyDescent="0.15">
      <c r="A280" s="30" t="s">
        <v>4519</v>
      </c>
      <c r="B280" s="30">
        <v>245.13</v>
      </c>
      <c r="C280" s="30">
        <v>230.52</v>
      </c>
    </row>
    <row r="281" spans="1:3" x14ac:dyDescent="0.15">
      <c r="A281" s="30" t="s">
        <v>242</v>
      </c>
      <c r="B281" s="30">
        <v>20.32</v>
      </c>
      <c r="C281" s="30">
        <v>20.329999999999998</v>
      </c>
    </row>
    <row r="282" spans="1:3" x14ac:dyDescent="0.15">
      <c r="A282" s="30" t="s">
        <v>4520</v>
      </c>
      <c r="B282" s="30">
        <v>9.25</v>
      </c>
      <c r="C282" s="30">
        <v>9.42</v>
      </c>
    </row>
    <row r="283" spans="1:3" x14ac:dyDescent="0.15">
      <c r="A283" s="30" t="s">
        <v>958</v>
      </c>
      <c r="B283" s="30">
        <v>3.88</v>
      </c>
      <c r="C283" s="30">
        <v>3.88</v>
      </c>
    </row>
    <row r="284" spans="1:3" x14ac:dyDescent="0.15">
      <c r="A284" s="30" t="s">
        <v>4521</v>
      </c>
      <c r="B284" s="30">
        <v>12.14</v>
      </c>
      <c r="C284" s="30">
        <v>12.21</v>
      </c>
    </row>
    <row r="285" spans="1:3" x14ac:dyDescent="0.15">
      <c r="A285" s="30" t="s">
        <v>3522</v>
      </c>
      <c r="B285" s="30">
        <v>5.76</v>
      </c>
      <c r="C285" s="30">
        <v>5.58</v>
      </c>
    </row>
    <row r="286" spans="1:3" x14ac:dyDescent="0.15">
      <c r="A286" s="30" t="s">
        <v>4522</v>
      </c>
      <c r="B286" s="30">
        <v>14.9</v>
      </c>
      <c r="C286" s="30">
        <v>14.3</v>
      </c>
    </row>
    <row r="287" spans="1:3" x14ac:dyDescent="0.15">
      <c r="A287" s="30" t="s">
        <v>411</v>
      </c>
      <c r="B287" s="30">
        <v>31.1</v>
      </c>
      <c r="C287" s="30">
        <v>29.09</v>
      </c>
    </row>
    <row r="288" spans="1:3" x14ac:dyDescent="0.15">
      <c r="A288" s="30" t="s">
        <v>4523</v>
      </c>
      <c r="B288" s="30">
        <v>33.69</v>
      </c>
      <c r="C288" s="30">
        <v>34.26</v>
      </c>
    </row>
    <row r="289" spans="1:3" x14ac:dyDescent="0.15">
      <c r="A289" s="30" t="s">
        <v>2934</v>
      </c>
      <c r="B289" s="30">
        <v>12.39</v>
      </c>
      <c r="C289" s="30">
        <v>12.12</v>
      </c>
    </row>
    <row r="290" spans="1:3" x14ac:dyDescent="0.15">
      <c r="A290" s="30" t="s">
        <v>387</v>
      </c>
      <c r="B290" s="30">
        <v>22.39</v>
      </c>
      <c r="C290" s="30">
        <v>21.72</v>
      </c>
    </row>
    <row r="291" spans="1:3" x14ac:dyDescent="0.15">
      <c r="A291" s="30" t="s">
        <v>4524</v>
      </c>
      <c r="B291" s="30">
        <v>20.13</v>
      </c>
      <c r="C291" s="30">
        <v>19.850000000000001</v>
      </c>
    </row>
    <row r="292" spans="1:3" x14ac:dyDescent="0.15">
      <c r="A292" s="30" t="s">
        <v>542</v>
      </c>
      <c r="B292" s="30">
        <v>39.729999999999997</v>
      </c>
      <c r="C292" s="30">
        <v>39.6</v>
      </c>
    </row>
    <row r="293" spans="1:3" x14ac:dyDescent="0.15">
      <c r="A293" s="30" t="s">
        <v>4525</v>
      </c>
      <c r="B293" s="30">
        <v>23.87</v>
      </c>
      <c r="C293" s="30">
        <v>24.37</v>
      </c>
    </row>
    <row r="294" spans="1:3" x14ac:dyDescent="0.15">
      <c r="A294" s="30" t="s">
        <v>964</v>
      </c>
      <c r="B294" s="30">
        <v>9.32</v>
      </c>
      <c r="C294" s="30">
        <v>9.3800000000000008</v>
      </c>
    </row>
    <row r="295" spans="1:3" x14ac:dyDescent="0.15">
      <c r="A295" s="30" t="s">
        <v>612</v>
      </c>
      <c r="B295" s="30">
        <v>6.07</v>
      </c>
      <c r="C295" s="30">
        <v>6.04</v>
      </c>
    </row>
    <row r="296" spans="1:3" x14ac:dyDescent="0.15">
      <c r="A296" s="30" t="s">
        <v>722</v>
      </c>
      <c r="B296" s="30">
        <v>31.8</v>
      </c>
      <c r="C296" s="30">
        <v>32.21</v>
      </c>
    </row>
    <row r="297" spans="1:3" x14ac:dyDescent="0.15">
      <c r="A297" s="30" t="s">
        <v>3118</v>
      </c>
      <c r="B297" s="30">
        <v>4.58</v>
      </c>
      <c r="C297" s="30">
        <v>4.59</v>
      </c>
    </row>
    <row r="298" spans="1:3" x14ac:dyDescent="0.15">
      <c r="A298" s="30" t="s">
        <v>4526</v>
      </c>
      <c r="B298" s="30">
        <v>56.12</v>
      </c>
      <c r="C298" s="30">
        <v>54.94</v>
      </c>
    </row>
    <row r="299" spans="1:3" x14ac:dyDescent="0.15">
      <c r="A299" s="30" t="s">
        <v>4527</v>
      </c>
      <c r="B299" s="30">
        <v>57.53</v>
      </c>
      <c r="C299" s="30">
        <v>60.41</v>
      </c>
    </row>
    <row r="300" spans="1:3" x14ac:dyDescent="0.15">
      <c r="A300" s="30" t="s">
        <v>576</v>
      </c>
      <c r="B300" s="30">
        <v>2.72</v>
      </c>
      <c r="C300" s="30">
        <v>2.69</v>
      </c>
    </row>
    <row r="301" spans="1:3" x14ac:dyDescent="0.15">
      <c r="A301" s="30" t="s">
        <v>313</v>
      </c>
      <c r="B301" s="30">
        <v>7.95</v>
      </c>
      <c r="C301" s="30">
        <v>7.71</v>
      </c>
    </row>
    <row r="302" spans="1:3" x14ac:dyDescent="0.15">
      <c r="A302" s="30" t="s">
        <v>4528</v>
      </c>
      <c r="B302" s="30">
        <v>112.92</v>
      </c>
      <c r="C302" s="30">
        <v>110.11</v>
      </c>
    </row>
    <row r="303" spans="1:3" x14ac:dyDescent="0.15">
      <c r="A303" s="30" t="s">
        <v>796</v>
      </c>
      <c r="B303" s="30">
        <v>31.88</v>
      </c>
      <c r="C303" s="30">
        <v>31.52</v>
      </c>
    </row>
    <row r="304" spans="1:3" x14ac:dyDescent="0.15">
      <c r="A304" s="30" t="s">
        <v>3080</v>
      </c>
      <c r="B304" s="30">
        <v>12.31</v>
      </c>
      <c r="C304" s="30">
        <v>12.11</v>
      </c>
    </row>
    <row r="305" spans="1:3" x14ac:dyDescent="0.15">
      <c r="A305" s="30" t="s">
        <v>1034</v>
      </c>
      <c r="B305" s="30">
        <v>10.74</v>
      </c>
      <c r="C305" s="30">
        <v>10.84</v>
      </c>
    </row>
    <row r="306" spans="1:3" x14ac:dyDescent="0.15">
      <c r="A306" s="30" t="s">
        <v>4529</v>
      </c>
      <c r="B306" s="30">
        <v>32.700000000000003</v>
      </c>
      <c r="C306" s="30">
        <v>32.630000000000003</v>
      </c>
    </row>
    <row r="307" spans="1:3" x14ac:dyDescent="0.15">
      <c r="A307" s="30" t="s">
        <v>3258</v>
      </c>
      <c r="B307" s="30">
        <v>6.85</v>
      </c>
      <c r="C307" s="30">
        <v>6.7</v>
      </c>
    </row>
    <row r="308" spans="1:3" x14ac:dyDescent="0.15">
      <c r="A308" s="30" t="s">
        <v>517</v>
      </c>
      <c r="B308" s="30">
        <v>33.1</v>
      </c>
      <c r="C308" s="30">
        <v>33.22</v>
      </c>
    </row>
    <row r="309" spans="1:3" x14ac:dyDescent="0.15">
      <c r="A309" s="30" t="s">
        <v>1052</v>
      </c>
      <c r="B309" s="30">
        <v>21.89</v>
      </c>
      <c r="C309" s="30">
        <v>21.83</v>
      </c>
    </row>
    <row r="310" spans="1:3" x14ac:dyDescent="0.15">
      <c r="A310" s="30" t="s">
        <v>148</v>
      </c>
      <c r="B310" s="30">
        <v>11.1</v>
      </c>
      <c r="C310" s="30">
        <v>10.16</v>
      </c>
    </row>
    <row r="311" spans="1:3" x14ac:dyDescent="0.15">
      <c r="A311" s="30" t="s">
        <v>888</v>
      </c>
      <c r="B311" s="30">
        <v>28.88</v>
      </c>
      <c r="C311" s="30">
        <v>28.34</v>
      </c>
    </row>
    <row r="312" spans="1:3" x14ac:dyDescent="0.15">
      <c r="A312" s="30" t="s">
        <v>469</v>
      </c>
      <c r="B312" s="30">
        <v>11.29</v>
      </c>
      <c r="C312" s="30">
        <v>10.98</v>
      </c>
    </row>
    <row r="313" spans="1:3" x14ac:dyDescent="0.15">
      <c r="A313" s="30" t="s">
        <v>3108</v>
      </c>
      <c r="B313" s="30">
        <v>24.3</v>
      </c>
      <c r="C313" s="30">
        <v>22.49</v>
      </c>
    </row>
    <row r="314" spans="1:3" x14ac:dyDescent="0.15">
      <c r="A314" s="30" t="s">
        <v>778</v>
      </c>
      <c r="B314" s="30">
        <v>11.12</v>
      </c>
      <c r="C314" s="30">
        <v>10.76</v>
      </c>
    </row>
    <row r="315" spans="1:3" x14ac:dyDescent="0.15">
      <c r="A315" s="30" t="s">
        <v>4530</v>
      </c>
      <c r="B315" s="30">
        <v>25.46</v>
      </c>
      <c r="C315" s="30">
        <v>25.01</v>
      </c>
    </row>
    <row r="316" spans="1:3" x14ac:dyDescent="0.15">
      <c r="A316" s="30" t="s">
        <v>4531</v>
      </c>
      <c r="B316" s="30">
        <v>10.88</v>
      </c>
      <c r="C316" s="30">
        <v>10.86</v>
      </c>
    </row>
    <row r="317" spans="1:3" x14ac:dyDescent="0.15">
      <c r="A317" s="30" t="s">
        <v>886</v>
      </c>
      <c r="B317" s="30">
        <v>6.05</v>
      </c>
      <c r="C317" s="30">
        <v>5.97</v>
      </c>
    </row>
    <row r="318" spans="1:3" x14ac:dyDescent="0.15">
      <c r="A318" s="30" t="s">
        <v>662</v>
      </c>
      <c r="B318" s="30">
        <v>19.05</v>
      </c>
      <c r="C318" s="30">
        <v>19.55</v>
      </c>
    </row>
    <row r="319" spans="1:3" x14ac:dyDescent="0.15">
      <c r="A319" s="30" t="s">
        <v>3030</v>
      </c>
      <c r="B319" s="30">
        <v>25.9</v>
      </c>
      <c r="C319" s="30">
        <v>25.59</v>
      </c>
    </row>
    <row r="320" spans="1:3" x14ac:dyDescent="0.15">
      <c r="A320" s="30" t="s">
        <v>3488</v>
      </c>
      <c r="B320" s="30">
        <v>39.840000000000003</v>
      </c>
      <c r="C320" s="30">
        <v>41.84</v>
      </c>
    </row>
    <row r="321" spans="1:3" x14ac:dyDescent="0.15">
      <c r="A321" s="30" t="s">
        <v>509</v>
      </c>
      <c r="B321" s="30">
        <v>76.36</v>
      </c>
      <c r="C321" s="30">
        <v>76.260000000000005</v>
      </c>
    </row>
    <row r="322" spans="1:3" x14ac:dyDescent="0.15">
      <c r="A322" s="30" t="s">
        <v>4532</v>
      </c>
      <c r="B322" s="30">
        <v>39.69</v>
      </c>
      <c r="C322" s="30">
        <v>39.380000000000003</v>
      </c>
    </row>
    <row r="323" spans="1:3" x14ac:dyDescent="0.15">
      <c r="A323" s="30" t="s">
        <v>3430</v>
      </c>
      <c r="B323" s="30">
        <v>14.79</v>
      </c>
      <c r="C323" s="30">
        <v>14.7</v>
      </c>
    </row>
    <row r="324" spans="1:3" x14ac:dyDescent="0.15">
      <c r="A324" s="30" t="s">
        <v>842</v>
      </c>
      <c r="B324" s="30">
        <v>4.74</v>
      </c>
      <c r="C324" s="30">
        <v>4.76</v>
      </c>
    </row>
    <row r="325" spans="1:3" x14ac:dyDescent="0.15">
      <c r="A325" s="30" t="s">
        <v>4533</v>
      </c>
      <c r="B325" s="30">
        <v>13.16</v>
      </c>
      <c r="C325" s="30">
        <v>13.35</v>
      </c>
    </row>
    <row r="326" spans="1:3" x14ac:dyDescent="0.15">
      <c r="A326" s="30" t="s">
        <v>930</v>
      </c>
      <c r="B326" s="30">
        <v>18.39</v>
      </c>
      <c r="C326" s="30">
        <v>17.98</v>
      </c>
    </row>
    <row r="327" spans="1:3" x14ac:dyDescent="0.15">
      <c r="A327" s="30" t="s">
        <v>433</v>
      </c>
      <c r="B327" s="30">
        <v>10.92</v>
      </c>
      <c r="C327" s="30">
        <v>11.14</v>
      </c>
    </row>
    <row r="328" spans="1:3" x14ac:dyDescent="0.15">
      <c r="A328" s="30" t="s">
        <v>2744</v>
      </c>
      <c r="B328" s="30">
        <v>13.79</v>
      </c>
      <c r="C328" s="30">
        <v>13.96</v>
      </c>
    </row>
    <row r="329" spans="1:3" x14ac:dyDescent="0.15">
      <c r="A329" s="30" t="s">
        <v>4534</v>
      </c>
      <c r="B329" s="30">
        <v>62.09</v>
      </c>
      <c r="C329" s="30">
        <v>60.73</v>
      </c>
    </row>
    <row r="330" spans="1:3" x14ac:dyDescent="0.15">
      <c r="A330" s="30" t="s">
        <v>262</v>
      </c>
      <c r="B330" s="30">
        <v>17.72</v>
      </c>
      <c r="C330" s="30">
        <v>17.690000000000001</v>
      </c>
    </row>
    <row r="331" spans="1:3" x14ac:dyDescent="0.15">
      <c r="A331" s="30" t="s">
        <v>481</v>
      </c>
      <c r="B331" s="30">
        <v>19.260000000000002</v>
      </c>
      <c r="C331" s="30">
        <v>19.11</v>
      </c>
    </row>
    <row r="332" spans="1:3" x14ac:dyDescent="0.15">
      <c r="A332" s="30" t="s">
        <v>898</v>
      </c>
      <c r="B332" s="30">
        <v>26.16</v>
      </c>
      <c r="C332" s="30">
        <v>25.8</v>
      </c>
    </row>
    <row r="333" spans="1:3" x14ac:dyDescent="0.15">
      <c r="A333" s="30" t="s">
        <v>475</v>
      </c>
      <c r="B333" s="30">
        <v>7.04</v>
      </c>
      <c r="C333" s="30">
        <v>7.01</v>
      </c>
    </row>
    <row r="334" spans="1:3" x14ac:dyDescent="0.15">
      <c r="A334" s="30" t="s">
        <v>4535</v>
      </c>
      <c r="B334" s="30">
        <v>10.85</v>
      </c>
      <c r="C334" s="30">
        <v>10.71</v>
      </c>
    </row>
    <row r="335" spans="1:3" x14ac:dyDescent="0.15">
      <c r="A335" s="30" t="s">
        <v>3294</v>
      </c>
      <c r="B335" s="30">
        <v>15.28</v>
      </c>
      <c r="C335" s="30">
        <v>15.26</v>
      </c>
    </row>
    <row r="336" spans="1:3" x14ac:dyDescent="0.15">
      <c r="A336" s="30" t="s">
        <v>586</v>
      </c>
      <c r="B336" s="30">
        <v>13.29</v>
      </c>
      <c r="C336" s="30">
        <v>13.14</v>
      </c>
    </row>
    <row r="337" spans="1:3" x14ac:dyDescent="0.15">
      <c r="A337" s="30" t="s">
        <v>974</v>
      </c>
      <c r="B337" s="30">
        <v>20.21</v>
      </c>
      <c r="C337" s="30">
        <v>20.32</v>
      </c>
    </row>
    <row r="338" spans="1:3" x14ac:dyDescent="0.15">
      <c r="A338" s="30" t="s">
        <v>397</v>
      </c>
      <c r="B338" s="30">
        <v>16.34</v>
      </c>
      <c r="C338" s="30">
        <v>16.16</v>
      </c>
    </row>
    <row r="339" spans="1:3" x14ac:dyDescent="0.15">
      <c r="A339" s="30" t="s">
        <v>4536</v>
      </c>
      <c r="B339" s="30">
        <v>7.7</v>
      </c>
      <c r="C339" s="30">
        <v>8.56</v>
      </c>
    </row>
    <row r="340" spans="1:3" x14ac:dyDescent="0.15">
      <c r="A340" s="30" t="s">
        <v>3040</v>
      </c>
      <c r="B340" s="30">
        <v>26.06</v>
      </c>
      <c r="C340" s="30">
        <v>26.68</v>
      </c>
    </row>
    <row r="341" spans="1:3" x14ac:dyDescent="0.15">
      <c r="A341" s="30" t="s">
        <v>92</v>
      </c>
      <c r="B341" s="30">
        <v>9.17</v>
      </c>
      <c r="C341" s="30">
        <v>9.0500000000000007</v>
      </c>
    </row>
    <row r="342" spans="1:3" x14ac:dyDescent="0.15">
      <c r="A342" s="30" t="s">
        <v>329</v>
      </c>
      <c r="B342" s="30">
        <v>5.14</v>
      </c>
      <c r="C342" s="30">
        <v>5.17</v>
      </c>
    </row>
    <row r="343" spans="1:3" x14ac:dyDescent="0.15">
      <c r="A343" s="30" t="s">
        <v>4537</v>
      </c>
      <c r="B343" s="30">
        <v>26.5</v>
      </c>
      <c r="C343" s="30">
        <v>26.73</v>
      </c>
    </row>
    <row r="344" spans="1:3" x14ac:dyDescent="0.15">
      <c r="A344" s="30" t="s">
        <v>900</v>
      </c>
      <c r="B344" s="30">
        <v>26.78</v>
      </c>
      <c r="C344" s="30">
        <v>26.78</v>
      </c>
    </row>
    <row r="345" spans="1:3" x14ac:dyDescent="0.15">
      <c r="A345" s="30" t="s">
        <v>4538</v>
      </c>
      <c r="B345" s="30">
        <v>64.400000000000006</v>
      </c>
      <c r="C345" s="30">
        <v>65.5</v>
      </c>
    </row>
    <row r="346" spans="1:3" x14ac:dyDescent="0.15">
      <c r="A346" s="30" t="s">
        <v>246</v>
      </c>
      <c r="B346" s="30">
        <v>45.82</v>
      </c>
      <c r="C346" s="30">
        <v>45.95</v>
      </c>
    </row>
    <row r="347" spans="1:3" x14ac:dyDescent="0.15">
      <c r="A347" s="30" t="s">
        <v>248</v>
      </c>
      <c r="B347" s="30">
        <v>6.22</v>
      </c>
      <c r="C347" s="30">
        <v>6.28</v>
      </c>
    </row>
    <row r="348" spans="1:3" x14ac:dyDescent="0.15">
      <c r="A348" s="30" t="s">
        <v>912</v>
      </c>
      <c r="B348" s="30">
        <v>6.27</v>
      </c>
      <c r="C348" s="30">
        <v>6.31</v>
      </c>
    </row>
    <row r="349" spans="1:3" x14ac:dyDescent="0.15">
      <c r="A349" s="30" t="s">
        <v>834</v>
      </c>
      <c r="B349" s="30">
        <v>4.57</v>
      </c>
      <c r="C349" s="30">
        <v>4.59</v>
      </c>
    </row>
    <row r="350" spans="1:3" x14ac:dyDescent="0.15">
      <c r="A350" s="30" t="s">
        <v>497</v>
      </c>
      <c r="B350" s="30">
        <v>10.029999999999999</v>
      </c>
      <c r="C350" s="30">
        <v>10.19</v>
      </c>
    </row>
    <row r="351" spans="1:3" x14ac:dyDescent="0.15">
      <c r="A351" s="30" t="s">
        <v>4539</v>
      </c>
      <c r="B351" s="30">
        <v>10.56</v>
      </c>
      <c r="C351" s="30">
        <v>10.88</v>
      </c>
    </row>
    <row r="352" spans="1:3" x14ac:dyDescent="0.15">
      <c r="A352" s="30" t="s">
        <v>317</v>
      </c>
      <c r="B352" s="30">
        <v>58.82</v>
      </c>
      <c r="C352" s="30">
        <v>58.24</v>
      </c>
    </row>
    <row r="353" spans="1:3" x14ac:dyDescent="0.15">
      <c r="A353" s="30" t="s">
        <v>1044</v>
      </c>
      <c r="B353" s="30">
        <v>5.15</v>
      </c>
      <c r="C353" s="30">
        <v>5.22</v>
      </c>
    </row>
    <row r="354" spans="1:3" x14ac:dyDescent="0.15">
      <c r="A354" s="30" t="s">
        <v>78</v>
      </c>
      <c r="B354" s="30">
        <v>6.79</v>
      </c>
      <c r="C354" s="30">
        <v>6.83</v>
      </c>
    </row>
    <row r="355" spans="1:3" x14ac:dyDescent="0.15">
      <c r="A355" s="30" t="s">
        <v>3122</v>
      </c>
      <c r="B355" s="30">
        <v>10.029999999999999</v>
      </c>
      <c r="C355" s="30">
        <v>9.82</v>
      </c>
    </row>
    <row r="356" spans="1:3" x14ac:dyDescent="0.15">
      <c r="A356" s="30" t="s">
        <v>315</v>
      </c>
      <c r="B356" s="30">
        <v>14.8</v>
      </c>
      <c r="C356" s="30">
        <v>14.39</v>
      </c>
    </row>
    <row r="357" spans="1:3" x14ac:dyDescent="0.15">
      <c r="A357" s="30" t="s">
        <v>4540</v>
      </c>
      <c r="B357" s="30">
        <v>11.03</v>
      </c>
      <c r="C357" s="30">
        <v>10.029999999999999</v>
      </c>
    </row>
    <row r="358" spans="1:3" x14ac:dyDescent="0.15">
      <c r="A358" s="30" t="s">
        <v>700</v>
      </c>
      <c r="B358" s="30">
        <v>18.75</v>
      </c>
      <c r="C358" s="30">
        <v>19.03</v>
      </c>
    </row>
    <row r="359" spans="1:3" x14ac:dyDescent="0.15">
      <c r="A359" s="30" t="s">
        <v>524</v>
      </c>
      <c r="B359" s="30">
        <v>14.16</v>
      </c>
      <c r="C359" s="30">
        <v>14.14</v>
      </c>
    </row>
    <row r="360" spans="1:3" x14ac:dyDescent="0.15">
      <c r="A360" s="30" t="s">
        <v>76</v>
      </c>
      <c r="B360" s="30">
        <v>7.98</v>
      </c>
      <c r="C360" s="30">
        <v>7.85</v>
      </c>
    </row>
    <row r="361" spans="1:3" x14ac:dyDescent="0.15">
      <c r="A361" s="30" t="s">
        <v>4541</v>
      </c>
      <c r="B361" s="30">
        <v>24.56</v>
      </c>
      <c r="C361" s="30">
        <v>25.24</v>
      </c>
    </row>
    <row r="362" spans="1:3" x14ac:dyDescent="0.15">
      <c r="A362" s="30" t="s">
        <v>4542</v>
      </c>
      <c r="B362" s="30">
        <v>6.7</v>
      </c>
      <c r="C362" s="30">
        <v>6.78</v>
      </c>
    </row>
    <row r="363" spans="1:3" x14ac:dyDescent="0.15">
      <c r="A363" s="30" t="s">
        <v>2012</v>
      </c>
      <c r="B363" s="30">
        <v>15.09</v>
      </c>
      <c r="C363" s="30">
        <v>15.08</v>
      </c>
    </row>
    <row r="364" spans="1:3" x14ac:dyDescent="0.15">
      <c r="A364" s="30" t="s">
        <v>4543</v>
      </c>
      <c r="B364" s="30">
        <v>10.1</v>
      </c>
      <c r="C364" s="30">
        <v>10</v>
      </c>
    </row>
    <row r="365" spans="1:3" x14ac:dyDescent="0.15">
      <c r="A365" s="30" t="s">
        <v>4544</v>
      </c>
      <c r="B365" s="30">
        <v>78.86</v>
      </c>
      <c r="C365" s="30">
        <v>79.83</v>
      </c>
    </row>
    <row r="366" spans="1:3" x14ac:dyDescent="0.15">
      <c r="A366" s="30" t="s">
        <v>252</v>
      </c>
      <c r="B366" s="30">
        <v>14.83</v>
      </c>
      <c r="C366" s="30">
        <v>16.48</v>
      </c>
    </row>
    <row r="367" spans="1:3" x14ac:dyDescent="0.15">
      <c r="A367" s="30" t="s">
        <v>3336</v>
      </c>
      <c r="B367" s="30">
        <v>188.95</v>
      </c>
      <c r="C367" s="30">
        <v>179</v>
      </c>
    </row>
    <row r="368" spans="1:3" x14ac:dyDescent="0.15">
      <c r="A368" s="30" t="s">
        <v>2874</v>
      </c>
      <c r="B368" s="30">
        <v>9.48</v>
      </c>
      <c r="C368" s="30">
        <v>9.11</v>
      </c>
    </row>
    <row r="369" spans="1:3" x14ac:dyDescent="0.15">
      <c r="A369" s="30" t="s">
        <v>904</v>
      </c>
      <c r="B369" s="30">
        <v>3.72</v>
      </c>
      <c r="C369" s="30">
        <v>3.82</v>
      </c>
    </row>
    <row r="370" spans="1:3" x14ac:dyDescent="0.15">
      <c r="A370" s="30" t="s">
        <v>3026</v>
      </c>
      <c r="B370" s="30">
        <v>18.27</v>
      </c>
      <c r="C370" s="30">
        <v>17.64</v>
      </c>
    </row>
    <row r="371" spans="1:3" x14ac:dyDescent="0.15">
      <c r="A371" s="30" t="s">
        <v>752</v>
      </c>
      <c r="B371" s="30">
        <v>35.07</v>
      </c>
      <c r="C371" s="30">
        <v>34.4</v>
      </c>
    </row>
    <row r="372" spans="1:3" x14ac:dyDescent="0.15">
      <c r="A372" s="30" t="s">
        <v>4545</v>
      </c>
      <c r="B372" s="30">
        <v>19.7</v>
      </c>
      <c r="C372" s="30">
        <v>20.5</v>
      </c>
    </row>
    <row r="373" spans="1:3" x14ac:dyDescent="0.15">
      <c r="A373" s="30" t="s">
        <v>832</v>
      </c>
      <c r="B373" s="30">
        <v>63.55</v>
      </c>
      <c r="C373" s="30">
        <v>61.8</v>
      </c>
    </row>
    <row r="374" spans="1:3" x14ac:dyDescent="0.15">
      <c r="A374" s="30" t="s">
        <v>297</v>
      </c>
      <c r="B374" s="30">
        <v>15.7</v>
      </c>
      <c r="C374" s="30">
        <v>15.56</v>
      </c>
    </row>
    <row r="375" spans="1:3" x14ac:dyDescent="0.15">
      <c r="A375" s="30" t="s">
        <v>4546</v>
      </c>
      <c r="B375" s="30">
        <v>9.8800000000000008</v>
      </c>
      <c r="C375" s="30">
        <v>9.7100000000000009</v>
      </c>
    </row>
    <row r="376" spans="1:3" x14ac:dyDescent="0.15">
      <c r="A376" s="30" t="s">
        <v>4547</v>
      </c>
      <c r="B376" s="30">
        <v>7.8</v>
      </c>
      <c r="C376" s="30">
        <v>7.87</v>
      </c>
    </row>
    <row r="377" spans="1:3" x14ac:dyDescent="0.15">
      <c r="A377" s="30" t="s">
        <v>2872</v>
      </c>
      <c r="B377" s="30">
        <v>19.87</v>
      </c>
      <c r="C377" s="30">
        <v>19.95</v>
      </c>
    </row>
    <row r="378" spans="1:3" x14ac:dyDescent="0.15">
      <c r="A378" s="30" t="s">
        <v>688</v>
      </c>
      <c r="B378" s="30">
        <v>9.83</v>
      </c>
      <c r="C378" s="30">
        <v>9.6999999999999993</v>
      </c>
    </row>
    <row r="379" spans="1:3" x14ac:dyDescent="0.15">
      <c r="A379" s="30" t="s">
        <v>449</v>
      </c>
      <c r="B379" s="30">
        <v>10.119999999999999</v>
      </c>
      <c r="C379" s="30">
        <v>10.17</v>
      </c>
    </row>
    <row r="380" spans="1:3" x14ac:dyDescent="0.15">
      <c r="A380" s="30" t="s">
        <v>3240</v>
      </c>
      <c r="B380" s="30">
        <v>60.22</v>
      </c>
      <c r="C380" s="30">
        <v>58.88</v>
      </c>
    </row>
    <row r="381" spans="1:3" x14ac:dyDescent="0.15">
      <c r="A381" s="30" t="s">
        <v>4548</v>
      </c>
      <c r="B381" s="30">
        <v>35.130000000000003</v>
      </c>
      <c r="C381" s="30">
        <v>35.700000000000003</v>
      </c>
    </row>
    <row r="382" spans="1:3" x14ac:dyDescent="0.15">
      <c r="A382" s="30" t="s">
        <v>2848</v>
      </c>
      <c r="B382" s="30">
        <v>18.78</v>
      </c>
      <c r="C382" s="30">
        <v>18.39</v>
      </c>
    </row>
    <row r="383" spans="1:3" x14ac:dyDescent="0.15">
      <c r="A383" s="30" t="s">
        <v>112</v>
      </c>
      <c r="B383" s="30">
        <v>52.62</v>
      </c>
      <c r="C383" s="30">
        <v>48.82</v>
      </c>
    </row>
    <row r="384" spans="1:3" x14ac:dyDescent="0.15">
      <c r="A384" s="30" t="s">
        <v>4549</v>
      </c>
      <c r="B384" s="30">
        <v>12.98</v>
      </c>
      <c r="C384" s="30">
        <v>13.05</v>
      </c>
    </row>
    <row r="385" spans="1:3" x14ac:dyDescent="0.15">
      <c r="A385" s="30" t="s">
        <v>4550</v>
      </c>
      <c r="B385" s="30">
        <v>21.81</v>
      </c>
      <c r="C385" s="30">
        <v>21.81</v>
      </c>
    </row>
    <row r="386" spans="1:3" x14ac:dyDescent="0.15">
      <c r="A386" s="30" t="s">
        <v>4551</v>
      </c>
      <c r="B386" s="30">
        <v>32.58</v>
      </c>
      <c r="C386" s="30">
        <v>32.51</v>
      </c>
    </row>
    <row r="387" spans="1:3" x14ac:dyDescent="0.15">
      <c r="A387" s="30" t="s">
        <v>642</v>
      </c>
      <c r="B387" s="30">
        <v>26.05</v>
      </c>
      <c r="C387" s="30">
        <v>25.76</v>
      </c>
    </row>
    <row r="388" spans="1:3" x14ac:dyDescent="0.15">
      <c r="A388" s="30" t="s">
        <v>3202</v>
      </c>
      <c r="B388" s="30">
        <v>8</v>
      </c>
      <c r="C388" s="30">
        <v>8</v>
      </c>
    </row>
    <row r="389" spans="1:3" x14ac:dyDescent="0.15">
      <c r="A389" s="30" t="s">
        <v>3524</v>
      </c>
      <c r="B389" s="30">
        <v>18</v>
      </c>
      <c r="C389" s="30">
        <v>18.09</v>
      </c>
    </row>
    <row r="390" spans="1:3" x14ac:dyDescent="0.15">
      <c r="A390" s="30" t="s">
        <v>664</v>
      </c>
      <c r="B390" s="30">
        <v>24.64</v>
      </c>
      <c r="C390" s="30">
        <v>23.92</v>
      </c>
    </row>
    <row r="391" spans="1:3" x14ac:dyDescent="0.15">
      <c r="A391" s="30" t="s">
        <v>323</v>
      </c>
      <c r="B391" s="30">
        <v>21.6</v>
      </c>
      <c r="C391" s="30">
        <v>21.6</v>
      </c>
    </row>
    <row r="392" spans="1:3" x14ac:dyDescent="0.15">
      <c r="A392" s="30" t="s">
        <v>4552</v>
      </c>
      <c r="B392" s="30">
        <v>20.79</v>
      </c>
      <c r="C392" s="30">
        <v>20.83</v>
      </c>
    </row>
    <row r="393" spans="1:3" x14ac:dyDescent="0.15">
      <c r="A393" s="30" t="s">
        <v>222</v>
      </c>
      <c r="B393" s="30">
        <v>11.71</v>
      </c>
      <c r="C393" s="30">
        <v>11.71</v>
      </c>
    </row>
    <row r="394" spans="1:3" x14ac:dyDescent="0.15">
      <c r="A394" s="30" t="s">
        <v>698</v>
      </c>
      <c r="B394" s="30">
        <v>10.91</v>
      </c>
      <c r="C394" s="30">
        <v>10.85</v>
      </c>
    </row>
    <row r="395" spans="1:3" x14ac:dyDescent="0.15">
      <c r="A395" s="30" t="s">
        <v>224</v>
      </c>
      <c r="B395" s="30">
        <v>20.079999999999998</v>
      </c>
      <c r="C395" s="30">
        <v>19.68</v>
      </c>
    </row>
    <row r="396" spans="1:3" x14ac:dyDescent="0.15">
      <c r="A396" s="30" t="s">
        <v>363</v>
      </c>
      <c r="B396" s="30">
        <v>72.989999999999995</v>
      </c>
      <c r="C396" s="30">
        <v>68.900000000000006</v>
      </c>
    </row>
    <row r="397" spans="1:3" x14ac:dyDescent="0.15">
      <c r="A397" s="30" t="s">
        <v>4553</v>
      </c>
      <c r="B397" s="30">
        <v>14.65</v>
      </c>
      <c r="C397" s="30">
        <v>14.56</v>
      </c>
    </row>
    <row r="398" spans="1:3" x14ac:dyDescent="0.15">
      <c r="A398" s="30" t="s">
        <v>580</v>
      </c>
      <c r="B398" s="30">
        <v>11.75</v>
      </c>
      <c r="C398" s="30">
        <v>11.5</v>
      </c>
    </row>
    <row r="399" spans="1:3" x14ac:dyDescent="0.15">
      <c r="A399" s="30" t="s">
        <v>4212</v>
      </c>
      <c r="B399" s="30">
        <v>2.996</v>
      </c>
      <c r="C399" s="30">
        <v>2.99</v>
      </c>
    </row>
    <row r="400" spans="1:3" x14ac:dyDescent="0.15">
      <c r="A400" s="30" t="s">
        <v>4554</v>
      </c>
      <c r="B400" s="30">
        <v>12.45</v>
      </c>
      <c r="C400" s="30">
        <v>12.71</v>
      </c>
    </row>
    <row r="401" spans="1:3" x14ac:dyDescent="0.15">
      <c r="A401" s="30" t="s">
        <v>4555</v>
      </c>
      <c r="B401" s="30">
        <v>24.42</v>
      </c>
      <c r="C401" s="30">
        <v>24.36</v>
      </c>
    </row>
    <row r="402" spans="1:3" x14ac:dyDescent="0.15">
      <c r="A402" s="30" t="s">
        <v>375</v>
      </c>
      <c r="B402" s="30">
        <v>68.150000000000006</v>
      </c>
      <c r="C402" s="30">
        <v>65.12</v>
      </c>
    </row>
    <row r="403" spans="1:3" x14ac:dyDescent="0.15">
      <c r="A403" s="30" t="s">
        <v>176</v>
      </c>
      <c r="B403" s="30">
        <v>7.52</v>
      </c>
      <c r="C403" s="30">
        <v>7.07</v>
      </c>
    </row>
    <row r="404" spans="1:3" x14ac:dyDescent="0.15">
      <c r="A404" s="30" t="s">
        <v>367</v>
      </c>
      <c r="B404" s="30">
        <v>10.14</v>
      </c>
      <c r="C404" s="30">
        <v>9.89</v>
      </c>
    </row>
    <row r="405" spans="1:3" x14ac:dyDescent="0.15">
      <c r="A405" s="30" t="s">
        <v>339</v>
      </c>
      <c r="B405" s="30">
        <v>21.86</v>
      </c>
      <c r="C405" s="30">
        <v>22.18</v>
      </c>
    </row>
    <row r="406" spans="1:3" x14ac:dyDescent="0.15">
      <c r="A406" s="30" t="s">
        <v>477</v>
      </c>
      <c r="B406" s="30">
        <v>23.69</v>
      </c>
      <c r="C406" s="30">
        <v>23.37</v>
      </c>
    </row>
    <row r="407" spans="1:3" x14ac:dyDescent="0.15">
      <c r="A407" s="30" t="s">
        <v>3526</v>
      </c>
      <c r="B407" s="30">
        <v>33.11</v>
      </c>
      <c r="C407" s="30">
        <v>31.91</v>
      </c>
    </row>
    <row r="408" spans="1:3" x14ac:dyDescent="0.15">
      <c r="A408" s="30" t="s">
        <v>256</v>
      </c>
      <c r="B408" s="30">
        <v>24.16</v>
      </c>
      <c r="C408" s="30">
        <v>23.99</v>
      </c>
    </row>
    <row r="409" spans="1:3" x14ac:dyDescent="0.15">
      <c r="A409" s="30" t="s">
        <v>1028</v>
      </c>
      <c r="B409" s="30">
        <v>9.15</v>
      </c>
      <c r="C409" s="30">
        <v>9.15</v>
      </c>
    </row>
    <row r="410" spans="1:3" x14ac:dyDescent="0.15">
      <c r="A410" s="30" t="s">
        <v>218</v>
      </c>
      <c r="B410" s="30">
        <v>26.2</v>
      </c>
      <c r="C410" s="30">
        <v>24.98</v>
      </c>
    </row>
    <row r="411" spans="1:3" x14ac:dyDescent="0.15">
      <c r="A411" s="30" t="s">
        <v>588</v>
      </c>
      <c r="B411" s="30">
        <v>70.260000000000005</v>
      </c>
      <c r="C411" s="30">
        <v>67.150000000000006</v>
      </c>
    </row>
    <row r="412" spans="1:3" x14ac:dyDescent="0.15">
      <c r="A412" s="30" t="s">
        <v>208</v>
      </c>
      <c r="B412" s="30">
        <v>28.77</v>
      </c>
      <c r="C412" s="30">
        <v>28.25</v>
      </c>
    </row>
    <row r="413" spans="1:3" x14ac:dyDescent="0.15">
      <c r="A413" s="30" t="s">
        <v>4556</v>
      </c>
      <c r="B413" s="30">
        <v>9.93</v>
      </c>
      <c r="C413" s="30">
        <v>10.01</v>
      </c>
    </row>
    <row r="414" spans="1:3" x14ac:dyDescent="0.15">
      <c r="A414" s="30" t="s">
        <v>4557</v>
      </c>
      <c r="B414" s="30">
        <v>13.27</v>
      </c>
      <c r="C414" s="30">
        <v>13.27</v>
      </c>
    </row>
    <row r="415" spans="1:3" x14ac:dyDescent="0.15">
      <c r="A415" s="30" t="s">
        <v>2782</v>
      </c>
      <c r="B415" s="30">
        <v>4.84</v>
      </c>
      <c r="C415" s="30">
        <v>4.45</v>
      </c>
    </row>
    <row r="416" spans="1:3" x14ac:dyDescent="0.15">
      <c r="A416" s="30" t="s">
        <v>4558</v>
      </c>
      <c r="B416" s="30">
        <v>3.87</v>
      </c>
      <c r="C416" s="30">
        <v>3.88</v>
      </c>
    </row>
    <row r="417" spans="1:3" x14ac:dyDescent="0.15">
      <c r="A417" s="30" t="s">
        <v>582</v>
      </c>
      <c r="B417" s="30">
        <v>13.44</v>
      </c>
      <c r="C417" s="30">
        <v>13.61</v>
      </c>
    </row>
    <row r="418" spans="1:3" x14ac:dyDescent="0.15">
      <c r="A418" s="30" t="s">
        <v>670</v>
      </c>
      <c r="B418" s="30">
        <v>3.76</v>
      </c>
      <c r="C418" s="30">
        <v>3.84</v>
      </c>
    </row>
    <row r="419" spans="1:3" x14ac:dyDescent="0.15">
      <c r="A419" s="30" t="s">
        <v>361</v>
      </c>
      <c r="B419" s="30">
        <v>7.56</v>
      </c>
      <c r="C419" s="30">
        <v>7.68</v>
      </c>
    </row>
    <row r="420" spans="1:3" x14ac:dyDescent="0.15">
      <c r="A420" s="30" t="s">
        <v>3344</v>
      </c>
      <c r="B420" s="30">
        <v>8.24</v>
      </c>
      <c r="C420" s="30">
        <v>8.09</v>
      </c>
    </row>
    <row r="421" spans="1:3" x14ac:dyDescent="0.15">
      <c r="A421" s="30" t="s">
        <v>3330</v>
      </c>
      <c r="B421" s="30">
        <v>23.59</v>
      </c>
      <c r="C421" s="30">
        <v>23.54</v>
      </c>
    </row>
    <row r="422" spans="1:3" x14ac:dyDescent="0.15">
      <c r="A422" s="30" t="s">
        <v>556</v>
      </c>
      <c r="B422" s="30">
        <v>10.29</v>
      </c>
      <c r="C422" s="30">
        <v>10.15</v>
      </c>
    </row>
    <row r="423" spans="1:3" x14ac:dyDescent="0.15">
      <c r="A423" s="30" t="s">
        <v>782</v>
      </c>
      <c r="B423" s="30">
        <v>7.09</v>
      </c>
      <c r="C423" s="30">
        <v>6.94</v>
      </c>
    </row>
    <row r="424" spans="1:3" x14ac:dyDescent="0.15">
      <c r="A424" s="30" t="s">
        <v>3442</v>
      </c>
      <c r="B424" s="30">
        <v>7.07</v>
      </c>
      <c r="C424" s="30">
        <v>7.1</v>
      </c>
    </row>
    <row r="425" spans="1:3" x14ac:dyDescent="0.15">
      <c r="A425" s="30" t="s">
        <v>940</v>
      </c>
      <c r="B425" s="30">
        <v>32.96</v>
      </c>
      <c r="C425" s="30">
        <v>30.83</v>
      </c>
    </row>
    <row r="426" spans="1:3" x14ac:dyDescent="0.15">
      <c r="A426" s="30" t="s">
        <v>3334</v>
      </c>
      <c r="B426" s="30">
        <v>7.15</v>
      </c>
      <c r="C426" s="30">
        <v>7.25</v>
      </c>
    </row>
    <row r="427" spans="1:3" x14ac:dyDescent="0.15">
      <c r="A427" s="30" t="s">
        <v>956</v>
      </c>
      <c r="B427" s="30">
        <v>39.25</v>
      </c>
      <c r="C427" s="30">
        <v>36.049999999999997</v>
      </c>
    </row>
    <row r="428" spans="1:3" x14ac:dyDescent="0.15">
      <c r="A428" s="30" t="s">
        <v>2890</v>
      </c>
      <c r="B428" s="30">
        <v>18.09</v>
      </c>
      <c r="C428" s="30">
        <v>18.190000000000001</v>
      </c>
    </row>
    <row r="429" spans="1:3" x14ac:dyDescent="0.15">
      <c r="A429" s="30" t="s">
        <v>822</v>
      </c>
      <c r="B429" s="30">
        <v>21.78</v>
      </c>
      <c r="C429" s="30">
        <v>21.36</v>
      </c>
    </row>
    <row r="430" spans="1:3" x14ac:dyDescent="0.15">
      <c r="A430" s="30" t="s">
        <v>536</v>
      </c>
      <c r="B430" s="30">
        <v>8.5299999999999994</v>
      </c>
      <c r="C430" s="30">
        <v>8.69</v>
      </c>
    </row>
    <row r="431" spans="1:3" x14ac:dyDescent="0.15">
      <c r="A431" s="30" t="s">
        <v>3152</v>
      </c>
      <c r="B431" s="30">
        <v>6.23</v>
      </c>
      <c r="C431" s="30">
        <v>6.15</v>
      </c>
    </row>
    <row r="432" spans="1:3" x14ac:dyDescent="0.15">
      <c r="A432" s="30" t="s">
        <v>4559</v>
      </c>
      <c r="B432" s="30">
        <v>12.69</v>
      </c>
      <c r="C432" s="30">
        <v>12</v>
      </c>
    </row>
    <row r="433" spans="1:3" x14ac:dyDescent="0.15">
      <c r="A433" s="30" t="s">
        <v>3312</v>
      </c>
      <c r="B433" s="30">
        <v>6.99</v>
      </c>
      <c r="C433" s="30">
        <v>6.97</v>
      </c>
    </row>
    <row r="434" spans="1:3" x14ac:dyDescent="0.15">
      <c r="A434" s="30" t="s">
        <v>425</v>
      </c>
      <c r="B434" s="30">
        <v>55.89</v>
      </c>
      <c r="C434" s="30">
        <v>55.5</v>
      </c>
    </row>
    <row r="435" spans="1:3" x14ac:dyDescent="0.15">
      <c r="A435" s="30" t="s">
        <v>966</v>
      </c>
      <c r="B435" s="30">
        <v>29.82</v>
      </c>
      <c r="C435" s="30">
        <v>29.57</v>
      </c>
    </row>
    <row r="436" spans="1:3" x14ac:dyDescent="0.15">
      <c r="A436" s="30" t="s">
        <v>485</v>
      </c>
      <c r="B436" s="30">
        <v>7.04</v>
      </c>
      <c r="C436" s="30">
        <v>7.11</v>
      </c>
    </row>
    <row r="437" spans="1:3" x14ac:dyDescent="0.15">
      <c r="A437" s="30" t="s">
        <v>206</v>
      </c>
      <c r="B437" s="30">
        <v>53.53</v>
      </c>
      <c r="C437" s="30">
        <v>51.94</v>
      </c>
    </row>
    <row r="438" spans="1:3" x14ac:dyDescent="0.15">
      <c r="A438" s="30" t="s">
        <v>4560</v>
      </c>
      <c r="B438" s="30">
        <v>13.42</v>
      </c>
      <c r="C438" s="30">
        <v>13.68</v>
      </c>
    </row>
    <row r="439" spans="1:3" x14ac:dyDescent="0.15">
      <c r="A439" s="30" t="s">
        <v>4561</v>
      </c>
      <c r="B439" s="30">
        <v>5.79</v>
      </c>
      <c r="C439" s="30">
        <v>5.79</v>
      </c>
    </row>
    <row r="440" spans="1:3" x14ac:dyDescent="0.15">
      <c r="A440" s="30" t="s">
        <v>4562</v>
      </c>
      <c r="B440" s="30">
        <v>18.71</v>
      </c>
      <c r="C440" s="30">
        <v>18.2</v>
      </c>
    </row>
    <row r="441" spans="1:3" x14ac:dyDescent="0.15">
      <c r="A441" s="30" t="s">
        <v>3226</v>
      </c>
      <c r="B441" s="30">
        <v>17.22</v>
      </c>
      <c r="C441" s="30">
        <v>16.420000000000002</v>
      </c>
    </row>
    <row r="442" spans="1:3" x14ac:dyDescent="0.15">
      <c r="A442" s="30" t="s">
        <v>4563</v>
      </c>
      <c r="B442" s="30">
        <v>25.67</v>
      </c>
      <c r="C442" s="30">
        <v>26.24</v>
      </c>
    </row>
    <row r="443" spans="1:3" x14ac:dyDescent="0.15">
      <c r="A443" s="30" t="s">
        <v>3360</v>
      </c>
      <c r="B443" s="30">
        <v>11.54</v>
      </c>
      <c r="C443" s="30">
        <v>11.48</v>
      </c>
    </row>
    <row r="444" spans="1:3" x14ac:dyDescent="0.15">
      <c r="A444" s="30" t="s">
        <v>4564</v>
      </c>
      <c r="B444" s="30">
        <v>9.8800000000000008</v>
      </c>
      <c r="C444" s="30">
        <v>10.3</v>
      </c>
    </row>
    <row r="445" spans="1:3" x14ac:dyDescent="0.15">
      <c r="A445" s="30" t="s">
        <v>351</v>
      </c>
      <c r="B445" s="30">
        <v>26.8</v>
      </c>
      <c r="C445" s="30">
        <v>26.8</v>
      </c>
    </row>
    <row r="446" spans="1:3" x14ac:dyDescent="0.15">
      <c r="A446" s="30" t="s">
        <v>4565</v>
      </c>
      <c r="B446" s="30">
        <v>12.67</v>
      </c>
      <c r="C446" s="30">
        <v>12.83</v>
      </c>
    </row>
    <row r="447" spans="1:3" x14ac:dyDescent="0.15">
      <c r="A447" s="30" t="s">
        <v>1445</v>
      </c>
      <c r="B447" s="30">
        <v>4143.8334000000004</v>
      </c>
      <c r="C447" s="30">
        <v>4120.8508000000002</v>
      </c>
    </row>
    <row r="448" spans="1:3" x14ac:dyDescent="0.15">
      <c r="A448" s="30" t="s">
        <v>3214</v>
      </c>
      <c r="B448" s="30">
        <v>21</v>
      </c>
      <c r="C448" s="30">
        <v>20.95</v>
      </c>
    </row>
    <row r="449" spans="1:3" x14ac:dyDescent="0.15">
      <c r="A449" s="30" t="s">
        <v>266</v>
      </c>
      <c r="B449" s="30">
        <v>41.55</v>
      </c>
      <c r="C449" s="30">
        <v>39.799999999999997</v>
      </c>
    </row>
    <row r="450" spans="1:3" x14ac:dyDescent="0.15">
      <c r="A450" s="30" t="s">
        <v>3228</v>
      </c>
      <c r="B450" s="30">
        <v>17.809999999999999</v>
      </c>
      <c r="C450" s="30">
        <v>17.78</v>
      </c>
    </row>
    <row r="451" spans="1:3" x14ac:dyDescent="0.15">
      <c r="A451" s="30" t="s">
        <v>4566</v>
      </c>
      <c r="B451" s="30">
        <v>14.18</v>
      </c>
      <c r="C451" s="30">
        <v>13.97</v>
      </c>
    </row>
    <row r="452" spans="1:3" x14ac:dyDescent="0.15">
      <c r="A452" s="30" t="s">
        <v>902</v>
      </c>
      <c r="B452" s="30">
        <v>13.32</v>
      </c>
      <c r="C452" s="30">
        <v>12.5</v>
      </c>
    </row>
    <row r="453" spans="1:3" x14ac:dyDescent="0.15">
      <c r="A453" s="30" t="s">
        <v>116</v>
      </c>
      <c r="B453" s="30">
        <v>3.67</v>
      </c>
      <c r="C453" s="30">
        <v>3.66</v>
      </c>
    </row>
    <row r="454" spans="1:3" x14ac:dyDescent="0.15">
      <c r="A454" s="30" t="s">
        <v>4567</v>
      </c>
      <c r="B454" s="30">
        <v>35.409999999999997</v>
      </c>
      <c r="C454" s="30">
        <v>34.840000000000003</v>
      </c>
    </row>
    <row r="455" spans="1:3" x14ac:dyDescent="0.15">
      <c r="A455" s="30" t="s">
        <v>3460</v>
      </c>
      <c r="B455" s="30">
        <v>13.05</v>
      </c>
      <c r="C455" s="30">
        <v>12.61</v>
      </c>
    </row>
    <row r="456" spans="1:3" x14ac:dyDescent="0.15">
      <c r="A456" s="30" t="s">
        <v>738</v>
      </c>
      <c r="B456" s="30">
        <v>42.18</v>
      </c>
      <c r="C456" s="30">
        <v>41.19</v>
      </c>
    </row>
    <row r="457" spans="1:3" x14ac:dyDescent="0.15">
      <c r="A457" s="30" t="s">
        <v>4568</v>
      </c>
      <c r="B457" s="30">
        <v>7.75</v>
      </c>
      <c r="C457" s="30">
        <v>7.7</v>
      </c>
    </row>
    <row r="458" spans="1:3" x14ac:dyDescent="0.15">
      <c r="A458" s="30" t="s">
        <v>4569</v>
      </c>
      <c r="B458" s="30">
        <v>59.29</v>
      </c>
      <c r="C458" s="30">
        <v>57.74</v>
      </c>
    </row>
    <row r="459" spans="1:3" x14ac:dyDescent="0.15">
      <c r="A459" s="30" t="s">
        <v>3528</v>
      </c>
      <c r="B459" s="30">
        <v>9.73</v>
      </c>
      <c r="C459" s="30">
        <v>9.5</v>
      </c>
    </row>
    <row r="460" spans="1:3" x14ac:dyDescent="0.15">
      <c r="A460" s="30" t="s">
        <v>3378</v>
      </c>
      <c r="B460" s="30">
        <v>16.59</v>
      </c>
      <c r="C460" s="30">
        <v>16.29</v>
      </c>
    </row>
    <row r="461" spans="1:3" x14ac:dyDescent="0.15">
      <c r="A461" s="30" t="s">
        <v>592</v>
      </c>
      <c r="B461" s="30">
        <v>16.54</v>
      </c>
      <c r="C461" s="30">
        <v>16.649999999999999</v>
      </c>
    </row>
    <row r="462" spans="1:3" x14ac:dyDescent="0.15">
      <c r="A462" s="30" t="s">
        <v>2850</v>
      </c>
      <c r="B462" s="30">
        <v>7.3</v>
      </c>
      <c r="C462" s="30">
        <v>7.23</v>
      </c>
    </row>
    <row r="463" spans="1:3" x14ac:dyDescent="0.15">
      <c r="A463" s="30" t="s">
        <v>1024</v>
      </c>
      <c r="B463" s="30">
        <v>14.25</v>
      </c>
      <c r="C463" s="30">
        <v>13.18</v>
      </c>
    </row>
    <row r="464" spans="1:3" x14ac:dyDescent="0.15">
      <c r="A464" s="30" t="s">
        <v>435</v>
      </c>
      <c r="B464" s="30">
        <v>21.88</v>
      </c>
      <c r="C464" s="30">
        <v>22.73</v>
      </c>
    </row>
    <row r="465" spans="1:3" x14ac:dyDescent="0.15">
      <c r="A465" s="30" t="s">
        <v>369</v>
      </c>
      <c r="B465" s="30">
        <v>28.9</v>
      </c>
      <c r="C465" s="30">
        <v>28.9</v>
      </c>
    </row>
    <row r="466" spans="1:3" x14ac:dyDescent="0.15">
      <c r="A466" s="30" t="s">
        <v>4570</v>
      </c>
      <c r="B466" s="30">
        <v>5.96</v>
      </c>
      <c r="C466" s="30">
        <v>5.94</v>
      </c>
    </row>
    <row r="467" spans="1:3" x14ac:dyDescent="0.15">
      <c r="A467" s="30" t="s">
        <v>816</v>
      </c>
      <c r="B467" s="30">
        <v>8.9</v>
      </c>
      <c r="C467" s="30">
        <v>8.84</v>
      </c>
    </row>
    <row r="468" spans="1:3" x14ac:dyDescent="0.15">
      <c r="A468" s="30" t="s">
        <v>954</v>
      </c>
      <c r="B468" s="30">
        <v>5.91</v>
      </c>
      <c r="C468" s="30">
        <v>5.78</v>
      </c>
    </row>
    <row r="469" spans="1:3" x14ac:dyDescent="0.15">
      <c r="A469" s="30" t="s">
        <v>4571</v>
      </c>
      <c r="B469" s="30">
        <v>19.399999999999999</v>
      </c>
      <c r="C469" s="30">
        <v>19.68</v>
      </c>
    </row>
    <row r="470" spans="1:3" x14ac:dyDescent="0.15">
      <c r="A470" s="30" t="s">
        <v>2966</v>
      </c>
      <c r="B470" s="30">
        <v>9.85</v>
      </c>
      <c r="C470" s="30">
        <v>9.85</v>
      </c>
    </row>
    <row r="471" spans="1:3" x14ac:dyDescent="0.15">
      <c r="A471" s="30" t="s">
        <v>455</v>
      </c>
      <c r="B471" s="30">
        <v>7.6</v>
      </c>
      <c r="C471" s="30">
        <v>7.48</v>
      </c>
    </row>
    <row r="472" spans="1:3" x14ac:dyDescent="0.15">
      <c r="A472" s="30" t="s">
        <v>4572</v>
      </c>
      <c r="B472" s="30">
        <v>3.68</v>
      </c>
      <c r="C472" s="30">
        <v>3.58</v>
      </c>
    </row>
    <row r="473" spans="1:3" x14ac:dyDescent="0.15">
      <c r="A473" s="30" t="s">
        <v>4573</v>
      </c>
      <c r="B473" s="30">
        <v>10.48</v>
      </c>
      <c r="C473" s="30">
        <v>10.69</v>
      </c>
    </row>
    <row r="474" spans="1:3" x14ac:dyDescent="0.15">
      <c r="A474" s="30" t="s">
        <v>1020</v>
      </c>
      <c r="B474" s="30">
        <v>12.94</v>
      </c>
      <c r="C474" s="30">
        <v>13.08</v>
      </c>
    </row>
    <row r="475" spans="1:3" x14ac:dyDescent="0.15">
      <c r="A475" s="30" t="s">
        <v>2772</v>
      </c>
      <c r="B475" s="30">
        <v>8.7899999999999991</v>
      </c>
      <c r="C475" s="30">
        <v>9.09</v>
      </c>
    </row>
    <row r="476" spans="1:3" x14ac:dyDescent="0.15">
      <c r="A476" s="30" t="s">
        <v>2784</v>
      </c>
      <c r="B476" s="30">
        <v>15.26</v>
      </c>
      <c r="C476" s="30">
        <v>15.3</v>
      </c>
    </row>
    <row r="477" spans="1:3" x14ac:dyDescent="0.15">
      <c r="A477" s="30" t="s">
        <v>1018</v>
      </c>
      <c r="B477" s="30">
        <v>18.579999999999998</v>
      </c>
      <c r="C477" s="30">
        <v>20.64</v>
      </c>
    </row>
    <row r="478" spans="1:3" x14ac:dyDescent="0.15">
      <c r="A478" s="30" t="s">
        <v>4574</v>
      </c>
      <c r="B478" s="30">
        <v>9.57</v>
      </c>
      <c r="C478" s="30">
        <v>9.9499999999999993</v>
      </c>
    </row>
    <row r="479" spans="1:3" x14ac:dyDescent="0.15">
      <c r="A479" s="30" t="s">
        <v>327</v>
      </c>
      <c r="B479" s="30">
        <v>8.8800000000000008</v>
      </c>
      <c r="C479" s="30">
        <v>8.56</v>
      </c>
    </row>
    <row r="480" spans="1:3" x14ac:dyDescent="0.15">
      <c r="A480" s="30" t="s">
        <v>2978</v>
      </c>
      <c r="B480" s="30">
        <v>24.9</v>
      </c>
      <c r="C480" s="30">
        <v>23.85</v>
      </c>
    </row>
    <row r="481" spans="1:3" x14ac:dyDescent="0.15">
      <c r="A481" s="30" t="s">
        <v>4575</v>
      </c>
      <c r="B481" s="30">
        <v>6.83</v>
      </c>
      <c r="C481" s="30">
        <v>6.9</v>
      </c>
    </row>
    <row r="482" spans="1:3" x14ac:dyDescent="0.15">
      <c r="A482" s="30" t="s">
        <v>2748</v>
      </c>
      <c r="B482" s="30">
        <v>7.03</v>
      </c>
      <c r="C482" s="30">
        <v>7.14</v>
      </c>
    </row>
    <row r="483" spans="1:3" x14ac:dyDescent="0.15">
      <c r="A483" s="30" t="s">
        <v>4576</v>
      </c>
      <c r="B483" s="30">
        <v>6.53</v>
      </c>
      <c r="C483" s="30">
        <v>6.46</v>
      </c>
    </row>
    <row r="484" spans="1:3" x14ac:dyDescent="0.15">
      <c r="A484" s="30" t="s">
        <v>4577</v>
      </c>
      <c r="B484" s="30">
        <v>11.49</v>
      </c>
      <c r="C484" s="30">
        <v>11.44</v>
      </c>
    </row>
    <row r="485" spans="1:3" x14ac:dyDescent="0.15">
      <c r="A485" s="30" t="s">
        <v>4578</v>
      </c>
      <c r="B485" s="30">
        <v>49.91</v>
      </c>
      <c r="C485" s="30">
        <v>51.36</v>
      </c>
    </row>
    <row r="486" spans="1:3" x14ac:dyDescent="0.15">
      <c r="A486" s="30" t="s">
        <v>4579</v>
      </c>
      <c r="B486" s="30">
        <v>13.77</v>
      </c>
      <c r="C486" s="30">
        <v>13.75</v>
      </c>
    </row>
    <row r="487" spans="1:3" x14ac:dyDescent="0.15">
      <c r="A487" s="30" t="s">
        <v>4580</v>
      </c>
      <c r="B487" s="30">
        <v>14.68</v>
      </c>
      <c r="C487" s="30">
        <v>15.3</v>
      </c>
    </row>
    <row r="488" spans="1:3" x14ac:dyDescent="0.15">
      <c r="A488" s="30" t="s">
        <v>3416</v>
      </c>
      <c r="B488" s="30">
        <v>9.8699999999999992</v>
      </c>
      <c r="C488" s="30">
        <v>9.59</v>
      </c>
    </row>
    <row r="489" spans="1:3" x14ac:dyDescent="0.15">
      <c r="A489" s="30" t="s">
        <v>4581</v>
      </c>
      <c r="B489" s="30">
        <v>24.14</v>
      </c>
      <c r="C489" s="30">
        <v>24.14</v>
      </c>
    </row>
    <row r="490" spans="1:3" x14ac:dyDescent="0.15">
      <c r="A490" s="30" t="s">
        <v>2870</v>
      </c>
      <c r="B490" s="30">
        <v>17.25</v>
      </c>
      <c r="C490" s="30">
        <v>17.510000000000002</v>
      </c>
    </row>
    <row r="491" spans="1:3" x14ac:dyDescent="0.15">
      <c r="A491" s="30" t="s">
        <v>3036</v>
      </c>
      <c r="B491" s="30">
        <v>11.59</v>
      </c>
      <c r="C491" s="30">
        <v>11.6</v>
      </c>
    </row>
    <row r="492" spans="1:3" x14ac:dyDescent="0.15">
      <c r="A492" s="30" t="s">
        <v>3404</v>
      </c>
      <c r="B492" s="30">
        <v>39.89</v>
      </c>
      <c r="C492" s="30">
        <v>40.4</v>
      </c>
    </row>
    <row r="493" spans="1:3" x14ac:dyDescent="0.15">
      <c r="A493" s="30" t="s">
        <v>4582</v>
      </c>
      <c r="B493" s="30">
        <v>7.87</v>
      </c>
      <c r="C493" s="30">
        <v>7.84</v>
      </c>
    </row>
    <row r="494" spans="1:3" x14ac:dyDescent="0.15">
      <c r="A494" s="30" t="s">
        <v>4583</v>
      </c>
      <c r="B494" s="30">
        <v>13.1</v>
      </c>
      <c r="C494" s="30">
        <v>13.2</v>
      </c>
    </row>
    <row r="495" spans="1:3" x14ac:dyDescent="0.15">
      <c r="A495" s="30" t="s">
        <v>590</v>
      </c>
      <c r="B495" s="30">
        <v>17.239999999999998</v>
      </c>
      <c r="C495" s="30">
        <v>16.510000000000002</v>
      </c>
    </row>
    <row r="496" spans="1:3" x14ac:dyDescent="0.15">
      <c r="A496" s="30" t="s">
        <v>3082</v>
      </c>
      <c r="B496" s="30">
        <v>15.99</v>
      </c>
      <c r="C496" s="30">
        <v>16.190000000000001</v>
      </c>
    </row>
    <row r="497" spans="1:3" x14ac:dyDescent="0.15">
      <c r="A497" s="30" t="s">
        <v>614</v>
      </c>
      <c r="B497" s="30">
        <v>6.13</v>
      </c>
      <c r="C497" s="30">
        <v>6.21</v>
      </c>
    </row>
    <row r="498" spans="1:3" x14ac:dyDescent="0.15">
      <c r="A498" s="30" t="s">
        <v>866</v>
      </c>
      <c r="B498" s="30">
        <v>62.16</v>
      </c>
      <c r="C498" s="30">
        <v>61.61</v>
      </c>
    </row>
    <row r="499" spans="1:3" x14ac:dyDescent="0.15">
      <c r="A499" s="30" t="s">
        <v>804</v>
      </c>
      <c r="B499" s="30">
        <v>12.45</v>
      </c>
      <c r="C499" s="30">
        <v>12.65</v>
      </c>
    </row>
    <row r="500" spans="1:3" x14ac:dyDescent="0.15">
      <c r="A500" s="30" t="s">
        <v>1060</v>
      </c>
      <c r="B500" s="30">
        <v>37.9</v>
      </c>
      <c r="C500" s="30">
        <v>37.1</v>
      </c>
    </row>
    <row r="501" spans="1:3" x14ac:dyDescent="0.15">
      <c r="A501" s="30" t="s">
        <v>1972</v>
      </c>
      <c r="B501" s="30">
        <v>0</v>
      </c>
      <c r="C501" s="30">
        <v>0</v>
      </c>
    </row>
    <row r="502" spans="1:3" x14ac:dyDescent="0.15">
      <c r="A502" s="30" t="s">
        <v>882</v>
      </c>
      <c r="B502" s="30">
        <v>19.190000000000001</v>
      </c>
      <c r="C502" s="30">
        <v>19.25</v>
      </c>
    </row>
    <row r="503" spans="1:3" x14ac:dyDescent="0.15">
      <c r="A503" s="30" t="s">
        <v>3096</v>
      </c>
      <c r="B503" s="30">
        <v>17.22</v>
      </c>
      <c r="C503" s="30">
        <v>16.97</v>
      </c>
    </row>
    <row r="504" spans="1:3" x14ac:dyDescent="0.15">
      <c r="A504" s="30" t="s">
        <v>495</v>
      </c>
      <c r="B504" s="30">
        <v>16.489999999999998</v>
      </c>
      <c r="C504" s="30">
        <v>16.39</v>
      </c>
    </row>
    <row r="505" spans="1:3" x14ac:dyDescent="0.15">
      <c r="A505" s="30" t="s">
        <v>383</v>
      </c>
      <c r="B505" s="30">
        <v>15.26</v>
      </c>
      <c r="C505" s="30">
        <v>14.67</v>
      </c>
    </row>
    <row r="506" spans="1:3" x14ac:dyDescent="0.15">
      <c r="A506" s="30" t="s">
        <v>3138</v>
      </c>
      <c r="B506" s="30">
        <v>11.22</v>
      </c>
      <c r="C506" s="30">
        <v>11.35</v>
      </c>
    </row>
    <row r="507" spans="1:3" x14ac:dyDescent="0.15">
      <c r="A507" s="30" t="s">
        <v>4584</v>
      </c>
      <c r="B507" s="30">
        <v>7.22</v>
      </c>
      <c r="C507" s="30">
        <v>7.15</v>
      </c>
    </row>
    <row r="508" spans="1:3" x14ac:dyDescent="0.15">
      <c r="A508" s="30" t="s">
        <v>660</v>
      </c>
      <c r="B508" s="30">
        <v>6.3</v>
      </c>
      <c r="C508" s="30">
        <v>6.33</v>
      </c>
    </row>
    <row r="509" spans="1:3" x14ac:dyDescent="0.15">
      <c r="A509" s="30" t="s">
        <v>794</v>
      </c>
      <c r="B509" s="30">
        <v>7.69</v>
      </c>
      <c r="C509" s="30">
        <v>7.75</v>
      </c>
    </row>
    <row r="510" spans="1:3" x14ac:dyDescent="0.15">
      <c r="A510" s="30" t="s">
        <v>130</v>
      </c>
      <c r="B510" s="30">
        <v>26.74</v>
      </c>
      <c r="C510" s="30">
        <v>25.91</v>
      </c>
    </row>
    <row r="511" spans="1:3" x14ac:dyDescent="0.15">
      <c r="A511" s="30" t="s">
        <v>4585</v>
      </c>
      <c r="B511" s="30">
        <v>45.62</v>
      </c>
      <c r="C511" s="30">
        <v>45.62</v>
      </c>
    </row>
    <row r="512" spans="1:3" x14ac:dyDescent="0.15">
      <c r="A512" s="30" t="s">
        <v>4586</v>
      </c>
      <c r="B512" s="30">
        <v>12.89</v>
      </c>
      <c r="C512" s="30">
        <v>12.35</v>
      </c>
    </row>
    <row r="513" spans="1:3" x14ac:dyDescent="0.15">
      <c r="A513" s="30" t="s">
        <v>4587</v>
      </c>
      <c r="B513" s="30">
        <v>25.33</v>
      </c>
      <c r="C513" s="30">
        <v>25.29</v>
      </c>
    </row>
    <row r="514" spans="1:3" x14ac:dyDescent="0.15">
      <c r="A514" s="30" t="s">
        <v>602</v>
      </c>
      <c r="B514" s="30">
        <v>8.58</v>
      </c>
      <c r="C514" s="30">
        <v>8.5500000000000007</v>
      </c>
    </row>
    <row r="515" spans="1:3" x14ac:dyDescent="0.15">
      <c r="A515" s="30" t="s">
        <v>2980</v>
      </c>
      <c r="B515" s="30">
        <v>13.27</v>
      </c>
      <c r="C515" s="30">
        <v>13.24</v>
      </c>
    </row>
    <row r="516" spans="1:3" x14ac:dyDescent="0.15">
      <c r="A516" s="30" t="s">
        <v>890</v>
      </c>
      <c r="B516" s="30">
        <v>14.12</v>
      </c>
      <c r="C516" s="30">
        <v>14.33</v>
      </c>
    </row>
    <row r="517" spans="1:3" x14ac:dyDescent="0.15">
      <c r="A517" s="30" t="s">
        <v>530</v>
      </c>
      <c r="B517" s="30">
        <v>12.53</v>
      </c>
      <c r="C517" s="30">
        <v>12.5</v>
      </c>
    </row>
    <row r="518" spans="1:3" x14ac:dyDescent="0.15">
      <c r="A518" s="30" t="s">
        <v>620</v>
      </c>
      <c r="B518" s="30">
        <v>9.3000000000000007</v>
      </c>
      <c r="C518" s="30">
        <v>9.6199999999999992</v>
      </c>
    </row>
    <row r="519" spans="1:3" x14ac:dyDescent="0.15">
      <c r="A519" s="30" t="s">
        <v>1000</v>
      </c>
      <c r="B519" s="30">
        <v>11.41</v>
      </c>
      <c r="C519" s="30">
        <v>11.6</v>
      </c>
    </row>
    <row r="520" spans="1:3" x14ac:dyDescent="0.15">
      <c r="A520" s="30" t="s">
        <v>676</v>
      </c>
      <c r="B520" s="30">
        <v>15.59</v>
      </c>
      <c r="C520" s="30">
        <v>15.73</v>
      </c>
    </row>
    <row r="521" spans="1:3" x14ac:dyDescent="0.15">
      <c r="A521" s="30" t="s">
        <v>936</v>
      </c>
      <c r="B521" s="30">
        <v>9.06</v>
      </c>
      <c r="C521" s="30">
        <v>9.08</v>
      </c>
    </row>
    <row r="522" spans="1:3" x14ac:dyDescent="0.15">
      <c r="A522" s="30" t="s">
        <v>828</v>
      </c>
      <c r="B522" s="30">
        <v>11.12</v>
      </c>
      <c r="C522" s="30">
        <v>11.38</v>
      </c>
    </row>
    <row r="523" spans="1:3" x14ac:dyDescent="0.15">
      <c r="A523" s="30" t="s">
        <v>922</v>
      </c>
      <c r="B523" s="30">
        <v>15.77</v>
      </c>
      <c r="C523" s="30">
        <v>15.69</v>
      </c>
    </row>
    <row r="524" spans="1:3" x14ac:dyDescent="0.15">
      <c r="A524" s="30" t="s">
        <v>2820</v>
      </c>
      <c r="B524" s="30">
        <v>10.72</v>
      </c>
      <c r="C524" s="30">
        <v>10.8</v>
      </c>
    </row>
    <row r="525" spans="1:3" x14ac:dyDescent="0.15">
      <c r="A525" s="30" t="s">
        <v>493</v>
      </c>
      <c r="B525" s="30">
        <v>22.47</v>
      </c>
      <c r="C525" s="30">
        <v>22.47</v>
      </c>
    </row>
    <row r="526" spans="1:3" x14ac:dyDescent="0.15">
      <c r="A526" s="30" t="s">
        <v>4588</v>
      </c>
      <c r="B526" s="30">
        <v>7.91</v>
      </c>
      <c r="C526" s="30">
        <v>7.79</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11.96</v>
      </c>
      <c r="C529" s="30">
        <v>12.06</v>
      </c>
    </row>
    <row r="530" spans="1:3" x14ac:dyDescent="0.15">
      <c r="A530" s="30" t="s">
        <v>2832</v>
      </c>
      <c r="B530" s="30">
        <v>14.98</v>
      </c>
      <c r="C530" s="30">
        <v>15.28</v>
      </c>
    </row>
    <row r="531" spans="1:3" x14ac:dyDescent="0.15">
      <c r="A531" s="30" t="s">
        <v>3224</v>
      </c>
      <c r="B531" s="30">
        <v>8.7100000000000009</v>
      </c>
      <c r="C531" s="30">
        <v>8.81</v>
      </c>
    </row>
    <row r="532" spans="1:3" x14ac:dyDescent="0.15">
      <c r="A532" s="30" t="s">
        <v>4590</v>
      </c>
      <c r="B532" s="30">
        <v>7.12</v>
      </c>
      <c r="C532" s="30">
        <v>7.1</v>
      </c>
    </row>
    <row r="533" spans="1:3" x14ac:dyDescent="0.15">
      <c r="A533" s="30" t="s">
        <v>359</v>
      </c>
      <c r="B533" s="30">
        <v>13.51</v>
      </c>
      <c r="C533" s="30">
        <v>13.35</v>
      </c>
    </row>
    <row r="534" spans="1:3" x14ac:dyDescent="0.15">
      <c r="A534" s="30" t="s">
        <v>3014</v>
      </c>
      <c r="B534" s="30">
        <v>11.88</v>
      </c>
      <c r="C534" s="30">
        <v>11.7</v>
      </c>
    </row>
    <row r="535" spans="1:3" x14ac:dyDescent="0.15">
      <c r="A535" s="30" t="s">
        <v>630</v>
      </c>
      <c r="B535" s="30">
        <v>4.1100000000000003</v>
      </c>
      <c r="C535" s="30">
        <v>4.09</v>
      </c>
    </row>
    <row r="536" spans="1:3" x14ac:dyDescent="0.15">
      <c r="A536" s="30" t="s">
        <v>4591</v>
      </c>
      <c r="B536" s="30">
        <v>10.74</v>
      </c>
      <c r="C536" s="30">
        <v>10.35</v>
      </c>
    </row>
    <row r="537" spans="1:3" x14ac:dyDescent="0.15">
      <c r="A537" s="30" t="s">
        <v>702</v>
      </c>
      <c r="B537" s="30">
        <v>15.28</v>
      </c>
      <c r="C537" s="30">
        <v>14.91</v>
      </c>
    </row>
    <row r="538" spans="1:3" x14ac:dyDescent="0.15">
      <c r="A538" s="30" t="s">
        <v>4592</v>
      </c>
      <c r="B538" s="30">
        <v>26.23</v>
      </c>
      <c r="C538" s="30">
        <v>25.62</v>
      </c>
    </row>
    <row r="539" spans="1:3" x14ac:dyDescent="0.15">
      <c r="A539" s="30" t="s">
        <v>216</v>
      </c>
      <c r="B539" s="30">
        <v>17.14</v>
      </c>
      <c r="C539" s="30">
        <v>17.149999999999999</v>
      </c>
    </row>
    <row r="540" spans="1:3" x14ac:dyDescent="0.15">
      <c r="A540" s="30" t="s">
        <v>3358</v>
      </c>
      <c r="B540" s="30">
        <v>9.94</v>
      </c>
      <c r="C540" s="30">
        <v>9.3699999999999992</v>
      </c>
    </row>
    <row r="541" spans="1:3" x14ac:dyDescent="0.15">
      <c r="A541" s="30" t="s">
        <v>451</v>
      </c>
      <c r="B541" s="30">
        <v>15.09</v>
      </c>
      <c r="C541" s="30">
        <v>15.18</v>
      </c>
    </row>
    <row r="542" spans="1:3" x14ac:dyDescent="0.15">
      <c r="A542" s="30" t="s">
        <v>3112</v>
      </c>
      <c r="B542" s="30">
        <v>9.5</v>
      </c>
      <c r="C542" s="30">
        <v>9.9700000000000006</v>
      </c>
    </row>
    <row r="543" spans="1:3" x14ac:dyDescent="0.15">
      <c r="A543" s="30" t="s">
        <v>4593</v>
      </c>
      <c r="B543" s="30">
        <v>9.9</v>
      </c>
      <c r="C543" s="30">
        <v>10.08</v>
      </c>
    </row>
    <row r="544" spans="1:3" x14ac:dyDescent="0.15">
      <c r="A544" s="30" t="s">
        <v>4594</v>
      </c>
      <c r="B544" s="30">
        <v>23.67</v>
      </c>
      <c r="C544" s="30">
        <v>23.83</v>
      </c>
    </row>
    <row r="545" spans="1:3" x14ac:dyDescent="0.15">
      <c r="A545" s="30" t="s">
        <v>1068</v>
      </c>
      <c r="B545" s="30">
        <v>18.010000000000002</v>
      </c>
      <c r="C545" s="30">
        <v>17.78</v>
      </c>
    </row>
    <row r="546" spans="1:3" x14ac:dyDescent="0.15">
      <c r="A546" s="30" t="s">
        <v>968</v>
      </c>
      <c r="B546" s="30">
        <v>8.64</v>
      </c>
      <c r="C546" s="30">
        <v>8.73</v>
      </c>
    </row>
    <row r="547" spans="1:3" x14ac:dyDescent="0.15">
      <c r="A547" s="30" t="s">
        <v>341</v>
      </c>
      <c r="B547" s="30">
        <v>13.35</v>
      </c>
      <c r="C547" s="30">
        <v>13.02</v>
      </c>
    </row>
    <row r="548" spans="1:3" x14ac:dyDescent="0.15">
      <c r="A548" s="30" t="s">
        <v>4595</v>
      </c>
      <c r="B548" s="30">
        <v>9.7200000000000006</v>
      </c>
      <c r="C548" s="30">
        <v>9.6300000000000008</v>
      </c>
    </row>
    <row r="549" spans="1:3" x14ac:dyDescent="0.15">
      <c r="A549" s="30" t="s">
        <v>648</v>
      </c>
      <c r="B549" s="30">
        <v>11.79</v>
      </c>
      <c r="C549" s="30">
        <v>11.45</v>
      </c>
    </row>
    <row r="550" spans="1:3" x14ac:dyDescent="0.15">
      <c r="A550" s="30" t="s">
        <v>3078</v>
      </c>
      <c r="B550" s="30">
        <v>14.75</v>
      </c>
      <c r="C550" s="30">
        <v>14.36</v>
      </c>
    </row>
    <row r="551" spans="1:3" x14ac:dyDescent="0.15">
      <c r="A551" s="30" t="s">
        <v>431</v>
      </c>
      <c r="B551" s="30">
        <v>12.47</v>
      </c>
      <c r="C551" s="30">
        <v>12.5</v>
      </c>
    </row>
    <row r="552" spans="1:3" x14ac:dyDescent="0.15">
      <c r="A552" s="30" t="s">
        <v>347</v>
      </c>
      <c r="B552" s="30">
        <v>10.89</v>
      </c>
      <c r="C552" s="30">
        <v>10.64</v>
      </c>
    </row>
    <row r="553" spans="1:3" x14ac:dyDescent="0.15">
      <c r="A553" s="30" t="s">
        <v>758</v>
      </c>
      <c r="B553" s="30">
        <v>9.91</v>
      </c>
      <c r="C553" s="30">
        <v>10.039999999999999</v>
      </c>
    </row>
    <row r="554" spans="1:3" x14ac:dyDescent="0.15">
      <c r="A554" s="30" t="s">
        <v>4596</v>
      </c>
      <c r="B554" s="30">
        <v>13.96</v>
      </c>
      <c r="C554" s="30">
        <v>13.75</v>
      </c>
    </row>
    <row r="555" spans="1:3" x14ac:dyDescent="0.15">
      <c r="A555" s="30" t="s">
        <v>303</v>
      </c>
      <c r="B555" s="30">
        <v>19.95</v>
      </c>
      <c r="C555" s="30">
        <v>20.07</v>
      </c>
    </row>
    <row r="556" spans="1:3" x14ac:dyDescent="0.15">
      <c r="A556" s="30" t="s">
        <v>714</v>
      </c>
      <c r="B556" s="30">
        <v>16.07</v>
      </c>
      <c r="C556" s="30">
        <v>16.149999999999999</v>
      </c>
    </row>
    <row r="557" spans="1:3" x14ac:dyDescent="0.15">
      <c r="A557" s="30" t="s">
        <v>4597</v>
      </c>
      <c r="B557" s="30">
        <v>8.69</v>
      </c>
      <c r="C557" s="30">
        <v>8.69</v>
      </c>
    </row>
    <row r="558" spans="1:3" x14ac:dyDescent="0.15">
      <c r="A558" s="30" t="s">
        <v>178</v>
      </c>
      <c r="B558" s="30">
        <v>15.14</v>
      </c>
      <c r="C558" s="30">
        <v>15.31</v>
      </c>
    </row>
    <row r="559" spans="1:3" x14ac:dyDescent="0.15">
      <c r="A559" s="30" t="s">
        <v>465</v>
      </c>
      <c r="B559" s="30">
        <v>17.02</v>
      </c>
      <c r="C559" s="30">
        <v>16.93</v>
      </c>
    </row>
    <row r="560" spans="1:3" x14ac:dyDescent="0.15">
      <c r="A560" s="30" t="s">
        <v>690</v>
      </c>
      <c r="B560" s="30">
        <v>58.14</v>
      </c>
      <c r="C560" s="30">
        <v>54.2</v>
      </c>
    </row>
    <row r="561" spans="1:3" x14ac:dyDescent="0.15">
      <c r="A561" s="30" t="s">
        <v>2746</v>
      </c>
      <c r="B561" s="30">
        <v>6.07</v>
      </c>
      <c r="C561" s="30">
        <v>6.06</v>
      </c>
    </row>
    <row r="562" spans="1:3" x14ac:dyDescent="0.15">
      <c r="A562" s="30" t="s">
        <v>2770</v>
      </c>
      <c r="B562" s="30">
        <v>3.37</v>
      </c>
      <c r="C562" s="30">
        <v>3.42</v>
      </c>
    </row>
    <row r="563" spans="1:3" x14ac:dyDescent="0.15">
      <c r="A563" s="30" t="s">
        <v>3174</v>
      </c>
      <c r="B563" s="30">
        <v>22.45</v>
      </c>
      <c r="C563" s="30">
        <v>22.1</v>
      </c>
    </row>
    <row r="564" spans="1:3" x14ac:dyDescent="0.15">
      <c r="A564" s="30" t="s">
        <v>826</v>
      </c>
      <c r="B564" s="30">
        <v>7.83</v>
      </c>
      <c r="C564" s="30">
        <v>7.83</v>
      </c>
    </row>
    <row r="565" spans="1:3" x14ac:dyDescent="0.15">
      <c r="A565" s="30" t="s">
        <v>4598</v>
      </c>
      <c r="B565" s="30">
        <v>14.61</v>
      </c>
      <c r="C565" s="30">
        <v>14.59</v>
      </c>
    </row>
    <row r="566" spans="1:3" x14ac:dyDescent="0.15">
      <c r="A566" s="30" t="s">
        <v>680</v>
      </c>
      <c r="B566" s="30">
        <v>12.4</v>
      </c>
      <c r="C566" s="30">
        <v>12.39</v>
      </c>
    </row>
    <row r="567" spans="1:3" x14ac:dyDescent="0.15">
      <c r="A567" s="30" t="s">
        <v>784</v>
      </c>
      <c r="B567" s="30">
        <v>29.8</v>
      </c>
      <c r="C567" s="30">
        <v>29.2</v>
      </c>
    </row>
    <row r="568" spans="1:3" x14ac:dyDescent="0.15">
      <c r="A568" s="30" t="s">
        <v>4599</v>
      </c>
      <c r="B568" s="30">
        <v>8.3000000000000007</v>
      </c>
      <c r="C568" s="30">
        <v>8.4</v>
      </c>
    </row>
    <row r="569" spans="1:3" x14ac:dyDescent="0.15">
      <c r="A569" s="30" t="s">
        <v>501</v>
      </c>
      <c r="B569" s="30">
        <v>28.55</v>
      </c>
      <c r="C569" s="30">
        <v>27.96</v>
      </c>
    </row>
    <row r="570" spans="1:3" x14ac:dyDescent="0.15">
      <c r="A570" s="30" t="s">
        <v>2758</v>
      </c>
      <c r="B570" s="30">
        <v>16.46</v>
      </c>
      <c r="C570" s="30">
        <v>16.84</v>
      </c>
    </row>
    <row r="571" spans="1:3" x14ac:dyDescent="0.15">
      <c r="A571" s="30" t="s">
        <v>732</v>
      </c>
      <c r="B571" s="30">
        <v>13.08</v>
      </c>
      <c r="C571" s="30">
        <v>12.63</v>
      </c>
    </row>
    <row r="572" spans="1:3" x14ac:dyDescent="0.15">
      <c r="A572" s="30" t="s">
        <v>4600</v>
      </c>
      <c r="B572" s="30">
        <v>15.48</v>
      </c>
      <c r="C572" s="30">
        <v>15.07</v>
      </c>
    </row>
    <row r="573" spans="1:3" x14ac:dyDescent="0.15">
      <c r="A573" s="30" t="s">
        <v>2916</v>
      </c>
      <c r="B573" s="30">
        <v>8.65</v>
      </c>
      <c r="C573" s="30">
        <v>8.69</v>
      </c>
    </row>
    <row r="574" spans="1:3" x14ac:dyDescent="0.15">
      <c r="A574" s="30" t="s">
        <v>3418</v>
      </c>
      <c r="B574" s="30">
        <v>24.13</v>
      </c>
      <c r="C574" s="30">
        <v>23.89</v>
      </c>
    </row>
    <row r="575" spans="1:3" x14ac:dyDescent="0.15">
      <c r="A575" s="30" t="s">
        <v>652</v>
      </c>
      <c r="B575" s="30">
        <v>8.73</v>
      </c>
      <c r="C575" s="30">
        <v>8.8800000000000008</v>
      </c>
    </row>
    <row r="576" spans="1:3" x14ac:dyDescent="0.15">
      <c r="A576" s="30" t="s">
        <v>1008</v>
      </c>
      <c r="B576" s="30">
        <v>8.11</v>
      </c>
      <c r="C576" s="30">
        <v>8.2799999999999994</v>
      </c>
    </row>
    <row r="577" spans="1:3" x14ac:dyDescent="0.15">
      <c r="A577" s="30" t="s">
        <v>4601</v>
      </c>
      <c r="B577" s="30">
        <v>8.4600000000000009</v>
      </c>
      <c r="C577" s="30">
        <v>8.6</v>
      </c>
    </row>
    <row r="578" spans="1:3" x14ac:dyDescent="0.15">
      <c r="A578" s="30" t="s">
        <v>2982</v>
      </c>
      <c r="B578" s="30">
        <v>10.19</v>
      </c>
      <c r="C578" s="30">
        <v>10.02</v>
      </c>
    </row>
    <row r="579" spans="1:3" x14ac:dyDescent="0.15">
      <c r="A579" s="30" t="s">
        <v>3408</v>
      </c>
      <c r="B579" s="30">
        <v>28.34</v>
      </c>
      <c r="C579" s="30">
        <v>27.68</v>
      </c>
    </row>
    <row r="580" spans="1:3" x14ac:dyDescent="0.15">
      <c r="A580" s="30" t="s">
        <v>2932</v>
      </c>
      <c r="B580" s="30">
        <v>20.32</v>
      </c>
      <c r="C580" s="30">
        <v>19.43</v>
      </c>
    </row>
    <row r="581" spans="1:3" x14ac:dyDescent="0.15">
      <c r="A581" s="30" t="s">
        <v>515</v>
      </c>
      <c r="B581" s="30">
        <v>37.85</v>
      </c>
      <c r="C581" s="30">
        <v>38.35</v>
      </c>
    </row>
    <row r="582" spans="1:3" x14ac:dyDescent="0.15">
      <c r="A582" s="30" t="s">
        <v>4602</v>
      </c>
      <c r="B582" s="30">
        <v>29.58</v>
      </c>
      <c r="C582" s="30">
        <v>29.61</v>
      </c>
    </row>
    <row r="583" spans="1:3" x14ac:dyDescent="0.15">
      <c r="A583" s="30" t="s">
        <v>624</v>
      </c>
      <c r="B583" s="30">
        <v>41.99</v>
      </c>
      <c r="C583" s="30">
        <v>41.45</v>
      </c>
    </row>
    <row r="584" spans="1:3" x14ac:dyDescent="0.15">
      <c r="A584" s="30" t="s">
        <v>950</v>
      </c>
      <c r="B584" s="30">
        <v>24.16</v>
      </c>
      <c r="C584" s="30">
        <v>24.16</v>
      </c>
    </row>
    <row r="585" spans="1:3" x14ac:dyDescent="0.15">
      <c r="A585" s="30" t="s">
        <v>371</v>
      </c>
      <c r="B585" s="30">
        <v>11.19</v>
      </c>
      <c r="C585" s="30">
        <v>11.43</v>
      </c>
    </row>
    <row r="586" spans="1:3" x14ac:dyDescent="0.15">
      <c r="A586" s="30" t="s">
        <v>174</v>
      </c>
      <c r="B586" s="30">
        <v>34.65</v>
      </c>
      <c r="C586" s="30">
        <v>33.090000000000003</v>
      </c>
    </row>
    <row r="587" spans="1:3" x14ac:dyDescent="0.15">
      <c r="A587" s="30" t="s">
        <v>160</v>
      </c>
      <c r="B587" s="30">
        <v>12.2</v>
      </c>
      <c r="C587" s="30">
        <v>12.27</v>
      </c>
    </row>
    <row r="588" spans="1:3" x14ac:dyDescent="0.15">
      <c r="A588" s="30" t="s">
        <v>934</v>
      </c>
      <c r="B588" s="30">
        <v>7.79</v>
      </c>
      <c r="C588" s="30">
        <v>7.77</v>
      </c>
    </row>
    <row r="589" spans="1:3" x14ac:dyDescent="0.15">
      <c r="A589" s="30" t="s">
        <v>746</v>
      </c>
      <c r="B589" s="30">
        <v>9.02</v>
      </c>
      <c r="C589" s="30">
        <v>8.75</v>
      </c>
    </row>
    <row r="590" spans="1:3" x14ac:dyDescent="0.15">
      <c r="A590" s="30" t="s">
        <v>3058</v>
      </c>
      <c r="B590" s="30">
        <v>17.850000000000001</v>
      </c>
      <c r="C590" s="30">
        <v>17.760000000000002</v>
      </c>
    </row>
    <row r="591" spans="1:3" x14ac:dyDescent="0.15">
      <c r="A591" s="30" t="s">
        <v>3382</v>
      </c>
      <c r="B591" s="30">
        <v>11.8</v>
      </c>
      <c r="C591" s="30">
        <v>11.74</v>
      </c>
    </row>
    <row r="592" spans="1:3" x14ac:dyDescent="0.15">
      <c r="A592" s="30" t="s">
        <v>4603</v>
      </c>
      <c r="B592" s="30">
        <v>21.84</v>
      </c>
      <c r="C592" s="30">
        <v>21.43</v>
      </c>
    </row>
    <row r="593" spans="1:3" x14ac:dyDescent="0.15">
      <c r="A593" s="30" t="s">
        <v>820</v>
      </c>
      <c r="B593" s="30">
        <v>13.19</v>
      </c>
      <c r="C593" s="30">
        <v>13.19</v>
      </c>
    </row>
    <row r="594" spans="1:3" x14ac:dyDescent="0.15">
      <c r="A594" s="30" t="s">
        <v>3168</v>
      </c>
      <c r="B594" s="30">
        <v>31.75</v>
      </c>
      <c r="C594" s="30">
        <v>28.86</v>
      </c>
    </row>
    <row r="595" spans="1:3" x14ac:dyDescent="0.15">
      <c r="A595" s="30" t="s">
        <v>260</v>
      </c>
      <c r="B595" s="30">
        <v>20.49</v>
      </c>
      <c r="C595" s="30">
        <v>20.55</v>
      </c>
    </row>
    <row r="596" spans="1:3" x14ac:dyDescent="0.15">
      <c r="A596" s="30" t="s">
        <v>4604</v>
      </c>
      <c r="B596" s="30">
        <v>38.39</v>
      </c>
      <c r="C596" s="30">
        <v>38.89</v>
      </c>
    </row>
    <row r="597" spans="1:3" x14ac:dyDescent="0.15">
      <c r="A597" s="30" t="s">
        <v>389</v>
      </c>
      <c r="B597" s="30">
        <v>22.23</v>
      </c>
      <c r="C597" s="30">
        <v>22.36</v>
      </c>
    </row>
    <row r="598" spans="1:3" x14ac:dyDescent="0.15">
      <c r="A598" s="30" t="s">
        <v>3102</v>
      </c>
      <c r="B598" s="30">
        <v>15.14</v>
      </c>
      <c r="C598" s="30">
        <v>14.6</v>
      </c>
    </row>
    <row r="599" spans="1:3" x14ac:dyDescent="0.15">
      <c r="A599" s="30" t="s">
        <v>2950</v>
      </c>
      <c r="B599" s="30">
        <v>13.12</v>
      </c>
      <c r="C599" s="30">
        <v>13.06</v>
      </c>
    </row>
    <row r="600" spans="1:3" x14ac:dyDescent="0.15">
      <c r="A600" s="30" t="s">
        <v>4605</v>
      </c>
      <c r="B600" s="30">
        <v>14.29</v>
      </c>
      <c r="C600" s="30">
        <v>14.9</v>
      </c>
    </row>
    <row r="601" spans="1:3" x14ac:dyDescent="0.15">
      <c r="A601" s="30" t="s">
        <v>944</v>
      </c>
      <c r="B601" s="30">
        <v>42.46</v>
      </c>
      <c r="C601" s="30">
        <v>38.6</v>
      </c>
    </row>
    <row r="602" spans="1:3" x14ac:dyDescent="0.15">
      <c r="A602" s="30" t="s">
        <v>3218</v>
      </c>
      <c r="B602" s="30">
        <v>25.8</v>
      </c>
      <c r="C602" s="30">
        <v>25.7</v>
      </c>
    </row>
    <row r="603" spans="1:3" x14ac:dyDescent="0.15">
      <c r="A603" s="30" t="s">
        <v>604</v>
      </c>
      <c r="B603" s="30">
        <v>6.97</v>
      </c>
      <c r="C603" s="30">
        <v>7.01</v>
      </c>
    </row>
    <row r="604" spans="1:3" x14ac:dyDescent="0.15">
      <c r="A604" s="30" t="s">
        <v>4606</v>
      </c>
      <c r="B604" s="30">
        <v>7.1</v>
      </c>
      <c r="C604" s="30">
        <v>7.26</v>
      </c>
    </row>
    <row r="605" spans="1:3" x14ac:dyDescent="0.15">
      <c r="A605" s="30" t="s">
        <v>924</v>
      </c>
      <c r="B605" s="30">
        <v>4.49</v>
      </c>
      <c r="C605" s="30">
        <v>4.5199999999999996</v>
      </c>
    </row>
    <row r="606" spans="1:3" x14ac:dyDescent="0.15">
      <c r="A606" s="30" t="s">
        <v>381</v>
      </c>
      <c r="B606" s="30">
        <v>11.64</v>
      </c>
      <c r="C606" s="30">
        <v>11.49</v>
      </c>
    </row>
    <row r="607" spans="1:3" x14ac:dyDescent="0.15">
      <c r="A607" s="30" t="s">
        <v>628</v>
      </c>
      <c r="B607" s="30">
        <v>28.42</v>
      </c>
      <c r="C607" s="30">
        <v>26.84</v>
      </c>
    </row>
    <row r="608" spans="1:3" x14ac:dyDescent="0.15">
      <c r="A608" s="30" t="s">
        <v>4607</v>
      </c>
      <c r="B608" s="30">
        <v>15.9</v>
      </c>
      <c r="C608" s="30">
        <v>16.190000000000001</v>
      </c>
    </row>
    <row r="609" spans="1:3" x14ac:dyDescent="0.15">
      <c r="A609" s="30" t="s">
        <v>4608</v>
      </c>
      <c r="B609" s="30">
        <v>5.18</v>
      </c>
      <c r="C609" s="30">
        <v>4.91</v>
      </c>
    </row>
    <row r="610" spans="1:3" x14ac:dyDescent="0.15">
      <c r="A610" s="30" t="s">
        <v>744</v>
      </c>
      <c r="B610" s="30">
        <v>58.74</v>
      </c>
      <c r="C610" s="30">
        <v>57.54</v>
      </c>
    </row>
    <row r="611" spans="1:3" x14ac:dyDescent="0.15">
      <c r="A611" s="30" t="s">
        <v>3534</v>
      </c>
      <c r="B611" s="30">
        <v>17.2</v>
      </c>
      <c r="C611" s="30">
        <v>16.86</v>
      </c>
    </row>
    <row r="612" spans="1:3" x14ac:dyDescent="0.15">
      <c r="A612" s="30" t="s">
        <v>4609</v>
      </c>
      <c r="B612" s="30">
        <v>69.61</v>
      </c>
      <c r="C612" s="30">
        <v>72.099999999999994</v>
      </c>
    </row>
    <row r="613" spans="1:3" x14ac:dyDescent="0.15">
      <c r="A613" s="30" t="s">
        <v>4610</v>
      </c>
      <c r="B613" s="30">
        <v>15.06</v>
      </c>
      <c r="C613" s="30">
        <v>15.51</v>
      </c>
    </row>
    <row r="614" spans="1:3" x14ac:dyDescent="0.15">
      <c r="A614" s="30" t="s">
        <v>562</v>
      </c>
      <c r="B614" s="30">
        <v>39.08</v>
      </c>
      <c r="C614" s="30">
        <v>39.32</v>
      </c>
    </row>
    <row r="615" spans="1:3" x14ac:dyDescent="0.15">
      <c r="A615" s="30" t="s">
        <v>572</v>
      </c>
      <c r="B615" s="30">
        <v>24.15</v>
      </c>
      <c r="C615" s="30">
        <v>23.79</v>
      </c>
    </row>
    <row r="616" spans="1:3" x14ac:dyDescent="0.15">
      <c r="A616" s="30" t="s">
        <v>3098</v>
      </c>
      <c r="B616" s="30">
        <v>2.95</v>
      </c>
      <c r="C616" s="30">
        <v>2.93</v>
      </c>
    </row>
    <row r="617" spans="1:3" x14ac:dyDescent="0.15">
      <c r="A617" s="30" t="s">
        <v>812</v>
      </c>
      <c r="B617" s="30">
        <v>4.95</v>
      </c>
      <c r="C617" s="30">
        <v>4.96</v>
      </c>
    </row>
    <row r="618" spans="1:3" x14ac:dyDescent="0.15">
      <c r="A618" s="30" t="s">
        <v>736</v>
      </c>
      <c r="B618" s="30">
        <v>6.22</v>
      </c>
      <c r="C618" s="30">
        <v>6.39</v>
      </c>
    </row>
    <row r="619" spans="1:3" x14ac:dyDescent="0.15">
      <c r="A619" s="30" t="s">
        <v>4611</v>
      </c>
      <c r="B619" s="30">
        <v>9.36</v>
      </c>
      <c r="C619" s="30">
        <v>9.41</v>
      </c>
    </row>
    <row r="620" spans="1:3" x14ac:dyDescent="0.15">
      <c r="A620" s="30" t="s">
        <v>4612</v>
      </c>
      <c r="B620" s="30">
        <v>8.5500000000000007</v>
      </c>
      <c r="C620" s="30">
        <v>8.4</v>
      </c>
    </row>
    <row r="621" spans="1:3" x14ac:dyDescent="0.15">
      <c r="A621" s="30" t="s">
        <v>164</v>
      </c>
      <c r="B621" s="30">
        <v>30.83</v>
      </c>
      <c r="C621" s="30">
        <v>31.04</v>
      </c>
    </row>
    <row r="622" spans="1:3" x14ac:dyDescent="0.15">
      <c r="A622" s="30" t="s">
        <v>2808</v>
      </c>
      <c r="B622" s="30">
        <v>10.87</v>
      </c>
      <c r="C622" s="30">
        <v>10.77</v>
      </c>
    </row>
    <row r="623" spans="1:3" x14ac:dyDescent="0.15">
      <c r="A623" s="30" t="s">
        <v>2912</v>
      </c>
      <c r="B623" s="30">
        <v>11.44</v>
      </c>
      <c r="C623" s="30">
        <v>10.89</v>
      </c>
    </row>
    <row r="624" spans="1:3" x14ac:dyDescent="0.15">
      <c r="A624" s="30" t="s">
        <v>3326</v>
      </c>
      <c r="B624" s="30">
        <v>14.82</v>
      </c>
      <c r="C624" s="30">
        <v>15.02</v>
      </c>
    </row>
    <row r="625" spans="1:3" x14ac:dyDescent="0.15">
      <c r="A625" s="30" t="s">
        <v>4613</v>
      </c>
      <c r="B625" s="30">
        <v>6.48</v>
      </c>
      <c r="C625" s="30">
        <v>6.39</v>
      </c>
    </row>
    <row r="626" spans="1:3" x14ac:dyDescent="0.15">
      <c r="A626" s="30" t="s">
        <v>4614</v>
      </c>
      <c r="B626" s="30">
        <v>6.71</v>
      </c>
      <c r="C626" s="30">
        <v>6.83</v>
      </c>
    </row>
    <row r="627" spans="1:3" x14ac:dyDescent="0.15">
      <c r="A627" s="30" t="s">
        <v>2842</v>
      </c>
      <c r="B627" s="30">
        <v>9.67</v>
      </c>
      <c r="C627" s="30">
        <v>9.6300000000000008</v>
      </c>
    </row>
    <row r="628" spans="1:3" x14ac:dyDescent="0.15">
      <c r="A628" s="30" t="s">
        <v>275</v>
      </c>
      <c r="B628" s="30">
        <v>42.47</v>
      </c>
      <c r="C628" s="30">
        <v>42.41</v>
      </c>
    </row>
    <row r="629" spans="1:3" x14ac:dyDescent="0.15">
      <c r="A629" s="30" t="s">
        <v>337</v>
      </c>
      <c r="B629" s="30">
        <v>6.02</v>
      </c>
      <c r="C629" s="30">
        <v>5.99</v>
      </c>
    </row>
    <row r="630" spans="1:3" x14ac:dyDescent="0.15">
      <c r="A630" s="30" t="s">
        <v>355</v>
      </c>
      <c r="B630" s="30">
        <v>15.35</v>
      </c>
      <c r="C630" s="30">
        <v>14.2</v>
      </c>
    </row>
    <row r="631" spans="1:3" x14ac:dyDescent="0.15">
      <c r="A631" s="30" t="s">
        <v>824</v>
      </c>
      <c r="B631" s="30">
        <v>12.78</v>
      </c>
      <c r="C631" s="30">
        <v>12.5</v>
      </c>
    </row>
    <row r="632" spans="1:3" x14ac:dyDescent="0.15">
      <c r="A632" s="30" t="s">
        <v>4615</v>
      </c>
      <c r="B632" s="30">
        <v>20.86</v>
      </c>
      <c r="C632" s="30">
        <v>20.21</v>
      </c>
    </row>
    <row r="633" spans="1:3" x14ac:dyDescent="0.15">
      <c r="A633" s="30" t="s">
        <v>4616</v>
      </c>
      <c r="B633" s="30">
        <v>41.17</v>
      </c>
      <c r="C633" s="30">
        <v>40.1</v>
      </c>
    </row>
    <row r="634" spans="1:3" x14ac:dyDescent="0.15">
      <c r="A634" s="30" t="s">
        <v>666</v>
      </c>
      <c r="B634" s="30">
        <v>7.91</v>
      </c>
      <c r="C634" s="30">
        <v>7.89</v>
      </c>
    </row>
    <row r="635" spans="1:3" x14ac:dyDescent="0.15">
      <c r="A635" s="30" t="s">
        <v>393</v>
      </c>
      <c r="B635" s="30">
        <v>52.97</v>
      </c>
      <c r="C635" s="30">
        <v>51.92</v>
      </c>
    </row>
    <row r="636" spans="1:3" x14ac:dyDescent="0.15">
      <c r="A636" s="30" t="s">
        <v>3006</v>
      </c>
      <c r="B636" s="30">
        <v>2.5499999999999998</v>
      </c>
      <c r="C636" s="30">
        <v>2.6</v>
      </c>
    </row>
    <row r="637" spans="1:3" x14ac:dyDescent="0.15">
      <c r="A637" s="30" t="s">
        <v>4617</v>
      </c>
      <c r="B637" s="30">
        <v>15.05</v>
      </c>
      <c r="C637" s="30">
        <v>15.36</v>
      </c>
    </row>
    <row r="638" spans="1:3" x14ac:dyDescent="0.15">
      <c r="A638" s="30" t="s">
        <v>335</v>
      </c>
      <c r="B638" s="30">
        <v>6.27</v>
      </c>
      <c r="C638" s="30">
        <v>6.18</v>
      </c>
    </row>
    <row r="639" spans="1:3" x14ac:dyDescent="0.15">
      <c r="A639" s="30" t="s">
        <v>546</v>
      </c>
      <c r="B639" s="30">
        <v>5.86</v>
      </c>
      <c r="C639" s="30">
        <v>5.88</v>
      </c>
    </row>
    <row r="640" spans="1:3" x14ac:dyDescent="0.15">
      <c r="A640" s="30" t="s">
        <v>996</v>
      </c>
      <c r="B640" s="30">
        <v>12.01</v>
      </c>
      <c r="C640" s="30">
        <v>12.27</v>
      </c>
    </row>
    <row r="641" spans="1:3" x14ac:dyDescent="0.15">
      <c r="A641" s="30" t="s">
        <v>806</v>
      </c>
      <c r="B641" s="30">
        <v>3.39</v>
      </c>
      <c r="C641" s="30">
        <v>3.39</v>
      </c>
    </row>
    <row r="642" spans="1:3" x14ac:dyDescent="0.15">
      <c r="A642" s="30" t="s">
        <v>3322</v>
      </c>
      <c r="B642" s="30">
        <v>14.73</v>
      </c>
      <c r="C642" s="30">
        <v>14.64</v>
      </c>
    </row>
    <row r="643" spans="1:3" x14ac:dyDescent="0.15">
      <c r="A643" s="30" t="s">
        <v>3254</v>
      </c>
      <c r="B643" s="30">
        <v>37.31</v>
      </c>
      <c r="C643" s="30">
        <v>37.299999999999997</v>
      </c>
    </row>
    <row r="644" spans="1:3" x14ac:dyDescent="0.15">
      <c r="A644" s="30" t="s">
        <v>4618</v>
      </c>
      <c r="B644" s="30">
        <v>13.41</v>
      </c>
      <c r="C644" s="30">
        <v>13.26</v>
      </c>
    </row>
    <row r="645" spans="1:3" x14ac:dyDescent="0.15">
      <c r="A645" s="30" t="s">
        <v>3364</v>
      </c>
      <c r="B645" s="30">
        <v>10.220000000000001</v>
      </c>
      <c r="C645" s="30">
        <v>10.34</v>
      </c>
    </row>
    <row r="646" spans="1:3" x14ac:dyDescent="0.15">
      <c r="A646" s="30" t="s">
        <v>156</v>
      </c>
      <c r="B646" s="30">
        <v>3.48</v>
      </c>
      <c r="C646" s="30">
        <v>3.45</v>
      </c>
    </row>
    <row r="647" spans="1:3" x14ac:dyDescent="0.15">
      <c r="A647" s="30" t="s">
        <v>158</v>
      </c>
      <c r="B647" s="30">
        <v>2.89</v>
      </c>
      <c r="C647" s="30">
        <v>2.88</v>
      </c>
    </row>
    <row r="648" spans="1:3" x14ac:dyDescent="0.15">
      <c r="A648" s="30" t="s">
        <v>4619</v>
      </c>
      <c r="B648" s="30">
        <v>12.17</v>
      </c>
      <c r="C648" s="30">
        <v>12.15</v>
      </c>
    </row>
    <row r="649" spans="1:3" x14ac:dyDescent="0.15">
      <c r="A649" s="30" t="s">
        <v>876</v>
      </c>
      <c r="B649" s="30">
        <v>5.65</v>
      </c>
      <c r="C649" s="30">
        <v>5.59</v>
      </c>
    </row>
    <row r="650" spans="1:3" x14ac:dyDescent="0.15">
      <c r="A650" s="30" t="s">
        <v>4620</v>
      </c>
      <c r="B650" s="30">
        <v>119.29</v>
      </c>
      <c r="C650" s="30">
        <v>118.06</v>
      </c>
    </row>
    <row r="651" spans="1:3" x14ac:dyDescent="0.15">
      <c r="A651" s="30" t="s">
        <v>166</v>
      </c>
      <c r="B651" s="30">
        <v>3.71</v>
      </c>
      <c r="C651" s="30">
        <v>3.69</v>
      </c>
    </row>
    <row r="652" spans="1:3" x14ac:dyDescent="0.15">
      <c r="A652" s="30" t="s">
        <v>4621</v>
      </c>
      <c r="B652" s="30">
        <v>12.14</v>
      </c>
      <c r="C652" s="30">
        <v>11.99</v>
      </c>
    </row>
    <row r="653" spans="1:3" x14ac:dyDescent="0.15">
      <c r="A653" s="30" t="s">
        <v>814</v>
      </c>
      <c r="B653" s="30">
        <v>17.690000000000001</v>
      </c>
      <c r="C653" s="30">
        <v>18.05</v>
      </c>
    </row>
    <row r="654" spans="1:3" x14ac:dyDescent="0.15">
      <c r="A654" s="30" t="s">
        <v>948</v>
      </c>
      <c r="B654" s="30">
        <v>27.86</v>
      </c>
      <c r="C654" s="30">
        <v>27.2</v>
      </c>
    </row>
    <row r="655" spans="1:3" x14ac:dyDescent="0.15">
      <c r="A655" s="30" t="s">
        <v>2774</v>
      </c>
      <c r="B655" s="30">
        <v>14.33</v>
      </c>
      <c r="C655" s="30">
        <v>14.2</v>
      </c>
    </row>
    <row r="656" spans="1:3" x14ac:dyDescent="0.15">
      <c r="A656" s="30" t="s">
        <v>742</v>
      </c>
      <c r="B656" s="30">
        <v>8.66</v>
      </c>
      <c r="C656" s="30">
        <v>8.58</v>
      </c>
    </row>
    <row r="657" spans="1:3" x14ac:dyDescent="0.15">
      <c r="A657" s="30" t="s">
        <v>4622</v>
      </c>
      <c r="B657" s="30">
        <v>8.5500000000000007</v>
      </c>
      <c r="C657" s="30">
        <v>8.6199999999999992</v>
      </c>
    </row>
    <row r="658" spans="1:3" x14ac:dyDescent="0.15">
      <c r="A658" s="30" t="s">
        <v>3372</v>
      </c>
      <c r="B658" s="30">
        <v>12.57</v>
      </c>
      <c r="C658" s="30">
        <v>12.64</v>
      </c>
    </row>
    <row r="659" spans="1:3" x14ac:dyDescent="0.15">
      <c r="A659" s="30" t="s">
        <v>4623</v>
      </c>
      <c r="B659" s="30">
        <v>13.32</v>
      </c>
      <c r="C659" s="30">
        <v>13.1</v>
      </c>
    </row>
    <row r="660" spans="1:3" x14ac:dyDescent="0.15">
      <c r="A660" s="30" t="s">
        <v>415</v>
      </c>
      <c r="B660" s="30">
        <v>16.649999999999999</v>
      </c>
      <c r="C660" s="30">
        <v>16.649999999999999</v>
      </c>
    </row>
    <row r="661" spans="1:3" x14ac:dyDescent="0.15">
      <c r="A661" s="30" t="s">
        <v>188</v>
      </c>
      <c r="B661" s="30">
        <v>16.62</v>
      </c>
      <c r="C661" s="30">
        <v>16.47</v>
      </c>
    </row>
    <row r="662" spans="1:3" x14ac:dyDescent="0.15">
      <c r="A662" s="30" t="s">
        <v>3538</v>
      </c>
      <c r="B662" s="30">
        <v>1.94</v>
      </c>
      <c r="C662" s="30">
        <v>1.94</v>
      </c>
    </row>
    <row r="663" spans="1:3" x14ac:dyDescent="0.15">
      <c r="A663" s="30" t="s">
        <v>377</v>
      </c>
      <c r="B663" s="30">
        <v>22.31</v>
      </c>
      <c r="C663" s="30">
        <v>20.48</v>
      </c>
    </row>
    <row r="664" spans="1:3" x14ac:dyDescent="0.15">
      <c r="A664" s="30" t="s">
        <v>3474</v>
      </c>
      <c r="B664" s="30">
        <v>16.07</v>
      </c>
      <c r="C664" s="30">
        <v>16.04</v>
      </c>
    </row>
    <row r="665" spans="1:3" x14ac:dyDescent="0.15">
      <c r="A665" s="30" t="s">
        <v>4624</v>
      </c>
      <c r="B665" s="30">
        <v>7.07</v>
      </c>
      <c r="C665" s="30">
        <v>7.11</v>
      </c>
    </row>
    <row r="666" spans="1:3" x14ac:dyDescent="0.15">
      <c r="A666" s="30" t="s">
        <v>4625</v>
      </c>
      <c r="B666" s="30">
        <v>4.34</v>
      </c>
      <c r="C666" s="30">
        <v>4.43</v>
      </c>
    </row>
    <row r="667" spans="1:3" x14ac:dyDescent="0.15">
      <c r="A667" s="30" t="s">
        <v>3072</v>
      </c>
      <c r="B667" s="30">
        <v>7.02</v>
      </c>
      <c r="C667" s="30">
        <v>7.01</v>
      </c>
    </row>
    <row r="668" spans="1:3" x14ac:dyDescent="0.15">
      <c r="A668" s="30" t="s">
        <v>86</v>
      </c>
      <c r="B668" s="30">
        <v>40.520000000000003</v>
      </c>
      <c r="C668" s="30">
        <v>39.69</v>
      </c>
    </row>
    <row r="669" spans="1:3" x14ac:dyDescent="0.15">
      <c r="A669" s="30" t="s">
        <v>2736</v>
      </c>
      <c r="B669" s="30">
        <v>4.5199999999999996</v>
      </c>
      <c r="C669" s="30">
        <v>4.4800000000000004</v>
      </c>
    </row>
    <row r="670" spans="1:3" x14ac:dyDescent="0.15">
      <c r="A670" s="30" t="s">
        <v>3028</v>
      </c>
      <c r="B670" s="30">
        <v>49.6</v>
      </c>
      <c r="C670" s="30">
        <v>47.02</v>
      </c>
    </row>
    <row r="671" spans="1:3" x14ac:dyDescent="0.15">
      <c r="A671" s="30" t="s">
        <v>417</v>
      </c>
      <c r="B671" s="30">
        <v>5.76</v>
      </c>
      <c r="C671" s="30">
        <v>5.83</v>
      </c>
    </row>
    <row r="672" spans="1:3" x14ac:dyDescent="0.15">
      <c r="A672" s="30" t="s">
        <v>4626</v>
      </c>
      <c r="B672" s="30">
        <v>23.99</v>
      </c>
      <c r="C672" s="30">
        <v>24.91</v>
      </c>
    </row>
    <row r="673" spans="1:3" x14ac:dyDescent="0.15">
      <c r="A673" s="30" t="s">
        <v>2976</v>
      </c>
      <c r="B673" s="30">
        <v>7.3</v>
      </c>
      <c r="C673" s="30">
        <v>7.26</v>
      </c>
    </row>
    <row r="674" spans="1:3" x14ac:dyDescent="0.15">
      <c r="A674" s="30" t="s">
        <v>82</v>
      </c>
      <c r="B674" s="30">
        <v>51.36</v>
      </c>
      <c r="C674" s="30">
        <v>52.14</v>
      </c>
    </row>
    <row r="675" spans="1:3" x14ac:dyDescent="0.15">
      <c r="A675" s="30" t="s">
        <v>4627</v>
      </c>
      <c r="B675" s="30">
        <v>38.71</v>
      </c>
      <c r="C675" s="30">
        <v>38.590000000000003</v>
      </c>
    </row>
    <row r="676" spans="1:3" x14ac:dyDescent="0.15">
      <c r="A676" s="30" t="s">
        <v>4628</v>
      </c>
      <c r="B676" s="30">
        <v>5.8</v>
      </c>
      <c r="C676" s="30">
        <v>5.64</v>
      </c>
    </row>
    <row r="677" spans="1:3" x14ac:dyDescent="0.15">
      <c r="A677" s="30" t="s">
        <v>864</v>
      </c>
      <c r="B677" s="30">
        <v>9.42</v>
      </c>
      <c r="C677" s="30">
        <v>9.48</v>
      </c>
    </row>
    <row r="678" spans="1:3" x14ac:dyDescent="0.15">
      <c r="A678" s="30" t="s">
        <v>894</v>
      </c>
      <c r="B678" s="30">
        <v>7.36</v>
      </c>
      <c r="C678" s="30">
        <v>7.39</v>
      </c>
    </row>
    <row r="679" spans="1:3" x14ac:dyDescent="0.15">
      <c r="A679" s="30" t="s">
        <v>489</v>
      </c>
      <c r="B679" s="30">
        <v>15.33</v>
      </c>
      <c r="C679" s="30">
        <v>15.33</v>
      </c>
    </row>
    <row r="680" spans="1:3" x14ac:dyDescent="0.15">
      <c r="A680" s="30" t="s">
        <v>186</v>
      </c>
      <c r="B680" s="30">
        <v>9</v>
      </c>
      <c r="C680" s="30">
        <v>8.91</v>
      </c>
    </row>
    <row r="681" spans="1:3" x14ac:dyDescent="0.15">
      <c r="A681" s="30" t="s">
        <v>518</v>
      </c>
      <c r="B681" s="30">
        <v>9.02</v>
      </c>
      <c r="C681" s="30">
        <v>9.02</v>
      </c>
    </row>
    <row r="682" spans="1:3" x14ac:dyDescent="0.15">
      <c r="A682" s="30" t="s">
        <v>4629</v>
      </c>
      <c r="B682" s="30">
        <v>12.77</v>
      </c>
      <c r="C682" s="30">
        <v>12.86</v>
      </c>
    </row>
    <row r="683" spans="1:3" x14ac:dyDescent="0.15">
      <c r="A683" s="30" t="s">
        <v>4630</v>
      </c>
      <c r="B683" s="30">
        <v>34.049999999999997</v>
      </c>
      <c r="C683" s="30">
        <v>32.880000000000003</v>
      </c>
    </row>
    <row r="684" spans="1:3" x14ac:dyDescent="0.15">
      <c r="A684" s="30" t="s">
        <v>238</v>
      </c>
      <c r="B684" s="30">
        <v>11.75</v>
      </c>
      <c r="C684" s="30">
        <v>11.53</v>
      </c>
    </row>
    <row r="685" spans="1:3" x14ac:dyDescent="0.15">
      <c r="A685" s="30" t="s">
        <v>724</v>
      </c>
      <c r="B685" s="30">
        <v>24.93</v>
      </c>
      <c r="C685" s="30">
        <v>24.93</v>
      </c>
    </row>
    <row r="686" spans="1:3" x14ac:dyDescent="0.15">
      <c r="A686" s="30" t="s">
        <v>3070</v>
      </c>
      <c r="B686" s="30">
        <v>16.850000000000001</v>
      </c>
      <c r="C686" s="30">
        <v>16.760000000000002</v>
      </c>
    </row>
    <row r="687" spans="1:3" x14ac:dyDescent="0.15">
      <c r="A687" s="30" t="s">
        <v>220</v>
      </c>
      <c r="B687" s="30">
        <v>20.34</v>
      </c>
      <c r="C687" s="30">
        <v>19.68</v>
      </c>
    </row>
    <row r="688" spans="1:3" x14ac:dyDescent="0.15">
      <c r="A688" s="30" t="s">
        <v>3010</v>
      </c>
      <c r="B688" s="30">
        <v>18.88</v>
      </c>
      <c r="C688" s="30">
        <v>18.39</v>
      </c>
    </row>
    <row r="689" spans="1:3" x14ac:dyDescent="0.15">
      <c r="A689" s="30" t="s">
        <v>4632</v>
      </c>
      <c r="B689" s="30">
        <v>6.06</v>
      </c>
      <c r="C689" s="30">
        <v>6.15</v>
      </c>
    </row>
    <row r="690" spans="1:3" x14ac:dyDescent="0.15">
      <c r="A690" s="30" t="s">
        <v>2920</v>
      </c>
      <c r="B690" s="30">
        <v>41.16</v>
      </c>
      <c r="C690" s="30">
        <v>42.66</v>
      </c>
    </row>
    <row r="691" spans="1:3" x14ac:dyDescent="0.15">
      <c r="A691" s="30" t="s">
        <v>4633</v>
      </c>
      <c r="B691" s="30">
        <v>5.87</v>
      </c>
      <c r="C691" s="30">
        <v>5.76</v>
      </c>
    </row>
    <row r="692" spans="1:3" x14ac:dyDescent="0.15">
      <c r="A692" s="30" t="s">
        <v>2964</v>
      </c>
      <c r="B692" s="30">
        <v>3.72</v>
      </c>
      <c r="C692" s="30">
        <v>3.77</v>
      </c>
    </row>
    <row r="693" spans="1:3" x14ac:dyDescent="0.15">
      <c r="A693" s="30" t="s">
        <v>2940</v>
      </c>
      <c r="B693" s="30">
        <v>11.72</v>
      </c>
      <c r="C693" s="30">
        <v>11.49</v>
      </c>
    </row>
    <row r="694" spans="1:3" x14ac:dyDescent="0.15">
      <c r="A694" s="30" t="s">
        <v>3400</v>
      </c>
      <c r="B694" s="30">
        <v>4.1399999999999997</v>
      </c>
      <c r="C694" s="30">
        <v>4.0999999999999996</v>
      </c>
    </row>
    <row r="695" spans="1:3" x14ac:dyDescent="0.15">
      <c r="A695" s="30" t="s">
        <v>132</v>
      </c>
      <c r="B695" s="30">
        <v>32.14</v>
      </c>
      <c r="C695" s="30">
        <v>32.14</v>
      </c>
    </row>
    <row r="696" spans="1:3" x14ac:dyDescent="0.15">
      <c r="A696" s="30" t="s">
        <v>4634</v>
      </c>
      <c r="B696" s="30">
        <v>5.09</v>
      </c>
      <c r="C696" s="30">
        <v>5.03</v>
      </c>
    </row>
    <row r="697" spans="1:3" x14ac:dyDescent="0.15">
      <c r="A697" s="30" t="s">
        <v>3354</v>
      </c>
      <c r="B697" s="30">
        <v>6.16</v>
      </c>
      <c r="C697" s="30">
        <v>6.22</v>
      </c>
    </row>
    <row r="698" spans="1:3" x14ac:dyDescent="0.15">
      <c r="A698" s="30" t="s">
        <v>4635</v>
      </c>
      <c r="B698" s="30">
        <v>14.22</v>
      </c>
      <c r="C698" s="30">
        <v>13.86</v>
      </c>
    </row>
    <row r="699" spans="1:3" x14ac:dyDescent="0.15">
      <c r="A699" s="30" t="s">
        <v>4636</v>
      </c>
      <c r="B699" s="30">
        <v>7.2</v>
      </c>
      <c r="C699" s="30">
        <v>7.31</v>
      </c>
    </row>
    <row r="700" spans="1:3" x14ac:dyDescent="0.15">
      <c r="A700" s="30" t="s">
        <v>932</v>
      </c>
      <c r="B700" s="30">
        <v>10.02</v>
      </c>
      <c r="C700" s="30">
        <v>10.14</v>
      </c>
    </row>
    <row r="701" spans="1:3" x14ac:dyDescent="0.15">
      <c r="A701" s="30" t="s">
        <v>3086</v>
      </c>
      <c r="B701" s="30">
        <v>6.09</v>
      </c>
      <c r="C701" s="30">
        <v>6.14</v>
      </c>
    </row>
    <row r="702" spans="1:3" x14ac:dyDescent="0.15">
      <c r="A702" s="30" t="s">
        <v>4637</v>
      </c>
      <c r="B702" s="30">
        <v>32.5</v>
      </c>
      <c r="C702" s="30">
        <v>31.94</v>
      </c>
    </row>
    <row r="703" spans="1:3" x14ac:dyDescent="0.15">
      <c r="A703" s="30" t="s">
        <v>3062</v>
      </c>
      <c r="B703" s="30">
        <v>6.34</v>
      </c>
      <c r="C703" s="30">
        <v>6.4</v>
      </c>
    </row>
    <row r="704" spans="1:3" x14ac:dyDescent="0.15">
      <c r="A704" s="30" t="s">
        <v>1002</v>
      </c>
      <c r="B704" s="30">
        <v>9.07</v>
      </c>
      <c r="C704" s="30">
        <v>9.02</v>
      </c>
    </row>
    <row r="705" spans="1:3" x14ac:dyDescent="0.15">
      <c r="A705" s="30" t="s">
        <v>379</v>
      </c>
      <c r="B705" s="30">
        <v>28.79</v>
      </c>
      <c r="C705" s="30">
        <v>28.09</v>
      </c>
    </row>
    <row r="706" spans="1:3" x14ac:dyDescent="0.15">
      <c r="A706" s="30" t="s">
        <v>608</v>
      </c>
      <c r="B706" s="30">
        <v>8.09</v>
      </c>
      <c r="C706" s="30">
        <v>8.09</v>
      </c>
    </row>
    <row r="707" spans="1:3" x14ac:dyDescent="0.15">
      <c r="A707" s="30" t="s">
        <v>862</v>
      </c>
      <c r="B707" s="30">
        <v>47.71</v>
      </c>
      <c r="C707" s="30">
        <v>47.74</v>
      </c>
    </row>
    <row r="708" spans="1:3" x14ac:dyDescent="0.15">
      <c r="A708" s="30" t="s">
        <v>4638</v>
      </c>
      <c r="B708" s="30">
        <v>10.56</v>
      </c>
      <c r="C708" s="30">
        <v>10.68</v>
      </c>
    </row>
    <row r="709" spans="1:3" x14ac:dyDescent="0.15">
      <c r="A709" s="30" t="s">
        <v>305</v>
      </c>
      <c r="B709" s="30">
        <v>19.88</v>
      </c>
      <c r="C709" s="30">
        <v>20.07</v>
      </c>
    </row>
    <row r="710" spans="1:3" x14ac:dyDescent="0.15">
      <c r="A710" s="30" t="s">
        <v>1036</v>
      </c>
      <c r="B710" s="30">
        <v>18.850000000000001</v>
      </c>
      <c r="C710" s="30">
        <v>19.27</v>
      </c>
    </row>
    <row r="711" spans="1:3" x14ac:dyDescent="0.15">
      <c r="A711" s="30" t="s">
        <v>202</v>
      </c>
      <c r="B711" s="30">
        <v>25.86</v>
      </c>
      <c r="C711" s="30">
        <v>25.88</v>
      </c>
    </row>
    <row r="712" spans="1:3" x14ac:dyDescent="0.15">
      <c r="A712" s="30" t="s">
        <v>946</v>
      </c>
      <c r="B712" s="30">
        <v>4.47</v>
      </c>
      <c r="C712" s="30">
        <v>4.51</v>
      </c>
    </row>
    <row r="713" spans="1:3" x14ac:dyDescent="0.15">
      <c r="A713" s="30" t="s">
        <v>4639</v>
      </c>
      <c r="B713" s="30">
        <v>14.95</v>
      </c>
      <c r="C713" s="30">
        <v>14.91</v>
      </c>
    </row>
    <row r="714" spans="1:3" x14ac:dyDescent="0.15">
      <c r="A714" s="30" t="s">
        <v>1016</v>
      </c>
      <c r="B714" s="30">
        <v>35.950000000000003</v>
      </c>
      <c r="C714" s="30">
        <v>36.200000000000003</v>
      </c>
    </row>
    <row r="715" spans="1:3" x14ac:dyDescent="0.15">
      <c r="A715" s="30" t="s">
        <v>4640</v>
      </c>
      <c r="B715" s="30">
        <v>22.34</v>
      </c>
      <c r="C715" s="30">
        <v>22.15</v>
      </c>
    </row>
    <row r="716" spans="1:3" x14ac:dyDescent="0.15">
      <c r="A716" s="30" t="s">
        <v>299</v>
      </c>
      <c r="B716" s="30">
        <v>679.15</v>
      </c>
      <c r="C716" s="30">
        <v>690.25</v>
      </c>
    </row>
    <row r="717" spans="1:3" x14ac:dyDescent="0.15">
      <c r="A717" s="30" t="s">
        <v>858</v>
      </c>
      <c r="B717" s="30">
        <v>23.71</v>
      </c>
      <c r="C717" s="30">
        <v>23.88</v>
      </c>
    </row>
    <row r="718" spans="1:3" x14ac:dyDescent="0.15">
      <c r="A718" s="30" t="s">
        <v>3476</v>
      </c>
      <c r="B718" s="30">
        <v>4.7300000000000004</v>
      </c>
      <c r="C718" s="30">
        <v>4.7</v>
      </c>
    </row>
    <row r="719" spans="1:3" x14ac:dyDescent="0.15">
      <c r="A719" s="30" t="s">
        <v>2780</v>
      </c>
      <c r="B719" s="30">
        <v>24.82</v>
      </c>
      <c r="C719" s="30">
        <v>25.86</v>
      </c>
    </row>
    <row r="720" spans="1:3" x14ac:dyDescent="0.15">
      <c r="A720" s="30" t="s">
        <v>483</v>
      </c>
      <c r="B720" s="30">
        <v>13.35</v>
      </c>
      <c r="C720" s="30">
        <v>13.35</v>
      </c>
    </row>
    <row r="721" spans="1:3" x14ac:dyDescent="0.15">
      <c r="A721" s="30" t="s">
        <v>2812</v>
      </c>
      <c r="B721" s="30">
        <v>10.3</v>
      </c>
      <c r="C721" s="30">
        <v>10.44</v>
      </c>
    </row>
    <row r="722" spans="1:3" x14ac:dyDescent="0.15">
      <c r="A722" s="30" t="s">
        <v>152</v>
      </c>
      <c r="B722" s="30">
        <v>33.65</v>
      </c>
      <c r="C722" s="30">
        <v>32.97</v>
      </c>
    </row>
    <row r="723" spans="1:3" x14ac:dyDescent="0.15">
      <c r="A723" s="30" t="s">
        <v>3426</v>
      </c>
      <c r="B723" s="30">
        <v>27.15</v>
      </c>
      <c r="C723" s="30">
        <v>27.17</v>
      </c>
    </row>
    <row r="724" spans="1:3" x14ac:dyDescent="0.15">
      <c r="A724" s="30" t="s">
        <v>281</v>
      </c>
      <c r="B724" s="30">
        <v>7.81</v>
      </c>
      <c r="C724" s="30">
        <v>7.5</v>
      </c>
    </row>
    <row r="725" spans="1:3" x14ac:dyDescent="0.15">
      <c r="A725" s="30" t="s">
        <v>990</v>
      </c>
      <c r="B725" s="30">
        <v>10.92</v>
      </c>
      <c r="C725" s="30">
        <v>10.7</v>
      </c>
    </row>
    <row r="726" spans="1:3" x14ac:dyDescent="0.15">
      <c r="A726" s="30" t="s">
        <v>854</v>
      </c>
      <c r="B726" s="30">
        <v>8.18</v>
      </c>
      <c r="C726" s="30">
        <v>8.1199999999999992</v>
      </c>
    </row>
    <row r="727" spans="1:3" x14ac:dyDescent="0.15">
      <c r="A727" s="30" t="s">
        <v>910</v>
      </c>
      <c r="B727" s="30">
        <v>6.21</v>
      </c>
      <c r="C727" s="30">
        <v>6.27</v>
      </c>
    </row>
    <row r="728" spans="1:3" x14ac:dyDescent="0.15">
      <c r="A728" s="30" t="s">
        <v>918</v>
      </c>
      <c r="B728" s="30">
        <v>5.0199999999999996</v>
      </c>
      <c r="C728" s="30">
        <v>5.05</v>
      </c>
    </row>
    <row r="729" spans="1:3" x14ac:dyDescent="0.15">
      <c r="A729" s="30" t="s">
        <v>4641</v>
      </c>
      <c r="B729" s="30">
        <v>8.59</v>
      </c>
      <c r="C729" s="30">
        <v>8.27</v>
      </c>
    </row>
    <row r="730" spans="1:3" x14ac:dyDescent="0.15">
      <c r="A730" s="30" t="s">
        <v>4642</v>
      </c>
      <c r="B730" s="30">
        <v>7.9</v>
      </c>
      <c r="C730" s="30">
        <v>7.9</v>
      </c>
    </row>
    <row r="731" spans="1:3" x14ac:dyDescent="0.15">
      <c r="A731" s="30" t="s">
        <v>4643</v>
      </c>
      <c r="B731" s="30">
        <v>18.489999999999998</v>
      </c>
      <c r="C731" s="30">
        <v>16.809999999999999</v>
      </c>
    </row>
    <row r="732" spans="1:3" x14ac:dyDescent="0.15">
      <c r="A732" s="30" t="s">
        <v>4644</v>
      </c>
      <c r="B732" s="30">
        <v>64.2</v>
      </c>
      <c r="C732" s="30">
        <v>64.08</v>
      </c>
    </row>
    <row r="733" spans="1:3" x14ac:dyDescent="0.15">
      <c r="A733" s="30" t="s">
        <v>4645</v>
      </c>
      <c r="B733" s="30">
        <v>19.84</v>
      </c>
      <c r="C733" s="30">
        <v>18.04</v>
      </c>
    </row>
    <row r="734" spans="1:3" x14ac:dyDescent="0.15">
      <c r="A734" s="30" t="s">
        <v>2886</v>
      </c>
      <c r="B734" s="30">
        <v>13.34</v>
      </c>
      <c r="C734" s="30">
        <v>13.34</v>
      </c>
    </row>
    <row r="735" spans="1:3" x14ac:dyDescent="0.15">
      <c r="A735" s="30" t="s">
        <v>694</v>
      </c>
      <c r="B735" s="30">
        <v>17.059999999999999</v>
      </c>
      <c r="C735" s="30">
        <v>17.399999999999999</v>
      </c>
    </row>
    <row r="736" spans="1:3" x14ac:dyDescent="0.15">
      <c r="A736" s="30" t="s">
        <v>4646</v>
      </c>
      <c r="B736" s="30">
        <v>8.27</v>
      </c>
      <c r="C736" s="30">
        <v>8.2200000000000006</v>
      </c>
    </row>
    <row r="737" spans="1:3" x14ac:dyDescent="0.15">
      <c r="A737" s="30" t="s">
        <v>3084</v>
      </c>
      <c r="B737" s="30">
        <v>12.5</v>
      </c>
      <c r="C737" s="30">
        <v>12.71</v>
      </c>
    </row>
    <row r="738" spans="1:3" x14ac:dyDescent="0.15">
      <c r="A738" s="30" t="s">
        <v>3278</v>
      </c>
      <c r="B738" s="30">
        <v>4.99</v>
      </c>
      <c r="C738" s="30">
        <v>4.99</v>
      </c>
    </row>
    <row r="739" spans="1:3" x14ac:dyDescent="0.15">
      <c r="A739" s="30" t="s">
        <v>734</v>
      </c>
      <c r="B739" s="30">
        <v>73.260000000000005</v>
      </c>
      <c r="C739" s="30">
        <v>66.599999999999994</v>
      </c>
    </row>
    <row r="740" spans="1:3" x14ac:dyDescent="0.15">
      <c r="A740" s="30" t="s">
        <v>427</v>
      </c>
      <c r="B740" s="30">
        <v>5.76</v>
      </c>
      <c r="C740" s="30">
        <v>5.69</v>
      </c>
    </row>
    <row r="741" spans="1:3" x14ac:dyDescent="0.15">
      <c r="A741" s="30" t="s">
        <v>3126</v>
      </c>
      <c r="B741" s="30">
        <v>16.7</v>
      </c>
      <c r="C741" s="30">
        <v>16.78</v>
      </c>
    </row>
    <row r="742" spans="1:3" x14ac:dyDescent="0.15">
      <c r="A742" s="30" t="s">
        <v>594</v>
      </c>
      <c r="B742" s="30">
        <v>15.53</v>
      </c>
      <c r="C742" s="30">
        <v>14.68</v>
      </c>
    </row>
    <row r="743" spans="1:3" x14ac:dyDescent="0.15">
      <c r="A743" s="30" t="s">
        <v>768</v>
      </c>
      <c r="B743" s="30">
        <v>25.94</v>
      </c>
      <c r="C743" s="30">
        <v>25.02</v>
      </c>
    </row>
    <row r="744" spans="1:3" x14ac:dyDescent="0.15">
      <c r="A744" s="30" t="s">
        <v>810</v>
      </c>
      <c r="B744" s="30">
        <v>3.57</v>
      </c>
      <c r="C744" s="30">
        <v>3.56</v>
      </c>
    </row>
    <row r="745" spans="1:3" x14ac:dyDescent="0.15">
      <c r="A745" s="30" t="s">
        <v>560</v>
      </c>
      <c r="B745" s="30">
        <v>34.08</v>
      </c>
      <c r="C745" s="30">
        <v>34.53</v>
      </c>
    </row>
    <row r="746" spans="1:3" x14ac:dyDescent="0.15">
      <c r="A746" s="30" t="s">
        <v>3206</v>
      </c>
      <c r="B746" s="30">
        <v>37.79</v>
      </c>
      <c r="C746" s="30">
        <v>37.049999999999997</v>
      </c>
    </row>
    <row r="747" spans="1:3" x14ac:dyDescent="0.15">
      <c r="A747" s="30" t="s">
        <v>4647</v>
      </c>
      <c r="B747" s="30">
        <v>47.46</v>
      </c>
      <c r="C747" s="30">
        <v>45.72</v>
      </c>
    </row>
    <row r="748" spans="1:3" x14ac:dyDescent="0.15">
      <c r="A748" s="30" t="s">
        <v>3388</v>
      </c>
      <c r="B748" s="30">
        <v>16.95</v>
      </c>
      <c r="C748" s="30">
        <v>16.45</v>
      </c>
    </row>
    <row r="749" spans="1:3" x14ac:dyDescent="0.15">
      <c r="A749" s="30" t="s">
        <v>413</v>
      </c>
      <c r="B749" s="30">
        <v>3.97</v>
      </c>
      <c r="C749" s="30">
        <v>4.01</v>
      </c>
    </row>
    <row r="750" spans="1:3" x14ac:dyDescent="0.15">
      <c r="A750" s="30" t="s">
        <v>4648</v>
      </c>
      <c r="B750" s="30">
        <v>46.73</v>
      </c>
      <c r="C750" s="30">
        <v>47.43</v>
      </c>
    </row>
    <row r="751" spans="1:3" x14ac:dyDescent="0.15">
      <c r="A751" s="30" t="s">
        <v>269</v>
      </c>
      <c r="B751" s="30">
        <v>39.130000000000003</v>
      </c>
      <c r="C751" s="30">
        <v>38.79</v>
      </c>
    </row>
    <row r="752" spans="1:3" x14ac:dyDescent="0.15">
      <c r="A752" s="30" t="s">
        <v>4649</v>
      </c>
      <c r="B752" s="30">
        <v>3.79</v>
      </c>
      <c r="C752" s="30">
        <v>3.89</v>
      </c>
    </row>
    <row r="753" spans="1:3" x14ac:dyDescent="0.15">
      <c r="A753" s="30" t="s">
        <v>4650</v>
      </c>
      <c r="B753" s="30">
        <v>40.74</v>
      </c>
      <c r="C753" s="30">
        <v>40.57</v>
      </c>
    </row>
    <row r="754" spans="1:3" x14ac:dyDescent="0.15">
      <c r="A754" s="30" t="s">
        <v>636</v>
      </c>
      <c r="B754" s="30">
        <v>2.1800000000000002</v>
      </c>
      <c r="C754" s="30">
        <v>2.19</v>
      </c>
    </row>
    <row r="755" spans="1:3" x14ac:dyDescent="0.15">
      <c r="A755" s="30" t="s">
        <v>146</v>
      </c>
      <c r="B755" s="30">
        <v>10.01</v>
      </c>
      <c r="C755" s="30">
        <v>10.1</v>
      </c>
    </row>
    <row r="756" spans="1:3" x14ac:dyDescent="0.15">
      <c r="A756" s="30" t="s">
        <v>770</v>
      </c>
      <c r="B756" s="30">
        <v>13.09</v>
      </c>
      <c r="C756" s="30">
        <v>12.7</v>
      </c>
    </row>
    <row r="757" spans="1:3" x14ac:dyDescent="0.15">
      <c r="A757" s="30" t="s">
        <v>3230</v>
      </c>
      <c r="B757" s="30">
        <v>30.42</v>
      </c>
      <c r="C757" s="30">
        <v>29.64</v>
      </c>
    </row>
    <row r="758" spans="1:3" x14ac:dyDescent="0.15">
      <c r="A758" s="30" t="s">
        <v>491</v>
      </c>
      <c r="B758" s="30">
        <v>17.190000000000001</v>
      </c>
      <c r="C758" s="30">
        <v>17.52</v>
      </c>
    </row>
    <row r="759" spans="1:3" x14ac:dyDescent="0.15">
      <c r="A759" s="30" t="s">
        <v>1030</v>
      </c>
      <c r="B759" s="30">
        <v>6.28</v>
      </c>
      <c r="C759" s="30">
        <v>6.27</v>
      </c>
    </row>
    <row r="760" spans="1:3" x14ac:dyDescent="0.15">
      <c r="A760" s="30" t="s">
        <v>798</v>
      </c>
      <c r="B760" s="30">
        <v>5.75</v>
      </c>
      <c r="C760" s="30">
        <v>5.61</v>
      </c>
    </row>
    <row r="761" spans="1:3" x14ac:dyDescent="0.15">
      <c r="A761" s="30" t="s">
        <v>4651</v>
      </c>
      <c r="B761" s="30">
        <v>16.149999999999999</v>
      </c>
      <c r="C761" s="30">
        <v>16.13</v>
      </c>
    </row>
    <row r="762" spans="1:3" x14ac:dyDescent="0.15">
      <c r="A762" s="30" t="s">
        <v>309</v>
      </c>
      <c r="B762" s="30">
        <v>10.64</v>
      </c>
      <c r="C762" s="30">
        <v>10.25</v>
      </c>
    </row>
    <row r="763" spans="1:3" x14ac:dyDescent="0.15">
      <c r="A763" s="30" t="s">
        <v>656</v>
      </c>
      <c r="B763" s="30">
        <v>12.33</v>
      </c>
      <c r="C763" s="30">
        <v>12.51</v>
      </c>
    </row>
    <row r="764" spans="1:3" x14ac:dyDescent="0.15">
      <c r="A764" s="30" t="s">
        <v>4652</v>
      </c>
      <c r="B764" s="30">
        <v>166.99</v>
      </c>
      <c r="C764" s="30">
        <v>161.78</v>
      </c>
    </row>
    <row r="765" spans="1:3" x14ac:dyDescent="0.15">
      <c r="A765" s="30" t="s">
        <v>780</v>
      </c>
      <c r="B765" s="30">
        <v>16.73</v>
      </c>
      <c r="C765" s="30">
        <v>16.73</v>
      </c>
    </row>
    <row r="766" spans="1:3" x14ac:dyDescent="0.15">
      <c r="A766" s="30" t="s">
        <v>4653</v>
      </c>
      <c r="B766" s="30">
        <v>13.37</v>
      </c>
      <c r="C766" s="30">
        <v>12.78</v>
      </c>
    </row>
    <row r="767" spans="1:3" x14ac:dyDescent="0.15">
      <c r="A767" s="30" t="s">
        <v>4654</v>
      </c>
      <c r="B767" s="30">
        <v>214.09</v>
      </c>
      <c r="C767" s="30">
        <v>195.51</v>
      </c>
    </row>
    <row r="768" spans="1:3" x14ac:dyDescent="0.15">
      <c r="A768" s="30" t="s">
        <v>196</v>
      </c>
      <c r="B768" s="30">
        <v>52.04</v>
      </c>
      <c r="C768" s="30">
        <v>52.04</v>
      </c>
    </row>
    <row r="769" spans="1:3" x14ac:dyDescent="0.15">
      <c r="A769" s="30" t="s">
        <v>463</v>
      </c>
      <c r="B769" s="30">
        <v>10.95</v>
      </c>
      <c r="C769" s="30">
        <v>11.17</v>
      </c>
    </row>
    <row r="770" spans="1:3" x14ac:dyDescent="0.15">
      <c r="A770" s="30" t="s">
        <v>385</v>
      </c>
      <c r="B770" s="30">
        <v>10.33</v>
      </c>
      <c r="C770" s="30">
        <v>10.28</v>
      </c>
    </row>
    <row r="771" spans="1:3" x14ac:dyDescent="0.15">
      <c r="A771" s="30" t="s">
        <v>98</v>
      </c>
      <c r="B771" s="30">
        <v>6</v>
      </c>
      <c r="C771" s="30">
        <v>6</v>
      </c>
    </row>
    <row r="772" spans="1:3" x14ac:dyDescent="0.15">
      <c r="A772" s="30" t="s">
        <v>124</v>
      </c>
      <c r="B772" s="30">
        <v>4.24</v>
      </c>
      <c r="C772" s="30">
        <v>4.2300000000000004</v>
      </c>
    </row>
    <row r="773" spans="1:3" x14ac:dyDescent="0.15">
      <c r="A773" s="30" t="s">
        <v>4655</v>
      </c>
      <c r="B773" s="30">
        <v>5.15</v>
      </c>
      <c r="C773" s="30">
        <v>5.17</v>
      </c>
    </row>
    <row r="774" spans="1:3" x14ac:dyDescent="0.15">
      <c r="A774" s="30" t="s">
        <v>846</v>
      </c>
      <c r="B774" s="30">
        <v>5.92</v>
      </c>
      <c r="C774" s="30">
        <v>5.9</v>
      </c>
    </row>
    <row r="775" spans="1:3" x14ac:dyDescent="0.15">
      <c r="A775" s="30" t="s">
        <v>2788</v>
      </c>
      <c r="B775" s="30">
        <v>16.170000000000002</v>
      </c>
      <c r="C775" s="30">
        <v>16.170000000000002</v>
      </c>
    </row>
    <row r="776" spans="1:3" x14ac:dyDescent="0.15">
      <c r="A776" s="30" t="s">
        <v>499</v>
      </c>
      <c r="B776" s="30">
        <v>14.5</v>
      </c>
      <c r="C776" s="30">
        <v>14.56</v>
      </c>
    </row>
    <row r="777" spans="1:3" x14ac:dyDescent="0.15">
      <c r="A777" s="30" t="s">
        <v>325</v>
      </c>
      <c r="B777" s="30">
        <v>11.02</v>
      </c>
      <c r="C777" s="30">
        <v>11.06</v>
      </c>
    </row>
    <row r="778" spans="1:3" x14ac:dyDescent="0.15">
      <c r="A778" s="30" t="s">
        <v>696</v>
      </c>
      <c r="B778" s="30">
        <v>5.42</v>
      </c>
      <c r="C778" s="30">
        <v>5.42</v>
      </c>
    </row>
    <row r="779" spans="1:3" x14ac:dyDescent="0.15">
      <c r="A779" s="30" t="s">
        <v>128</v>
      </c>
      <c r="B779" s="30">
        <v>8.86</v>
      </c>
      <c r="C779" s="30">
        <v>8.6999999999999993</v>
      </c>
    </row>
    <row r="780" spans="1:3" x14ac:dyDescent="0.15">
      <c r="A780" s="30" t="s">
        <v>4656</v>
      </c>
      <c r="B780" s="30">
        <v>9.5299999999999994</v>
      </c>
      <c r="C780" s="30">
        <v>9.5299999999999994</v>
      </c>
    </row>
    <row r="781" spans="1:3" x14ac:dyDescent="0.15">
      <c r="A781" s="30" t="s">
        <v>978</v>
      </c>
      <c r="B781" s="30">
        <v>17.73</v>
      </c>
      <c r="C781" s="30">
        <v>18.3</v>
      </c>
    </row>
    <row r="782" spans="1:3" x14ac:dyDescent="0.15">
      <c r="A782" s="30" t="s">
        <v>395</v>
      </c>
      <c r="B782" s="30">
        <v>21.39</v>
      </c>
      <c r="C782" s="30">
        <v>19.78</v>
      </c>
    </row>
    <row r="783" spans="1:3" x14ac:dyDescent="0.15">
      <c r="A783" s="30" t="s">
        <v>84</v>
      </c>
      <c r="B783" s="30">
        <v>23.26</v>
      </c>
      <c r="C783" s="30">
        <v>23.48</v>
      </c>
    </row>
    <row r="784" spans="1:3" x14ac:dyDescent="0.15">
      <c r="A784" s="30" t="s">
        <v>122</v>
      </c>
      <c r="B784" s="30">
        <v>7.48</v>
      </c>
      <c r="C784" s="30">
        <v>7.65</v>
      </c>
    </row>
    <row r="785" spans="1:3" x14ac:dyDescent="0.15">
      <c r="A785" s="30" t="s">
        <v>4657</v>
      </c>
      <c r="B785" s="30">
        <v>47</v>
      </c>
      <c r="C785" s="30">
        <v>47.3</v>
      </c>
    </row>
    <row r="786" spans="1:3" x14ac:dyDescent="0.15">
      <c r="A786" s="30" t="s">
        <v>3464</v>
      </c>
      <c r="B786" s="30">
        <v>17.75</v>
      </c>
      <c r="C786" s="30">
        <v>17.940000000000001</v>
      </c>
    </row>
    <row r="787" spans="1:3" x14ac:dyDescent="0.15">
      <c r="A787" s="30" t="s">
        <v>4658</v>
      </c>
      <c r="B787" s="30">
        <v>9.8000000000000007</v>
      </c>
      <c r="C787" s="30">
        <v>10.050000000000001</v>
      </c>
    </row>
    <row r="788" spans="1:3" x14ac:dyDescent="0.15">
      <c r="A788" s="30" t="s">
        <v>4659</v>
      </c>
      <c r="B788" s="30">
        <v>9.4499999999999993</v>
      </c>
      <c r="C788" s="30">
        <v>9.5</v>
      </c>
    </row>
    <row r="789" spans="1:3" x14ac:dyDescent="0.15">
      <c r="A789" s="30" t="s">
        <v>403</v>
      </c>
      <c r="B789" s="30">
        <v>5.13</v>
      </c>
      <c r="C789" s="30">
        <v>5.12</v>
      </c>
    </row>
    <row r="790" spans="1:3" x14ac:dyDescent="0.15">
      <c r="A790" s="30" t="s">
        <v>1058</v>
      </c>
      <c r="B790" s="30">
        <v>9.9700000000000006</v>
      </c>
      <c r="C790" s="30">
        <v>10.1</v>
      </c>
    </row>
    <row r="791" spans="1:3" x14ac:dyDescent="0.15">
      <c r="A791" s="30" t="s">
        <v>4660</v>
      </c>
      <c r="B791" s="30">
        <v>47.95</v>
      </c>
      <c r="C791" s="30">
        <v>47.03</v>
      </c>
    </row>
    <row r="792" spans="1:3" x14ac:dyDescent="0.15">
      <c r="A792" s="30" t="s">
        <v>240</v>
      </c>
      <c r="B792" s="30">
        <v>4.83</v>
      </c>
      <c r="C792" s="30">
        <v>5.01</v>
      </c>
    </row>
    <row r="793" spans="1:3" x14ac:dyDescent="0.15">
      <c r="A793" s="30" t="s">
        <v>3540</v>
      </c>
      <c r="B793" s="30">
        <v>2.87</v>
      </c>
      <c r="C793" s="30">
        <v>2.84</v>
      </c>
    </row>
    <row r="794" spans="1:3" x14ac:dyDescent="0.15">
      <c r="A794" s="30" t="s">
        <v>343</v>
      </c>
      <c r="B794" s="30">
        <v>68.489999999999995</v>
      </c>
      <c r="C794" s="30">
        <v>69.010000000000005</v>
      </c>
    </row>
    <row r="795" spans="1:3" x14ac:dyDescent="0.15">
      <c r="A795" s="30" t="s">
        <v>2904</v>
      </c>
      <c r="B795" s="30">
        <v>55.18</v>
      </c>
      <c r="C795" s="30">
        <v>55.8</v>
      </c>
    </row>
    <row r="796" spans="1:3" x14ac:dyDescent="0.15">
      <c r="A796" s="30" t="s">
        <v>3092</v>
      </c>
      <c r="B796" s="30">
        <v>6.18</v>
      </c>
      <c r="C796" s="30">
        <v>6.3</v>
      </c>
    </row>
    <row r="797" spans="1:3" x14ac:dyDescent="0.15">
      <c r="A797" s="30" t="s">
        <v>2822</v>
      </c>
      <c r="B797" s="30">
        <v>12.82</v>
      </c>
      <c r="C797" s="30">
        <v>12.94</v>
      </c>
    </row>
    <row r="798" spans="1:3" x14ac:dyDescent="0.15">
      <c r="A798" s="30" t="s">
        <v>4661</v>
      </c>
      <c r="B798" s="30">
        <v>9.4</v>
      </c>
      <c r="C798" s="30">
        <v>9.5</v>
      </c>
    </row>
    <row r="799" spans="1:3" x14ac:dyDescent="0.15">
      <c r="A799" s="30" t="s">
        <v>373</v>
      </c>
      <c r="B799" s="30">
        <v>47.3</v>
      </c>
      <c r="C799" s="30">
        <v>46.81</v>
      </c>
    </row>
    <row r="800" spans="1:3" x14ac:dyDescent="0.15">
      <c r="A800" s="30" t="s">
        <v>776</v>
      </c>
      <c r="B800" s="30">
        <v>3.77</v>
      </c>
      <c r="C800" s="30">
        <v>3.83</v>
      </c>
    </row>
    <row r="801" spans="1:3" x14ac:dyDescent="0.15">
      <c r="A801" s="30" t="s">
        <v>3274</v>
      </c>
      <c r="B801" s="30">
        <v>4.1100000000000003</v>
      </c>
      <c r="C801" s="30">
        <v>4.03</v>
      </c>
    </row>
    <row r="802" spans="1:3" x14ac:dyDescent="0.15">
      <c r="A802" s="30" t="s">
        <v>289</v>
      </c>
      <c r="B802" s="30">
        <v>44.62</v>
      </c>
      <c r="C802" s="30">
        <v>44.98</v>
      </c>
    </row>
    <row r="803" spans="1:3" x14ac:dyDescent="0.15">
      <c r="A803" s="30" t="s">
        <v>808</v>
      </c>
      <c r="B803" s="30">
        <v>15.16</v>
      </c>
      <c r="C803" s="30">
        <v>15.05</v>
      </c>
    </row>
    <row r="804" spans="1:3" x14ac:dyDescent="0.15">
      <c r="A804" s="30" t="s">
        <v>538</v>
      </c>
      <c r="B804" s="30">
        <v>30.53</v>
      </c>
      <c r="C804" s="30">
        <v>29.38</v>
      </c>
    </row>
    <row r="805" spans="1:3" x14ac:dyDescent="0.15">
      <c r="A805" s="30" t="s">
        <v>3542</v>
      </c>
      <c r="B805" s="30">
        <v>6.01</v>
      </c>
      <c r="C805" s="30">
        <v>6.08</v>
      </c>
    </row>
    <row r="806" spans="1:3" x14ac:dyDescent="0.15">
      <c r="A806" s="30" t="s">
        <v>150</v>
      </c>
      <c r="B806" s="30">
        <v>68.92</v>
      </c>
      <c r="C806" s="30">
        <v>67.72</v>
      </c>
    </row>
    <row r="807" spans="1:3" x14ac:dyDescent="0.15">
      <c r="A807" s="30" t="s">
        <v>3422</v>
      </c>
      <c r="B807" s="30">
        <v>19.690000000000001</v>
      </c>
      <c r="C807" s="30">
        <v>19.97</v>
      </c>
    </row>
    <row r="808" spans="1:3" x14ac:dyDescent="0.15">
      <c r="A808" s="30" t="s">
        <v>1026</v>
      </c>
      <c r="B808" s="30">
        <v>7.75</v>
      </c>
      <c r="C808" s="30">
        <v>7.83</v>
      </c>
    </row>
    <row r="809" spans="1:3" x14ac:dyDescent="0.15">
      <c r="A809" s="30" t="s">
        <v>4662</v>
      </c>
      <c r="B809" s="30">
        <v>81.27</v>
      </c>
      <c r="C809" s="30">
        <v>76.260000000000005</v>
      </c>
    </row>
    <row r="810" spans="1:3" x14ac:dyDescent="0.15">
      <c r="A810" s="30" t="s">
        <v>4663</v>
      </c>
      <c r="B810" s="30">
        <v>39.909999999999997</v>
      </c>
      <c r="C810" s="30">
        <v>39.72</v>
      </c>
    </row>
    <row r="811" spans="1:3" x14ac:dyDescent="0.15">
      <c r="A811" s="30" t="s">
        <v>2924</v>
      </c>
      <c r="B811" s="30">
        <v>4.8499999999999996</v>
      </c>
      <c r="C811" s="30">
        <v>4.76</v>
      </c>
    </row>
    <row r="812" spans="1:3" x14ac:dyDescent="0.15">
      <c r="A812" s="30" t="s">
        <v>267</v>
      </c>
      <c r="B812" s="30">
        <v>7.85</v>
      </c>
      <c r="C812" s="30">
        <v>7.9</v>
      </c>
    </row>
    <row r="813" spans="1:3" x14ac:dyDescent="0.15">
      <c r="A813" s="30" t="s">
        <v>2856</v>
      </c>
      <c r="B813" s="30">
        <v>20.190000000000001</v>
      </c>
      <c r="C813" s="30">
        <v>20.260000000000002</v>
      </c>
    </row>
    <row r="814" spans="1:3" x14ac:dyDescent="0.15">
      <c r="A814" s="30" t="s">
        <v>279</v>
      </c>
      <c r="B814" s="30">
        <v>54.62</v>
      </c>
      <c r="C814" s="30">
        <v>53.65</v>
      </c>
    </row>
    <row r="815" spans="1:3" x14ac:dyDescent="0.15">
      <c r="A815" s="30" t="s">
        <v>998</v>
      </c>
      <c r="B815" s="30">
        <v>8.58</v>
      </c>
      <c r="C815" s="30">
        <v>8.6999999999999993</v>
      </c>
    </row>
    <row r="816" spans="1:3" x14ac:dyDescent="0.15">
      <c r="A816" s="30" t="s">
        <v>684</v>
      </c>
      <c r="B816" s="30">
        <v>22.2</v>
      </c>
      <c r="C816" s="30">
        <v>22.1</v>
      </c>
    </row>
    <row r="817" spans="1:3" x14ac:dyDescent="0.15">
      <c r="A817" s="30" t="s">
        <v>4664</v>
      </c>
      <c r="B817" s="30">
        <v>27.51</v>
      </c>
      <c r="C817" s="30">
        <v>27.37</v>
      </c>
    </row>
    <row r="818" spans="1:3" x14ac:dyDescent="0.15">
      <c r="A818" s="30" t="s">
        <v>600</v>
      </c>
      <c r="B818" s="30">
        <v>11.74</v>
      </c>
      <c r="C818" s="30">
        <v>11.73</v>
      </c>
    </row>
    <row r="819" spans="1:3" x14ac:dyDescent="0.15">
      <c r="A819" s="30" t="s">
        <v>4665</v>
      </c>
      <c r="B819" s="30">
        <v>7.24</v>
      </c>
      <c r="C819" s="30">
        <v>7.43</v>
      </c>
    </row>
    <row r="820" spans="1:3" x14ac:dyDescent="0.15">
      <c r="A820" s="30" t="s">
        <v>80</v>
      </c>
      <c r="B820" s="30">
        <v>9.1199999999999992</v>
      </c>
      <c r="C820" s="30">
        <v>8.9499999999999993</v>
      </c>
    </row>
    <row r="821" spans="1:3" x14ac:dyDescent="0.15">
      <c r="A821" s="30" t="s">
        <v>4666</v>
      </c>
      <c r="B821" s="30">
        <v>9.5500000000000007</v>
      </c>
      <c r="C821" s="30">
        <v>10.15</v>
      </c>
    </row>
    <row r="822" spans="1:3" x14ac:dyDescent="0.15">
      <c r="A822" s="30" t="s">
        <v>2794</v>
      </c>
      <c r="B822" s="30">
        <v>20.71</v>
      </c>
      <c r="C822" s="30">
        <v>20.69</v>
      </c>
    </row>
    <row r="823" spans="1:3" x14ac:dyDescent="0.15">
      <c r="A823" s="30" t="s">
        <v>4667</v>
      </c>
      <c r="B823" s="30">
        <v>13.95</v>
      </c>
      <c r="C823" s="30">
        <v>14.33</v>
      </c>
    </row>
    <row r="824" spans="1:3" x14ac:dyDescent="0.15">
      <c r="A824" s="30" t="s">
        <v>511</v>
      </c>
      <c r="B824" s="30">
        <v>24.84</v>
      </c>
      <c r="C824" s="30">
        <v>24.87</v>
      </c>
    </row>
    <row r="825" spans="1:3" x14ac:dyDescent="0.15">
      <c r="A825" s="30" t="s">
        <v>3172</v>
      </c>
      <c r="B825" s="30">
        <v>15.12</v>
      </c>
      <c r="C825" s="30">
        <v>14.96</v>
      </c>
    </row>
    <row r="826" spans="1:3" x14ac:dyDescent="0.15">
      <c r="A826" s="30" t="s">
        <v>3396</v>
      </c>
      <c r="B826" s="30">
        <v>14.89</v>
      </c>
      <c r="C826" s="30">
        <v>14.57</v>
      </c>
    </row>
    <row r="827" spans="1:3" x14ac:dyDescent="0.15">
      <c r="A827" s="30" t="s">
        <v>172</v>
      </c>
      <c r="B827" s="30">
        <v>8.11</v>
      </c>
      <c r="C827" s="30">
        <v>7.97</v>
      </c>
    </row>
    <row r="828" spans="1:3" x14ac:dyDescent="0.15">
      <c r="A828" s="30" t="s">
        <v>4668</v>
      </c>
      <c r="B828" s="30">
        <v>10.98</v>
      </c>
      <c r="C828" s="30">
        <v>11.29</v>
      </c>
    </row>
    <row r="829" spans="1:3" x14ac:dyDescent="0.15">
      <c r="A829" s="30" t="s">
        <v>772</v>
      </c>
      <c r="B829" s="30">
        <v>26.24</v>
      </c>
      <c r="C829" s="30">
        <v>26.47</v>
      </c>
    </row>
    <row r="830" spans="1:3" x14ac:dyDescent="0.15">
      <c r="A830" s="30" t="s">
        <v>678</v>
      </c>
      <c r="B830" s="30">
        <v>27.38</v>
      </c>
      <c r="C830" s="30">
        <v>28.97</v>
      </c>
    </row>
    <row r="831" spans="1:3" x14ac:dyDescent="0.15">
      <c r="A831" s="30" t="s">
        <v>568</v>
      </c>
      <c r="B831" s="30">
        <v>27</v>
      </c>
      <c r="C831" s="30">
        <v>26.11</v>
      </c>
    </row>
    <row r="832" spans="1:3" x14ac:dyDescent="0.15">
      <c r="A832" s="30" t="s">
        <v>3222</v>
      </c>
      <c r="B832" s="30">
        <v>6.6</v>
      </c>
      <c r="C832" s="30">
        <v>6.62</v>
      </c>
    </row>
    <row r="833" spans="1:3" x14ac:dyDescent="0.15">
      <c r="A833" s="30" t="s">
        <v>4669</v>
      </c>
      <c r="B833" s="30">
        <v>13.48</v>
      </c>
      <c r="C833" s="30">
        <v>13.96</v>
      </c>
    </row>
    <row r="834" spans="1:3" x14ac:dyDescent="0.15">
      <c r="A834" s="30" t="s">
        <v>244</v>
      </c>
      <c r="B834" s="30">
        <v>4.71</v>
      </c>
      <c r="C834" s="30">
        <v>4.68</v>
      </c>
    </row>
    <row r="835" spans="1:3" x14ac:dyDescent="0.15">
      <c r="A835" s="30" t="s">
        <v>4670</v>
      </c>
      <c r="B835" s="30">
        <v>144.52000000000001</v>
      </c>
      <c r="C835" s="30">
        <v>143</v>
      </c>
    </row>
    <row r="836" spans="1:3" x14ac:dyDescent="0.15">
      <c r="A836" s="30" t="s">
        <v>2896</v>
      </c>
      <c r="B836" s="30">
        <v>12</v>
      </c>
      <c r="C836" s="30">
        <v>11.88</v>
      </c>
    </row>
    <row r="837" spans="1:3" x14ac:dyDescent="0.15">
      <c r="A837" s="30" t="s">
        <v>712</v>
      </c>
      <c r="B837" s="30">
        <v>11.43</v>
      </c>
      <c r="C837" s="30">
        <v>11.6</v>
      </c>
    </row>
    <row r="838" spans="1:3" x14ac:dyDescent="0.15">
      <c r="A838" s="30" t="s">
        <v>4671</v>
      </c>
      <c r="B838" s="30">
        <v>9.4</v>
      </c>
      <c r="C838" s="30">
        <v>9.4499999999999993</v>
      </c>
    </row>
    <row r="839" spans="1:3" x14ac:dyDescent="0.15">
      <c r="A839" s="30" t="s">
        <v>419</v>
      </c>
      <c r="B839" s="30">
        <v>28.16</v>
      </c>
      <c r="C839" s="30">
        <v>27.06</v>
      </c>
    </row>
    <row r="840" spans="1:3" x14ac:dyDescent="0.15">
      <c r="A840" s="30" t="s">
        <v>3204</v>
      </c>
      <c r="B840" s="30">
        <v>34.090000000000003</v>
      </c>
      <c r="C840" s="30">
        <v>34.869999999999997</v>
      </c>
    </row>
    <row r="841" spans="1:3" x14ac:dyDescent="0.15">
      <c r="A841" s="30" t="s">
        <v>4672</v>
      </c>
      <c r="B841" s="30">
        <v>37.729999999999997</v>
      </c>
      <c r="C841" s="30">
        <v>36.909999999999997</v>
      </c>
    </row>
    <row r="842" spans="1:3" x14ac:dyDescent="0.15">
      <c r="A842" s="30" t="s">
        <v>3306</v>
      </c>
      <c r="B842" s="30">
        <v>13.2</v>
      </c>
      <c r="C842" s="30">
        <v>13.16</v>
      </c>
    </row>
    <row r="843" spans="1:3" x14ac:dyDescent="0.15">
      <c r="A843" s="30" t="s">
        <v>2880</v>
      </c>
      <c r="B843" s="30">
        <v>11.27</v>
      </c>
      <c r="C843" s="30">
        <v>10.75</v>
      </c>
    </row>
    <row r="844" spans="1:3" x14ac:dyDescent="0.15">
      <c r="A844" s="30" t="s">
        <v>1072</v>
      </c>
      <c r="B844" s="30">
        <v>10.65</v>
      </c>
      <c r="C844" s="30">
        <v>10.86</v>
      </c>
    </row>
    <row r="845" spans="1:3" x14ac:dyDescent="0.15">
      <c r="A845" s="30" t="s">
        <v>4673</v>
      </c>
      <c r="B845" s="30">
        <v>16.579999999999998</v>
      </c>
      <c r="C845" s="30">
        <v>16.8</v>
      </c>
    </row>
    <row r="846" spans="1:3" x14ac:dyDescent="0.15">
      <c r="A846" s="30" t="s">
        <v>4674</v>
      </c>
      <c r="B846" s="30">
        <v>53.48</v>
      </c>
      <c r="C846" s="30">
        <v>52.31</v>
      </c>
    </row>
    <row r="847" spans="1:3" x14ac:dyDescent="0.15">
      <c r="A847" s="30" t="s">
        <v>710</v>
      </c>
      <c r="B847" s="30">
        <v>75.709999999999994</v>
      </c>
      <c r="C847" s="30">
        <v>75.27</v>
      </c>
    </row>
    <row r="848" spans="1:3" x14ac:dyDescent="0.15">
      <c r="A848" s="30" t="s">
        <v>1046</v>
      </c>
      <c r="B848" s="30">
        <v>5.2</v>
      </c>
      <c r="C848" s="30">
        <v>5.26</v>
      </c>
    </row>
    <row r="849" spans="1:3" x14ac:dyDescent="0.15">
      <c r="A849" s="30" t="s">
        <v>704</v>
      </c>
      <c r="B849" s="30">
        <v>27.67</v>
      </c>
      <c r="C849" s="30">
        <v>26.52</v>
      </c>
    </row>
    <row r="850" spans="1:3" x14ac:dyDescent="0.15">
      <c r="A850" s="30" t="s">
        <v>459</v>
      </c>
      <c r="B850" s="30">
        <v>69.88</v>
      </c>
      <c r="C850" s="30">
        <v>68.7</v>
      </c>
    </row>
    <row r="851" spans="1:3" x14ac:dyDescent="0.15">
      <c r="A851" s="30" t="s">
        <v>3050</v>
      </c>
      <c r="B851" s="30">
        <v>19.649999999999999</v>
      </c>
      <c r="C851" s="30">
        <v>20.79</v>
      </c>
    </row>
    <row r="852" spans="1:3" x14ac:dyDescent="0.15">
      <c r="A852" s="30" t="s">
        <v>2928</v>
      </c>
      <c r="B852" s="30">
        <v>3.93</v>
      </c>
      <c r="C852" s="30">
        <v>3.95</v>
      </c>
    </row>
    <row r="853" spans="1:3" x14ac:dyDescent="0.15">
      <c r="A853" s="30" t="s">
        <v>2760</v>
      </c>
      <c r="B853" s="30">
        <v>6.47</v>
      </c>
      <c r="C853" s="30">
        <v>6.37</v>
      </c>
    </row>
    <row r="854" spans="1:3" x14ac:dyDescent="0.15">
      <c r="A854" s="30" t="s">
        <v>487</v>
      </c>
      <c r="B854" s="30">
        <v>27.34</v>
      </c>
      <c r="C854" s="30">
        <v>27.68</v>
      </c>
    </row>
    <row r="855" spans="1:3" x14ac:dyDescent="0.15">
      <c r="A855" s="30" t="s">
        <v>3348</v>
      </c>
      <c r="B855" s="30">
        <v>8.26</v>
      </c>
      <c r="C855" s="30">
        <v>8.3699999999999992</v>
      </c>
    </row>
    <row r="856" spans="1:3" x14ac:dyDescent="0.15">
      <c r="A856" s="30" t="s">
        <v>4675</v>
      </c>
      <c r="B856" s="30">
        <v>6.47</v>
      </c>
      <c r="C856" s="30">
        <v>6.55</v>
      </c>
    </row>
    <row r="857" spans="1:3" x14ac:dyDescent="0.15">
      <c r="A857" s="30" t="s">
        <v>2988</v>
      </c>
      <c r="B857" s="30">
        <v>8.34</v>
      </c>
      <c r="C857" s="30">
        <v>8.1</v>
      </c>
    </row>
    <row r="858" spans="1:3" x14ac:dyDescent="0.15">
      <c r="A858" s="30" t="s">
        <v>204</v>
      </c>
      <c r="B858" s="30">
        <v>3.17</v>
      </c>
      <c r="C858" s="30">
        <v>3.23</v>
      </c>
    </row>
    <row r="859" spans="1:3" x14ac:dyDescent="0.15">
      <c r="A859" s="30" t="s">
        <v>4676</v>
      </c>
      <c r="B859" s="30">
        <v>5.75</v>
      </c>
      <c r="C859" s="30">
        <v>5.81</v>
      </c>
    </row>
    <row r="860" spans="1:3" x14ac:dyDescent="0.15">
      <c r="A860" s="30" t="s">
        <v>4677</v>
      </c>
      <c r="B860" s="30">
        <v>47.41</v>
      </c>
      <c r="C860" s="30">
        <v>46.24</v>
      </c>
    </row>
    <row r="861" spans="1:3" x14ac:dyDescent="0.15">
      <c r="A861" s="30" t="s">
        <v>4678</v>
      </c>
      <c r="B861" s="30">
        <v>163.12</v>
      </c>
      <c r="C861" s="30">
        <v>163.12</v>
      </c>
    </row>
    <row r="862" spans="1:3" x14ac:dyDescent="0.15">
      <c r="A862" s="30" t="s">
        <v>4679</v>
      </c>
      <c r="B862" s="30">
        <v>38.71</v>
      </c>
      <c r="C862" s="30">
        <v>36.78</v>
      </c>
    </row>
    <row r="863" spans="1:3" x14ac:dyDescent="0.15">
      <c r="A863" s="30" t="s">
        <v>4680</v>
      </c>
      <c r="B863" s="30">
        <v>10.29</v>
      </c>
      <c r="C863" s="30">
        <v>10.71</v>
      </c>
    </row>
    <row r="864" spans="1:3" x14ac:dyDescent="0.15">
      <c r="A864" s="30" t="s">
        <v>4681</v>
      </c>
      <c r="B864" s="30">
        <v>6.74</v>
      </c>
      <c r="C864" s="30">
        <v>6.9</v>
      </c>
    </row>
    <row r="865" spans="1:3" x14ac:dyDescent="0.15">
      <c r="A865" s="30" t="s">
        <v>622</v>
      </c>
      <c r="B865" s="30">
        <v>6.21</v>
      </c>
      <c r="C865" s="30">
        <v>6.22</v>
      </c>
    </row>
    <row r="866" spans="1:3" x14ac:dyDescent="0.15">
      <c r="A866" s="30" t="s">
        <v>2804</v>
      </c>
      <c r="B866" s="30">
        <v>5.29</v>
      </c>
      <c r="C866" s="30">
        <v>5.19</v>
      </c>
    </row>
    <row r="867" spans="1:3" x14ac:dyDescent="0.15">
      <c r="A867" s="30" t="s">
        <v>4682</v>
      </c>
      <c r="B867" s="30">
        <v>22.75</v>
      </c>
      <c r="C867" s="30">
        <v>22.9</v>
      </c>
    </row>
    <row r="868" spans="1:3" x14ac:dyDescent="0.15">
      <c r="A868" s="30" t="s">
        <v>4683</v>
      </c>
      <c r="B868" s="30">
        <v>13.5</v>
      </c>
      <c r="C868" s="30">
        <v>13.35</v>
      </c>
    </row>
    <row r="869" spans="1:3" x14ac:dyDescent="0.15">
      <c r="A869" s="30" t="s">
        <v>618</v>
      </c>
      <c r="B869" s="30">
        <v>6.28</v>
      </c>
      <c r="C869" s="30">
        <v>6.32</v>
      </c>
    </row>
    <row r="870" spans="1:3" x14ac:dyDescent="0.15">
      <c r="A870" s="30" t="s">
        <v>391</v>
      </c>
      <c r="B870" s="30">
        <v>17.05</v>
      </c>
      <c r="C870" s="30">
        <v>17.149999999999999</v>
      </c>
    </row>
    <row r="871" spans="1:3" x14ac:dyDescent="0.15">
      <c r="A871" s="30" t="s">
        <v>4684</v>
      </c>
      <c r="B871" s="30">
        <v>43.88</v>
      </c>
      <c r="C871" s="30">
        <v>43.05</v>
      </c>
    </row>
    <row r="872" spans="1:3" x14ac:dyDescent="0.15">
      <c r="A872" s="30" t="s">
        <v>674</v>
      </c>
      <c r="B872" s="30">
        <v>5.71</v>
      </c>
      <c r="C872" s="30">
        <v>5.8</v>
      </c>
    </row>
    <row r="873" spans="1:3" x14ac:dyDescent="0.15">
      <c r="A873" s="30" t="s">
        <v>3434</v>
      </c>
      <c r="B873" s="30">
        <v>8.07</v>
      </c>
      <c r="C873" s="30">
        <v>8.27</v>
      </c>
    </row>
    <row r="874" spans="1:3" x14ac:dyDescent="0.15">
      <c r="A874" s="30" t="s">
        <v>4685</v>
      </c>
      <c r="B874" s="30">
        <v>10.69</v>
      </c>
      <c r="C874" s="30">
        <v>10.79</v>
      </c>
    </row>
    <row r="875" spans="1:3" x14ac:dyDescent="0.15">
      <c r="A875" s="30" t="s">
        <v>353</v>
      </c>
      <c r="B875" s="30">
        <v>18.11</v>
      </c>
      <c r="C875" s="30">
        <v>17.850000000000001</v>
      </c>
    </row>
    <row r="876" spans="1:3" x14ac:dyDescent="0.15">
      <c r="A876" s="30" t="s">
        <v>626</v>
      </c>
      <c r="B876" s="30">
        <v>12.85</v>
      </c>
      <c r="C876" s="30">
        <v>12.78</v>
      </c>
    </row>
    <row r="877" spans="1:3" x14ac:dyDescent="0.15">
      <c r="A877" s="30" t="s">
        <v>878</v>
      </c>
      <c r="B877" s="30">
        <v>4.8499999999999996</v>
      </c>
      <c r="C877" s="30">
        <v>4.8099999999999996</v>
      </c>
    </row>
    <row r="878" spans="1:3" x14ac:dyDescent="0.15">
      <c r="A878" s="30" t="s">
        <v>3470</v>
      </c>
      <c r="B878" s="30">
        <v>8.02</v>
      </c>
      <c r="C878" s="30">
        <v>8.1199999999999992</v>
      </c>
    </row>
    <row r="879" spans="1:3" x14ac:dyDescent="0.15">
      <c r="A879" s="30" t="s">
        <v>874</v>
      </c>
      <c r="B879" s="30">
        <v>27.58</v>
      </c>
      <c r="C879" s="30">
        <v>27.85</v>
      </c>
    </row>
    <row r="880" spans="1:3" x14ac:dyDescent="0.15">
      <c r="A880" s="30" t="s">
        <v>3136</v>
      </c>
      <c r="B880" s="30">
        <v>9.01</v>
      </c>
      <c r="C880" s="30">
        <v>9.06</v>
      </c>
    </row>
    <row r="881" spans="1:3" x14ac:dyDescent="0.15">
      <c r="A881" s="30" t="s">
        <v>980</v>
      </c>
      <c r="B881" s="30">
        <v>70.819999999999993</v>
      </c>
      <c r="C881" s="30">
        <v>71.72</v>
      </c>
    </row>
    <row r="882" spans="1:3" x14ac:dyDescent="0.15">
      <c r="A882" s="30" t="s">
        <v>870</v>
      </c>
      <c r="B882" s="30">
        <v>44.99</v>
      </c>
      <c r="C882" s="30">
        <v>46.8</v>
      </c>
    </row>
    <row r="883" spans="1:3" x14ac:dyDescent="0.15">
      <c r="A883" s="30" t="s">
        <v>4686</v>
      </c>
      <c r="B883" s="30">
        <v>43.8</v>
      </c>
      <c r="C883" s="30">
        <v>41.01</v>
      </c>
    </row>
    <row r="884" spans="1:3" x14ac:dyDescent="0.15">
      <c r="A884" s="30" t="s">
        <v>423</v>
      </c>
      <c r="B884" s="30">
        <v>54.8</v>
      </c>
      <c r="C884" s="30">
        <v>52.4</v>
      </c>
    </row>
    <row r="885" spans="1:3" x14ac:dyDescent="0.15">
      <c r="A885" s="30" t="s">
        <v>3220</v>
      </c>
      <c r="B885" s="30">
        <v>5.54</v>
      </c>
      <c r="C885" s="30">
        <v>5.59</v>
      </c>
    </row>
    <row r="886" spans="1:3" x14ac:dyDescent="0.15">
      <c r="A886" s="30" t="s">
        <v>880</v>
      </c>
      <c r="B886" s="30">
        <v>5.09</v>
      </c>
      <c r="C886" s="30">
        <v>5.15</v>
      </c>
    </row>
    <row r="887" spans="1:3" x14ac:dyDescent="0.15">
      <c r="A887" s="30" t="s">
        <v>1050</v>
      </c>
      <c r="B887" s="30">
        <v>17.53</v>
      </c>
      <c r="C887" s="30">
        <v>17.760000000000002</v>
      </c>
    </row>
    <row r="888" spans="1:3" x14ac:dyDescent="0.15">
      <c r="A888" s="30" t="s">
        <v>4687</v>
      </c>
      <c r="B888" s="30">
        <v>12.82</v>
      </c>
      <c r="C888" s="30">
        <v>12.95</v>
      </c>
    </row>
    <row r="889" spans="1:3" x14ac:dyDescent="0.15">
      <c r="A889" s="30" t="s">
        <v>634</v>
      </c>
      <c r="B889" s="30">
        <v>4.99</v>
      </c>
      <c r="C889" s="30">
        <v>5.03</v>
      </c>
    </row>
    <row r="890" spans="1:3" x14ac:dyDescent="0.15">
      <c r="A890" s="30" t="s">
        <v>4688</v>
      </c>
      <c r="B890" s="30">
        <v>25.95</v>
      </c>
      <c r="C890" s="30">
        <v>25.7</v>
      </c>
    </row>
    <row r="891" spans="1:3" x14ac:dyDescent="0.15">
      <c r="A891" s="30" t="s">
        <v>250</v>
      </c>
      <c r="B891" s="30">
        <v>101.32</v>
      </c>
      <c r="C891" s="30">
        <v>101.81</v>
      </c>
    </row>
    <row r="892" spans="1:3" x14ac:dyDescent="0.15">
      <c r="A892" s="30" t="s">
        <v>610</v>
      </c>
      <c r="B892" s="30">
        <v>45.72</v>
      </c>
      <c r="C892" s="30">
        <v>45.05</v>
      </c>
    </row>
    <row r="893" spans="1:3" x14ac:dyDescent="0.15">
      <c r="A893" s="30" t="s">
        <v>578</v>
      </c>
      <c r="B893" s="30">
        <v>5.21</v>
      </c>
      <c r="C893" s="30">
        <v>5.21</v>
      </c>
    </row>
    <row r="894" spans="1:3" x14ac:dyDescent="0.15">
      <c r="A894" s="30" t="s">
        <v>4689</v>
      </c>
      <c r="B894" s="30">
        <v>17.32</v>
      </c>
      <c r="C894" s="30">
        <v>16.72</v>
      </c>
    </row>
    <row r="895" spans="1:3" x14ac:dyDescent="0.15">
      <c r="A895" s="30" t="s">
        <v>3286</v>
      </c>
      <c r="B895" s="30">
        <v>5.86</v>
      </c>
      <c r="C895" s="30">
        <v>5.83</v>
      </c>
    </row>
    <row r="896" spans="1:3" x14ac:dyDescent="0.15">
      <c r="A896" s="30" t="s">
        <v>756</v>
      </c>
      <c r="B896" s="30">
        <v>9.8800000000000008</v>
      </c>
      <c r="C896" s="30">
        <v>9.83</v>
      </c>
    </row>
    <row r="897" spans="1:3" x14ac:dyDescent="0.15">
      <c r="A897" s="30" t="s">
        <v>4690</v>
      </c>
      <c r="B897" s="30">
        <v>15.17</v>
      </c>
      <c r="C897" s="30">
        <v>15.01</v>
      </c>
    </row>
    <row r="898" spans="1:3" x14ac:dyDescent="0.15">
      <c r="A898" s="30" t="s">
        <v>192</v>
      </c>
      <c r="B898" s="30">
        <v>45.31</v>
      </c>
      <c r="C898" s="30">
        <v>42.89</v>
      </c>
    </row>
    <row r="899" spans="1:3" x14ac:dyDescent="0.15">
      <c r="A899" s="30" t="s">
        <v>120</v>
      </c>
      <c r="B899" s="30">
        <v>6.22</v>
      </c>
      <c r="C899" s="30">
        <v>6.04</v>
      </c>
    </row>
    <row r="900" spans="1:3" x14ac:dyDescent="0.15">
      <c r="A900" s="30" t="s">
        <v>4691</v>
      </c>
      <c r="B900" s="30">
        <v>46</v>
      </c>
      <c r="C900" s="30">
        <v>45.56</v>
      </c>
    </row>
    <row r="901" spans="1:3" x14ac:dyDescent="0.15">
      <c r="A901" s="30" t="s">
        <v>1054</v>
      </c>
      <c r="B901" s="30">
        <v>14.59</v>
      </c>
      <c r="C901" s="30">
        <v>14.59</v>
      </c>
    </row>
    <row r="902" spans="1:3" x14ac:dyDescent="0.15">
      <c r="A902" s="30" t="s">
        <v>154</v>
      </c>
      <c r="B902" s="30">
        <v>6.58</v>
      </c>
      <c r="C902" s="30">
        <v>6.55</v>
      </c>
    </row>
    <row r="903" spans="1:3" x14ac:dyDescent="0.15">
      <c r="A903" s="30" t="s">
        <v>134</v>
      </c>
      <c r="B903" s="30">
        <v>2.57</v>
      </c>
      <c r="C903" s="30">
        <v>2.54</v>
      </c>
    </row>
    <row r="904" spans="1:3" x14ac:dyDescent="0.15">
      <c r="A904" s="30" t="s">
        <v>3190</v>
      </c>
      <c r="B904" s="30">
        <v>4.09</v>
      </c>
      <c r="C904" s="30">
        <v>4.0599999999999996</v>
      </c>
    </row>
    <row r="905" spans="1:3" x14ac:dyDescent="0.15">
      <c r="A905" s="30" t="s">
        <v>3424</v>
      </c>
      <c r="B905" s="30">
        <v>7.06</v>
      </c>
      <c r="C905" s="30">
        <v>7.19</v>
      </c>
    </row>
    <row r="906" spans="1:3" x14ac:dyDescent="0.15">
      <c r="A906" s="30" t="s">
        <v>4692</v>
      </c>
      <c r="B906" s="30">
        <v>5.61</v>
      </c>
      <c r="C906" s="30">
        <v>5.56</v>
      </c>
    </row>
    <row r="907" spans="1:3" x14ac:dyDescent="0.15">
      <c r="A907" s="30" t="s">
        <v>4693</v>
      </c>
      <c r="B907" s="30">
        <v>10.33</v>
      </c>
      <c r="C907" s="30">
        <v>10.54</v>
      </c>
    </row>
    <row r="908" spans="1:3" x14ac:dyDescent="0.15">
      <c r="A908" s="30" t="s">
        <v>916</v>
      </c>
      <c r="B908" s="30">
        <v>3.64</v>
      </c>
      <c r="C908" s="30">
        <v>3.66</v>
      </c>
    </row>
    <row r="909" spans="1:3" x14ac:dyDescent="0.15">
      <c r="A909" s="30" t="s">
        <v>4694</v>
      </c>
      <c r="B909" s="30">
        <v>9.19</v>
      </c>
      <c r="C909" s="30">
        <v>8.6999999999999993</v>
      </c>
    </row>
    <row r="910" spans="1:3" x14ac:dyDescent="0.15">
      <c r="A910" s="30" t="s">
        <v>4695</v>
      </c>
      <c r="B910" s="30">
        <v>4.34</v>
      </c>
      <c r="C910" s="30">
        <v>4.3499999999999996</v>
      </c>
    </row>
    <row r="911" spans="1:3" x14ac:dyDescent="0.15">
      <c r="A911" s="30" t="s">
        <v>1064</v>
      </c>
      <c r="B911" s="30">
        <v>8.77</v>
      </c>
      <c r="C911" s="30">
        <v>8.84</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26.28</v>
      </c>
      <c r="C914" s="30">
        <v>24.55</v>
      </c>
    </row>
    <row r="915" spans="1:3" x14ac:dyDescent="0.15">
      <c r="A915" s="30" t="s">
        <v>136</v>
      </c>
      <c r="B915" s="30">
        <v>8.67</v>
      </c>
      <c r="C915" s="30">
        <v>8.84</v>
      </c>
    </row>
    <row r="916" spans="1:3" x14ac:dyDescent="0.15">
      <c r="A916" s="30" t="s">
        <v>564</v>
      </c>
      <c r="B916" s="30">
        <v>8.23</v>
      </c>
      <c r="C916" s="30">
        <v>8.08</v>
      </c>
    </row>
    <row r="917" spans="1:3" x14ac:dyDescent="0.15">
      <c r="A917" s="30" t="s">
        <v>3038</v>
      </c>
      <c r="B917" s="30">
        <v>3.95</v>
      </c>
      <c r="C917" s="30">
        <v>3.93</v>
      </c>
    </row>
    <row r="918" spans="1:3" x14ac:dyDescent="0.15">
      <c r="A918" s="30" t="s">
        <v>3064</v>
      </c>
      <c r="B918" s="30">
        <v>37.51</v>
      </c>
      <c r="C918" s="30">
        <v>36.979999999999997</v>
      </c>
    </row>
    <row r="919" spans="1:3" x14ac:dyDescent="0.15">
      <c r="A919" s="30" t="s">
        <v>520</v>
      </c>
      <c r="B919" s="30">
        <v>8.59</v>
      </c>
      <c r="C919" s="30">
        <v>8.5399999999999991</v>
      </c>
    </row>
    <row r="920" spans="1:3" x14ac:dyDescent="0.15">
      <c r="A920" s="30" t="s">
        <v>4696</v>
      </c>
      <c r="B920" s="30">
        <v>29.02</v>
      </c>
      <c r="C920" s="30">
        <v>29.02</v>
      </c>
    </row>
    <row r="921" spans="1:3" x14ac:dyDescent="0.15">
      <c r="A921" s="30" t="s">
        <v>982</v>
      </c>
      <c r="B921" s="30">
        <v>9.1199999999999992</v>
      </c>
      <c r="C921" s="30">
        <v>9.1300000000000008</v>
      </c>
    </row>
    <row r="922" spans="1:3" x14ac:dyDescent="0.15">
      <c r="A922" s="30" t="s">
        <v>3310</v>
      </c>
      <c r="B922" s="30">
        <v>11.2</v>
      </c>
      <c r="C922" s="30">
        <v>10.77</v>
      </c>
    </row>
    <row r="923" spans="1:3" x14ac:dyDescent="0.15">
      <c r="A923" s="30" t="s">
        <v>632</v>
      </c>
      <c r="B923" s="30">
        <v>35.19</v>
      </c>
      <c r="C923" s="30">
        <v>33.75</v>
      </c>
    </row>
    <row r="924" spans="1:3" x14ac:dyDescent="0.15">
      <c r="A924" s="30" t="s">
        <v>802</v>
      </c>
      <c r="B924" s="30">
        <v>4.13</v>
      </c>
      <c r="C924" s="30">
        <v>4.13</v>
      </c>
    </row>
    <row r="925" spans="1:3" x14ac:dyDescent="0.15">
      <c r="A925" s="30" t="s">
        <v>104</v>
      </c>
      <c r="B925" s="30">
        <v>6.24</v>
      </c>
      <c r="C925" s="30">
        <v>6.2</v>
      </c>
    </row>
    <row r="926" spans="1:3" x14ac:dyDescent="0.15">
      <c r="A926" s="30" t="s">
        <v>357</v>
      </c>
      <c r="B926" s="30">
        <v>13.4</v>
      </c>
      <c r="C926" s="30">
        <v>13.37</v>
      </c>
    </row>
    <row r="927" spans="1:3" x14ac:dyDescent="0.15">
      <c r="A927" s="30" t="s">
        <v>4697</v>
      </c>
      <c r="B927" s="30">
        <v>29.07</v>
      </c>
      <c r="C927" s="30">
        <v>29.5</v>
      </c>
    </row>
    <row r="928" spans="1:3" x14ac:dyDescent="0.15">
      <c r="A928" s="30" t="s">
        <v>3022</v>
      </c>
      <c r="B928" s="30">
        <v>20.78</v>
      </c>
      <c r="C928" s="30">
        <v>20.65</v>
      </c>
    </row>
    <row r="929" spans="1:3" x14ac:dyDescent="0.15">
      <c r="A929" s="30" t="s">
        <v>754</v>
      </c>
      <c r="B929" s="30">
        <v>37.090000000000003</v>
      </c>
      <c r="C929" s="30">
        <v>36.85</v>
      </c>
    </row>
    <row r="930" spans="1:3" x14ac:dyDescent="0.15">
      <c r="A930" s="30" t="s">
        <v>942</v>
      </c>
      <c r="B930" s="30">
        <v>4.43</v>
      </c>
      <c r="C930" s="30">
        <v>4.45</v>
      </c>
    </row>
    <row r="931" spans="1:3" x14ac:dyDescent="0.15">
      <c r="A931" s="30" t="s">
        <v>2866</v>
      </c>
      <c r="B931" s="30">
        <v>8.83</v>
      </c>
      <c r="C931" s="30">
        <v>9.16</v>
      </c>
    </row>
    <row r="932" spans="1:3" x14ac:dyDescent="0.15">
      <c r="A932" s="30" t="s">
        <v>786</v>
      </c>
      <c r="B932" s="30">
        <v>13.31</v>
      </c>
      <c r="C932" s="30">
        <v>13.11</v>
      </c>
    </row>
    <row r="933" spans="1:3" x14ac:dyDescent="0.15">
      <c r="A933" s="30" t="s">
        <v>1038</v>
      </c>
      <c r="B933" s="30">
        <v>16.93</v>
      </c>
      <c r="C933" s="30">
        <v>17</v>
      </c>
    </row>
    <row r="934" spans="1:3" x14ac:dyDescent="0.15">
      <c r="A934" s="30" t="s">
        <v>3272</v>
      </c>
      <c r="B934" s="30">
        <v>37.36</v>
      </c>
      <c r="C934" s="30">
        <v>37.04</v>
      </c>
    </row>
    <row r="935" spans="1:3" x14ac:dyDescent="0.15">
      <c r="A935" s="30" t="s">
        <v>2902</v>
      </c>
      <c r="B935" s="30">
        <v>19.559999999999999</v>
      </c>
      <c r="C935" s="30">
        <v>19.55</v>
      </c>
    </row>
    <row r="936" spans="1:3" x14ac:dyDescent="0.15">
      <c r="A936" s="30" t="s">
        <v>170</v>
      </c>
      <c r="B936" s="30">
        <v>22</v>
      </c>
      <c r="C936" s="30">
        <v>20.51</v>
      </c>
    </row>
    <row r="937" spans="1:3" x14ac:dyDescent="0.15">
      <c r="A937" s="30" t="s">
        <v>453</v>
      </c>
      <c r="B937" s="30">
        <v>7.26</v>
      </c>
      <c r="C937" s="30">
        <v>7.04</v>
      </c>
    </row>
    <row r="938" spans="1:3" x14ac:dyDescent="0.15">
      <c r="A938" s="30" t="s">
        <v>762</v>
      </c>
      <c r="B938" s="30">
        <v>13.8</v>
      </c>
      <c r="C938" s="30">
        <v>13.85</v>
      </c>
    </row>
    <row r="939" spans="1:3" x14ac:dyDescent="0.15">
      <c r="A939" s="30" t="s">
        <v>1066</v>
      </c>
      <c r="B939" s="30">
        <v>5.57</v>
      </c>
      <c r="C939" s="30">
        <v>5.61</v>
      </c>
    </row>
    <row r="940" spans="1:3" x14ac:dyDescent="0.15">
      <c r="A940" s="30" t="s">
        <v>4698</v>
      </c>
      <c r="B940" s="30">
        <v>12.33</v>
      </c>
      <c r="C940" s="30">
        <v>12.05</v>
      </c>
    </row>
    <row r="941" spans="1:3" x14ac:dyDescent="0.15">
      <c r="A941" s="30" t="s">
        <v>264</v>
      </c>
      <c r="B941" s="30">
        <v>18.32</v>
      </c>
      <c r="C941" s="30">
        <v>18.32</v>
      </c>
    </row>
    <row r="942" spans="1:3" x14ac:dyDescent="0.15">
      <c r="A942" s="30" t="s">
        <v>3296</v>
      </c>
      <c r="B942" s="30">
        <v>20.32</v>
      </c>
      <c r="C942" s="30">
        <v>20.12</v>
      </c>
    </row>
    <row r="943" spans="1:3" x14ac:dyDescent="0.15">
      <c r="A943" s="30" t="s">
        <v>3158</v>
      </c>
      <c r="B943" s="30">
        <v>14.87</v>
      </c>
      <c r="C943" s="30">
        <v>15.07</v>
      </c>
    </row>
    <row r="944" spans="1:3" x14ac:dyDescent="0.15">
      <c r="A944" s="30" t="s">
        <v>4699</v>
      </c>
      <c r="B944" s="30">
        <v>53.81</v>
      </c>
      <c r="C944" s="30">
        <v>52.71</v>
      </c>
    </row>
    <row r="945" spans="1:3" x14ac:dyDescent="0.15">
      <c r="A945" s="30" t="s">
        <v>526</v>
      </c>
      <c r="B945" s="30">
        <v>69.489999999999995</v>
      </c>
      <c r="C945" s="30">
        <v>63.59</v>
      </c>
    </row>
    <row r="946" spans="1:3" x14ac:dyDescent="0.15">
      <c r="A946" s="30" t="s">
        <v>4700</v>
      </c>
      <c r="B946" s="30">
        <v>15.66</v>
      </c>
      <c r="C946" s="30">
        <v>15.66</v>
      </c>
    </row>
    <row r="947" spans="1:3" x14ac:dyDescent="0.15">
      <c r="A947" s="30" t="s">
        <v>3314</v>
      </c>
      <c r="B947" s="30">
        <v>15.2</v>
      </c>
      <c r="C947" s="30">
        <v>15.23</v>
      </c>
    </row>
    <row r="948" spans="1:3" x14ac:dyDescent="0.15">
      <c r="A948" s="30" t="s">
        <v>4701</v>
      </c>
      <c r="B948" s="30">
        <v>25.24</v>
      </c>
      <c r="C948" s="30">
        <v>25.31</v>
      </c>
    </row>
    <row r="949" spans="1:3" x14ac:dyDescent="0.15">
      <c r="A949" s="30" t="s">
        <v>4702</v>
      </c>
      <c r="B949" s="30">
        <v>21.4</v>
      </c>
      <c r="C949" s="30">
        <v>21.19</v>
      </c>
    </row>
    <row r="950" spans="1:3" x14ac:dyDescent="0.15">
      <c r="A950" s="30" t="s">
        <v>4703</v>
      </c>
      <c r="B950" s="30">
        <v>19.09</v>
      </c>
      <c r="C950" s="30">
        <v>19.53</v>
      </c>
    </row>
    <row r="951" spans="1:3" x14ac:dyDescent="0.15">
      <c r="A951" s="30" t="s">
        <v>4704</v>
      </c>
      <c r="B951" s="30">
        <v>10</v>
      </c>
      <c r="C951" s="30">
        <v>10.15</v>
      </c>
    </row>
    <row r="952" spans="1:3" x14ac:dyDescent="0.15">
      <c r="A952" s="30" t="s">
        <v>4705</v>
      </c>
      <c r="B952" s="30">
        <v>44.7</v>
      </c>
      <c r="C952" s="30">
        <v>44.85</v>
      </c>
    </row>
    <row r="953" spans="1:3" x14ac:dyDescent="0.15">
      <c r="A953" s="30" t="s">
        <v>4706</v>
      </c>
      <c r="B953" s="30">
        <v>13.42</v>
      </c>
      <c r="C953" s="30">
        <v>13.17</v>
      </c>
    </row>
    <row r="954" spans="1:3" x14ac:dyDescent="0.15">
      <c r="A954" s="30" t="s">
        <v>283</v>
      </c>
      <c r="B954" s="30">
        <v>31.3</v>
      </c>
      <c r="C954" s="30">
        <v>31.21</v>
      </c>
    </row>
    <row r="955" spans="1:3" x14ac:dyDescent="0.15">
      <c r="A955" s="30" t="s">
        <v>258</v>
      </c>
      <c r="B955" s="30">
        <v>8.24</v>
      </c>
      <c r="C955" s="30">
        <v>8.24</v>
      </c>
    </row>
    <row r="956" spans="1:3" x14ac:dyDescent="0.15">
      <c r="A956" s="30" t="s">
        <v>3548</v>
      </c>
      <c r="B956" s="30">
        <v>11.17</v>
      </c>
      <c r="C956" s="30">
        <v>11.12</v>
      </c>
    </row>
    <row r="957" spans="1:3" x14ac:dyDescent="0.15">
      <c r="A957" s="30" t="s">
        <v>210</v>
      </c>
      <c r="B957" s="30">
        <v>105.99</v>
      </c>
      <c r="C957" s="30">
        <v>104.85</v>
      </c>
    </row>
    <row r="958" spans="1:3" x14ac:dyDescent="0.15">
      <c r="A958" s="30" t="s">
        <v>686</v>
      </c>
      <c r="B958" s="30">
        <v>6.11</v>
      </c>
      <c r="C958" s="30">
        <v>6.03</v>
      </c>
    </row>
    <row r="959" spans="1:3" x14ac:dyDescent="0.15">
      <c r="A959" s="30" t="s">
        <v>321</v>
      </c>
      <c r="B959" s="30">
        <v>24.6</v>
      </c>
      <c r="C959" s="30">
        <v>25.06</v>
      </c>
    </row>
    <row r="960" spans="1:3" x14ac:dyDescent="0.15">
      <c r="A960" s="30" t="s">
        <v>726</v>
      </c>
      <c r="B960" s="30">
        <v>6.47</v>
      </c>
      <c r="C960" s="30">
        <v>6.54</v>
      </c>
    </row>
    <row r="961" spans="1:3" x14ac:dyDescent="0.15">
      <c r="A961" s="30" t="s">
        <v>2960</v>
      </c>
      <c r="B961" s="30">
        <v>24.86</v>
      </c>
      <c r="C961" s="30">
        <v>23.58</v>
      </c>
    </row>
    <row r="962" spans="1:3" x14ac:dyDescent="0.15">
      <c r="A962" s="30" t="s">
        <v>4707</v>
      </c>
      <c r="B962" s="30">
        <v>23.99</v>
      </c>
      <c r="C962" s="30">
        <v>23.58</v>
      </c>
    </row>
    <row r="963" spans="1:3" x14ac:dyDescent="0.15">
      <c r="A963" s="30" t="s">
        <v>992</v>
      </c>
      <c r="B963" s="30">
        <v>14.84</v>
      </c>
      <c r="C963" s="30">
        <v>14.79</v>
      </c>
    </row>
    <row r="964" spans="1:3" x14ac:dyDescent="0.15">
      <c r="A964" s="30" t="s">
        <v>906</v>
      </c>
      <c r="B964" s="30">
        <v>15.99</v>
      </c>
      <c r="C964" s="30">
        <v>16.13</v>
      </c>
    </row>
    <row r="965" spans="1:3" x14ac:dyDescent="0.15">
      <c r="A965" s="30" t="s">
        <v>4708</v>
      </c>
      <c r="B965" s="30">
        <v>7.1</v>
      </c>
      <c r="C965" s="30">
        <v>6.66</v>
      </c>
    </row>
    <row r="966" spans="1:3" x14ac:dyDescent="0.15">
      <c r="A966" s="30" t="s">
        <v>2990</v>
      </c>
      <c r="B966" s="30">
        <v>5.54</v>
      </c>
      <c r="C966" s="30">
        <v>5.52</v>
      </c>
    </row>
    <row r="967" spans="1:3" x14ac:dyDescent="0.15">
      <c r="A967" s="30" t="s">
        <v>307</v>
      </c>
      <c r="B967" s="30">
        <v>65.8</v>
      </c>
      <c r="C967" s="30">
        <v>66.38</v>
      </c>
    </row>
    <row r="968" spans="1:3" x14ac:dyDescent="0.15">
      <c r="A968" s="30" t="s">
        <v>409</v>
      </c>
      <c r="B968" s="30">
        <v>64.55</v>
      </c>
      <c r="C968" s="30">
        <v>63.61</v>
      </c>
    </row>
    <row r="969" spans="1:3" x14ac:dyDescent="0.15">
      <c r="A969" s="30" t="s">
        <v>4709</v>
      </c>
      <c r="B969" s="30">
        <v>9.81</v>
      </c>
      <c r="C969" s="30">
        <v>9.9</v>
      </c>
    </row>
    <row r="970" spans="1:3" x14ac:dyDescent="0.15">
      <c r="A970" s="30" t="s">
        <v>994</v>
      </c>
      <c r="B970" s="30">
        <v>8.69</v>
      </c>
      <c r="C970" s="30">
        <v>8.73</v>
      </c>
    </row>
    <row r="971" spans="1:3" x14ac:dyDescent="0.15">
      <c r="A971" s="30" t="s">
        <v>838</v>
      </c>
      <c r="B971" s="30">
        <v>9.2200000000000006</v>
      </c>
      <c r="C971" s="30">
        <v>9.24</v>
      </c>
    </row>
    <row r="972" spans="1:3" x14ac:dyDescent="0.15">
      <c r="A972" s="30" t="s">
        <v>429</v>
      </c>
      <c r="B972" s="30">
        <v>24.15</v>
      </c>
      <c r="C972" s="30">
        <v>24.37</v>
      </c>
    </row>
    <row r="973" spans="1:3" x14ac:dyDescent="0.15">
      <c r="A973" s="30" t="s">
        <v>3210</v>
      </c>
      <c r="B973" s="30">
        <v>7.51</v>
      </c>
      <c r="C973" s="30">
        <v>7.32</v>
      </c>
    </row>
    <row r="974" spans="1:3" x14ac:dyDescent="0.15">
      <c r="A974" s="30" t="s">
        <v>574</v>
      </c>
      <c r="B974" s="30">
        <v>7.43</v>
      </c>
      <c r="C974" s="30">
        <v>7.45</v>
      </c>
    </row>
    <row r="975" spans="1:3" x14ac:dyDescent="0.15">
      <c r="A975" s="30" t="s">
        <v>505</v>
      </c>
      <c r="B975" s="30">
        <v>47.66</v>
      </c>
      <c r="C975" s="30">
        <v>49.33</v>
      </c>
    </row>
    <row r="976" spans="1:3" x14ac:dyDescent="0.15">
      <c r="A976" s="30" t="s">
        <v>365</v>
      </c>
      <c r="B976" s="30">
        <v>10.39</v>
      </c>
      <c r="C976" s="30">
        <v>10.39</v>
      </c>
    </row>
    <row r="977" spans="1:3" x14ac:dyDescent="0.15">
      <c r="A977" s="30" t="s">
        <v>4710</v>
      </c>
      <c r="B977" s="30">
        <v>14.06</v>
      </c>
      <c r="C977" s="30">
        <v>14.27</v>
      </c>
    </row>
    <row r="978" spans="1:3" x14ac:dyDescent="0.15">
      <c r="A978" s="30" t="s">
        <v>4711</v>
      </c>
      <c r="B978" s="30">
        <v>8.4499999999999993</v>
      </c>
      <c r="C978" s="30">
        <v>8.65</v>
      </c>
    </row>
    <row r="979" spans="1:3" x14ac:dyDescent="0.15">
      <c r="A979" s="30" t="s">
        <v>4712</v>
      </c>
      <c r="B979" s="30">
        <v>8.16</v>
      </c>
      <c r="C979" s="30">
        <v>8.02</v>
      </c>
    </row>
    <row r="980" spans="1:3" x14ac:dyDescent="0.15">
      <c r="A980" s="30" t="s">
        <v>4713</v>
      </c>
      <c r="B980" s="30">
        <v>14.08</v>
      </c>
      <c r="C980" s="30">
        <v>14.36</v>
      </c>
    </row>
    <row r="981" spans="1:3" x14ac:dyDescent="0.15">
      <c r="A981" s="30" t="s">
        <v>4714</v>
      </c>
      <c r="B981" s="30">
        <v>8.02</v>
      </c>
      <c r="C981" s="30">
        <v>7.97</v>
      </c>
    </row>
    <row r="982" spans="1:3" x14ac:dyDescent="0.15">
      <c r="A982" s="30" t="s">
        <v>479</v>
      </c>
      <c r="B982" s="30">
        <v>114</v>
      </c>
      <c r="C982" s="30">
        <v>115.56</v>
      </c>
    </row>
    <row r="983" spans="1:3" x14ac:dyDescent="0.15">
      <c r="A983" s="30" t="s">
        <v>3366</v>
      </c>
      <c r="B983" s="30">
        <v>12.63</v>
      </c>
      <c r="C983" s="30">
        <v>12.13</v>
      </c>
    </row>
    <row r="984" spans="1:3" x14ac:dyDescent="0.15">
      <c r="A984" s="30" t="s">
        <v>421</v>
      </c>
      <c r="B984" s="30">
        <v>22.54</v>
      </c>
      <c r="C984" s="30">
        <v>22.75</v>
      </c>
    </row>
    <row r="985" spans="1:3" x14ac:dyDescent="0.15">
      <c r="A985" s="30" t="s">
        <v>190</v>
      </c>
      <c r="B985" s="30">
        <v>19.73</v>
      </c>
      <c r="C985" s="30">
        <v>19.75</v>
      </c>
    </row>
    <row r="986" spans="1:3" x14ac:dyDescent="0.15">
      <c r="A986" s="30" t="s">
        <v>658</v>
      </c>
      <c r="B986" s="30">
        <v>17.559999999999999</v>
      </c>
      <c r="C986" s="30">
        <v>17.36</v>
      </c>
    </row>
    <row r="987" spans="1:3" x14ac:dyDescent="0.15">
      <c r="A987" s="30" t="s">
        <v>818</v>
      </c>
      <c r="B987" s="30">
        <v>4.7</v>
      </c>
      <c r="C987" s="30">
        <v>4.72</v>
      </c>
    </row>
    <row r="988" spans="1:3" x14ac:dyDescent="0.15">
      <c r="A988" s="30" t="s">
        <v>3550</v>
      </c>
      <c r="B988" s="30">
        <v>10.37</v>
      </c>
      <c r="C988" s="30">
        <v>10.49</v>
      </c>
    </row>
    <row r="989" spans="1:3" x14ac:dyDescent="0.15">
      <c r="A989" s="30" t="s">
        <v>920</v>
      </c>
      <c r="B989" s="30">
        <v>34.67</v>
      </c>
      <c r="C989" s="30">
        <v>34.42</v>
      </c>
    </row>
    <row r="990" spans="1:3" x14ac:dyDescent="0.15">
      <c r="A990" s="30" t="s">
        <v>457</v>
      </c>
      <c r="B990" s="30">
        <v>20.21</v>
      </c>
      <c r="C990" s="30">
        <v>20.13</v>
      </c>
    </row>
    <row r="991" spans="1:3" x14ac:dyDescent="0.15">
      <c r="A991" s="30" t="s">
        <v>184</v>
      </c>
      <c r="B991" s="30">
        <v>21.67</v>
      </c>
      <c r="C991" s="30">
        <v>21.21</v>
      </c>
    </row>
    <row r="992" spans="1:3" x14ac:dyDescent="0.15">
      <c r="A992" s="30" t="s">
        <v>1070</v>
      </c>
      <c r="B992" s="30">
        <v>9.56</v>
      </c>
      <c r="C992" s="30">
        <v>9.66</v>
      </c>
    </row>
    <row r="993" spans="1:3" x14ac:dyDescent="0.15">
      <c r="A993" s="30" t="s">
        <v>558</v>
      </c>
      <c r="B993" s="30">
        <v>22.22</v>
      </c>
      <c r="C993" s="30">
        <v>21.17</v>
      </c>
    </row>
    <row r="994" spans="1:3" x14ac:dyDescent="0.15">
      <c r="A994" s="30" t="s">
        <v>212</v>
      </c>
      <c r="B994" s="30">
        <v>42.85</v>
      </c>
      <c r="C994" s="30">
        <v>40.54</v>
      </c>
    </row>
    <row r="995" spans="1:3" x14ac:dyDescent="0.15">
      <c r="A995" s="30" t="s">
        <v>2824</v>
      </c>
      <c r="B995" s="30">
        <v>47.66</v>
      </c>
      <c r="C995" s="30">
        <v>48.62</v>
      </c>
    </row>
    <row r="996" spans="1:3" x14ac:dyDescent="0.15">
      <c r="A996" s="30" t="s">
        <v>4715</v>
      </c>
      <c r="B996" s="30">
        <v>23.38</v>
      </c>
      <c r="C996" s="30">
        <v>23.03</v>
      </c>
    </row>
    <row r="997" spans="1:3" x14ac:dyDescent="0.15">
      <c r="A997" s="30" t="s">
        <v>856</v>
      </c>
      <c r="B997" s="30">
        <v>10.73</v>
      </c>
      <c r="C997" s="30">
        <v>10.59</v>
      </c>
    </row>
    <row r="998" spans="1:3" x14ac:dyDescent="0.15">
      <c r="A998" s="30" t="s">
        <v>295</v>
      </c>
      <c r="B998" s="30">
        <v>6.9</v>
      </c>
      <c r="C998" s="30">
        <v>6.89</v>
      </c>
    </row>
    <row r="999" spans="1:3" x14ac:dyDescent="0.15">
      <c r="A999" s="30" t="s">
        <v>3232</v>
      </c>
      <c r="B999" s="30">
        <v>15.35</v>
      </c>
      <c r="C999" s="30">
        <v>15.59</v>
      </c>
    </row>
    <row r="1000" spans="1:3" x14ac:dyDescent="0.15">
      <c r="A1000" s="30" t="s">
        <v>708</v>
      </c>
      <c r="B1000" s="30">
        <v>7.55</v>
      </c>
      <c r="C1000" s="30">
        <v>7.54</v>
      </c>
    </row>
    <row r="1001" spans="1:3" x14ac:dyDescent="0.15">
      <c r="A1001" s="30" t="s">
        <v>532</v>
      </c>
      <c r="B1001" s="30">
        <v>7.23</v>
      </c>
      <c r="C1001" s="30">
        <v>7.17</v>
      </c>
    </row>
    <row r="1002" spans="1:3" x14ac:dyDescent="0.15">
      <c r="A1002" s="30" t="s">
        <v>4716</v>
      </c>
      <c r="B1002" s="30">
        <v>10.4</v>
      </c>
      <c r="C1002" s="30">
        <v>10.56</v>
      </c>
    </row>
    <row r="1003" spans="1:3" x14ac:dyDescent="0.15">
      <c r="A1003" s="30" t="s">
        <v>4717</v>
      </c>
      <c r="B1003" s="30">
        <v>8.91</v>
      </c>
      <c r="C1003" s="30">
        <v>8.86</v>
      </c>
    </row>
    <row r="1004" spans="1:3" x14ac:dyDescent="0.15">
      <c r="A1004" s="30" t="s">
        <v>1062</v>
      </c>
      <c r="B1004" s="30">
        <v>14.45</v>
      </c>
      <c r="C1004" s="30">
        <v>14.25</v>
      </c>
    </row>
    <row r="1005" spans="1:3" x14ac:dyDescent="0.15">
      <c r="A1005" s="30" t="s">
        <v>926</v>
      </c>
      <c r="B1005" s="30">
        <v>11.75</v>
      </c>
      <c r="C1005" s="30">
        <v>11.86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43059.721630902779</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2017-11-20T09:19:09Z</dcterms:modified>
</cp:coreProperties>
</file>