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3715" windowHeight="6615"/>
  </bookViews>
  <sheets>
    <sheet name="Sheet1" sheetId="1" r:id="rId1"/>
    <sheet name="Sheet2" sheetId="2" r:id="rId2"/>
    <sheet name="Margin" sheetId="3" r:id="rId3"/>
  </sheets>
  <calcPr calcId="145621"/>
</workbook>
</file>

<file path=xl/calcChain.xml><?xml version="1.0" encoding="utf-8"?>
<calcChain xmlns="http://schemas.openxmlformats.org/spreadsheetml/2006/main">
  <c r="E9" i="3" l="1"/>
  <c r="B9" i="3"/>
  <c r="M15" i="2"/>
  <c r="M9" i="2"/>
  <c r="L9" i="2"/>
  <c r="I4" i="2"/>
  <c r="I15" i="2"/>
  <c r="I13" i="2"/>
  <c r="I14" i="2"/>
  <c r="H13" i="2"/>
  <c r="H14" i="2"/>
  <c r="I10" i="2" l="1"/>
  <c r="H10" i="2"/>
  <c r="H11" i="2"/>
  <c r="H12" i="2"/>
  <c r="I12" i="2" s="1"/>
  <c r="I11" i="2" l="1"/>
  <c r="L15" i="2"/>
  <c r="J12" i="2"/>
  <c r="G5" i="2"/>
  <c r="G6" i="2"/>
  <c r="I6" i="2" s="1"/>
  <c r="G7" i="2"/>
  <c r="G8" i="2"/>
  <c r="I8" i="2" s="1"/>
  <c r="J8" i="2" s="1"/>
  <c r="G9" i="2"/>
  <c r="G4" i="2"/>
  <c r="I5" i="2"/>
  <c r="H5" i="2"/>
  <c r="H6" i="2"/>
  <c r="H7" i="2"/>
  <c r="H8" i="2"/>
  <c r="H9" i="2"/>
  <c r="H4" i="2"/>
  <c r="J13" i="2" l="1"/>
  <c r="J14" i="2"/>
  <c r="J15" i="2"/>
  <c r="I7" i="2"/>
  <c r="J7" i="2" s="1"/>
  <c r="I9" i="2"/>
  <c r="J9" i="2" s="1"/>
  <c r="G23" i="1"/>
  <c r="G22" i="1"/>
  <c r="G7" i="1"/>
  <c r="B7" i="1"/>
  <c r="B29" i="1"/>
  <c r="B31" i="1" s="1"/>
  <c r="B10" i="1" l="1"/>
  <c r="B19" i="1" s="1"/>
  <c r="G9" i="1"/>
  <c r="G10" i="1"/>
  <c r="G12" i="1" s="1"/>
  <c r="B9" i="1"/>
  <c r="B20" i="1" l="1"/>
  <c r="G19" i="1"/>
  <c r="G20" i="1"/>
  <c r="G18" i="1"/>
  <c r="H18" i="1" s="1"/>
  <c r="G11" i="1"/>
  <c r="G16" i="1"/>
  <c r="G17" i="1"/>
  <c r="H17" i="1" s="1"/>
  <c r="B18" i="1"/>
  <c r="C18" i="1" s="1"/>
  <c r="B16" i="1"/>
  <c r="D16" i="1" s="1"/>
  <c r="B17" i="1"/>
  <c r="B11" i="1"/>
  <c r="B22" i="1" s="1"/>
  <c r="B12" i="1"/>
  <c r="C12" i="1" s="1"/>
  <c r="H11" i="1"/>
  <c r="G14" i="1"/>
  <c r="H12" i="1"/>
  <c r="C17" i="1" l="1"/>
  <c r="D17" i="1"/>
  <c r="B23" i="1"/>
  <c r="C11" i="1"/>
  <c r="B14" i="1"/>
</calcChain>
</file>

<file path=xl/sharedStrings.xml><?xml version="1.0" encoding="utf-8"?>
<sst xmlns="http://schemas.openxmlformats.org/spreadsheetml/2006/main" count="94" uniqueCount="63">
  <si>
    <t>Option Pricer</t>
    <phoneticPr fontId="1" type="noConversion"/>
  </si>
  <si>
    <t>s</t>
    <phoneticPr fontId="1" type="noConversion"/>
  </si>
  <si>
    <t>k</t>
    <phoneticPr fontId="1" type="noConversion"/>
  </si>
  <si>
    <t>v</t>
    <phoneticPr fontId="1" type="noConversion"/>
  </si>
  <si>
    <t>r</t>
    <phoneticPr fontId="1" type="noConversion"/>
  </si>
  <si>
    <t>t</t>
    <phoneticPr fontId="1" type="noConversion"/>
  </si>
  <si>
    <t>C</t>
    <phoneticPr fontId="1" type="noConversion"/>
  </si>
  <si>
    <t>P</t>
    <phoneticPr fontId="1" type="noConversion"/>
  </si>
  <si>
    <t>D1</t>
    <phoneticPr fontId="1" type="noConversion"/>
  </si>
  <si>
    <t>D2</t>
    <phoneticPr fontId="1" type="noConversion"/>
  </si>
  <si>
    <t>Inputed P</t>
    <phoneticPr fontId="1" type="noConversion"/>
  </si>
  <si>
    <t>Delta</t>
    <phoneticPr fontId="1" type="noConversion"/>
  </si>
  <si>
    <t>Gamma</t>
    <phoneticPr fontId="1" type="noConversion"/>
  </si>
  <si>
    <t>Day</t>
    <phoneticPr fontId="1" type="noConversion"/>
  </si>
  <si>
    <t>Expiry</t>
    <phoneticPr fontId="1" type="noConversion"/>
  </si>
  <si>
    <t>Days in btwn</t>
    <phoneticPr fontId="1" type="noConversion"/>
  </si>
  <si>
    <t>Vega</t>
    <phoneticPr fontId="1" type="noConversion"/>
  </si>
  <si>
    <t>Rho</t>
    <phoneticPr fontId="1" type="noConversion"/>
  </si>
  <si>
    <t>Theta</t>
    <phoneticPr fontId="1" type="noConversion"/>
  </si>
  <si>
    <t>s</t>
    <phoneticPr fontId="1" type="noConversion"/>
  </si>
  <si>
    <t>k</t>
    <phoneticPr fontId="1" type="noConversion"/>
  </si>
  <si>
    <t>v</t>
    <phoneticPr fontId="1" type="noConversion"/>
  </si>
  <si>
    <t>r</t>
    <phoneticPr fontId="1" type="noConversion"/>
  </si>
  <si>
    <t>t</t>
    <phoneticPr fontId="1" type="noConversion"/>
  </si>
  <si>
    <t>Delta</t>
    <phoneticPr fontId="1" type="noConversion"/>
  </si>
  <si>
    <t>Gamma</t>
    <phoneticPr fontId="1" type="noConversion"/>
  </si>
  <si>
    <t>Vega</t>
    <phoneticPr fontId="1" type="noConversion"/>
  </si>
  <si>
    <t>Rho</t>
    <phoneticPr fontId="1" type="noConversion"/>
  </si>
  <si>
    <t>Theta</t>
    <phoneticPr fontId="1" type="noConversion"/>
  </si>
  <si>
    <t>Leverage</t>
    <phoneticPr fontId="1" type="noConversion"/>
  </si>
  <si>
    <t>True Leverage</t>
    <phoneticPr fontId="1" type="noConversion"/>
  </si>
  <si>
    <t>$</t>
    <phoneticPr fontId="1" type="noConversion"/>
  </si>
  <si>
    <t>Option Trade log</t>
    <phoneticPr fontId="1" type="noConversion"/>
  </si>
  <si>
    <t>Date</t>
    <phoneticPr fontId="1" type="noConversion"/>
  </si>
  <si>
    <t>Direction</t>
    <phoneticPr fontId="1" type="noConversion"/>
  </si>
  <si>
    <t>B</t>
    <phoneticPr fontId="1" type="noConversion"/>
  </si>
  <si>
    <t>S</t>
    <phoneticPr fontId="1" type="noConversion"/>
  </si>
  <si>
    <t>Price</t>
    <phoneticPr fontId="1" type="noConversion"/>
  </si>
  <si>
    <t>Unit</t>
    <phoneticPr fontId="1" type="noConversion"/>
  </si>
  <si>
    <t>T-cost</t>
    <phoneticPr fontId="1" type="noConversion"/>
  </si>
  <si>
    <t>Net Cash</t>
    <phoneticPr fontId="1" type="noConversion"/>
  </si>
  <si>
    <t xml:space="preserve">Net </t>
    <phoneticPr fontId="1" type="noConversion"/>
  </si>
  <si>
    <t>B</t>
    <phoneticPr fontId="1" type="noConversion"/>
  </si>
  <si>
    <t>Type</t>
    <phoneticPr fontId="1" type="noConversion"/>
  </si>
  <si>
    <t>C</t>
    <phoneticPr fontId="1" type="noConversion"/>
  </si>
  <si>
    <t>P</t>
    <phoneticPr fontId="1" type="noConversion"/>
  </si>
  <si>
    <t>S</t>
    <phoneticPr fontId="1" type="noConversion"/>
  </si>
  <si>
    <t>Note</t>
    <phoneticPr fontId="1" type="noConversion"/>
  </si>
  <si>
    <t>Sep6 Gain:41.2</t>
    <phoneticPr fontId="1" type="noConversion"/>
  </si>
  <si>
    <t>Net Gain</t>
    <phoneticPr fontId="1" type="noConversion"/>
  </si>
  <si>
    <t>M</t>
    <phoneticPr fontId="1" type="noConversion"/>
  </si>
  <si>
    <t>N</t>
    <phoneticPr fontId="1" type="noConversion"/>
  </si>
  <si>
    <t>Previous C</t>
    <phoneticPr fontId="1" type="noConversion"/>
  </si>
  <si>
    <t>S</t>
    <phoneticPr fontId="1" type="noConversion"/>
  </si>
  <si>
    <t>K</t>
    <phoneticPr fontId="1" type="noConversion"/>
  </si>
  <si>
    <t>Margin</t>
    <phoneticPr fontId="1" type="noConversion"/>
  </si>
  <si>
    <t>Net: -47.8</t>
    <phoneticPr fontId="1" type="noConversion"/>
  </si>
  <si>
    <t>Net gain(no T-cost)</t>
    <phoneticPr fontId="1" type="noConversion"/>
  </si>
  <si>
    <t>T-cost</t>
    <phoneticPr fontId="1" type="noConversion"/>
  </si>
  <si>
    <t>Ratio</t>
    <phoneticPr fontId="1" type="noConversion"/>
  </si>
  <si>
    <t>Call</t>
    <phoneticPr fontId="1" type="noConversion"/>
  </si>
  <si>
    <t>Put</t>
    <phoneticPr fontId="1" type="noConversion"/>
  </si>
  <si>
    <t>S (previous)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</si>
</sst>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00"/>
    <numFmt numFmtId="178" formatCode="0.00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2" borderId="3" xfId="0" applyFill="1" applyBorder="1">
      <alignment vertical="center"/>
    </xf>
    <xf numFmtId="10" fontId="0" fillId="3" borderId="3" xfId="0" applyNumberFormat="1" applyFill="1" applyBorder="1">
      <alignment vertical="center"/>
    </xf>
    <xf numFmtId="1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2" fillId="0" borderId="6" xfId="0" applyFont="1" applyBorder="1">
      <alignment vertical="center"/>
    </xf>
    <xf numFmtId="177" fontId="0" fillId="0" borderId="7" xfId="0" applyNumberFormat="1" applyBorder="1">
      <alignment vertical="center"/>
    </xf>
    <xf numFmtId="1" fontId="0" fillId="0" borderId="7" xfId="0" applyNumberFormat="1" applyBorder="1">
      <alignment vertical="center"/>
    </xf>
    <xf numFmtId="0" fontId="2" fillId="0" borderId="8" xfId="0" applyFont="1" applyBorder="1">
      <alignment vertical="center"/>
    </xf>
    <xf numFmtId="1" fontId="0" fillId="0" borderId="9" xfId="0" applyNumberFormat="1" applyBorder="1">
      <alignment vertical="center"/>
    </xf>
    <xf numFmtId="9" fontId="0" fillId="0" borderId="7" xfId="0" applyNumberFormat="1" applyBorder="1">
      <alignment vertical="center"/>
    </xf>
    <xf numFmtId="177" fontId="0" fillId="3" borderId="3" xfId="0" applyNumberFormat="1" applyFill="1" applyBorder="1">
      <alignment vertical="center"/>
    </xf>
    <xf numFmtId="178" fontId="0" fillId="3" borderId="3" xfId="0" applyNumberFormat="1" applyFill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abSelected="1" workbookViewId="0">
      <selection activeCell="D32" sqref="D32"/>
    </sheetView>
  </sheetViews>
  <sheetFormatPr defaultRowHeight="13.5" x14ac:dyDescent="0.15"/>
  <cols>
    <col min="1" max="1" width="14.25" customWidth="1"/>
    <col min="2" max="2" width="22.875" customWidth="1"/>
    <col min="3" max="3" width="8.375" customWidth="1"/>
    <col min="4" max="4" width="8" customWidth="1"/>
    <col min="5" max="5" width="8.125" customWidth="1"/>
    <col min="6" max="6" width="17" bestFit="1" customWidth="1"/>
    <col min="7" max="7" width="18.875" customWidth="1"/>
  </cols>
  <sheetData>
    <row r="1" spans="1:8" x14ac:dyDescent="0.15">
      <c r="A1" t="s">
        <v>0</v>
      </c>
    </row>
    <row r="3" spans="1:8" x14ac:dyDescent="0.15">
      <c r="A3" s="7" t="s">
        <v>1</v>
      </c>
      <c r="B3" s="8">
        <v>2.29</v>
      </c>
      <c r="C3" s="1">
        <v>0</v>
      </c>
      <c r="D3" s="1"/>
      <c r="F3" s="7" t="s">
        <v>19</v>
      </c>
      <c r="G3" s="8">
        <v>2.2799999999999998</v>
      </c>
    </row>
    <row r="4" spans="1:8" x14ac:dyDescent="0.15">
      <c r="A4" s="7" t="s">
        <v>2</v>
      </c>
      <c r="B4" s="9">
        <v>2.2999999999999998</v>
      </c>
      <c r="F4" s="7" t="s">
        <v>20</v>
      </c>
      <c r="G4" s="9">
        <v>2.35</v>
      </c>
    </row>
    <row r="5" spans="1:8" x14ac:dyDescent="0.15">
      <c r="A5" s="7" t="s">
        <v>3</v>
      </c>
      <c r="B5" s="10">
        <v>0.16520000000000001</v>
      </c>
      <c r="F5" s="7" t="s">
        <v>21</v>
      </c>
      <c r="G5" s="10">
        <v>0.1827</v>
      </c>
    </row>
    <row r="6" spans="1:8" ht="14.25" thickBot="1" x14ac:dyDescent="0.2">
      <c r="A6" s="7" t="s">
        <v>4</v>
      </c>
      <c r="B6" s="11">
        <v>4.4999999999999998E-2</v>
      </c>
      <c r="F6" s="7" t="s">
        <v>22</v>
      </c>
      <c r="G6" s="11">
        <v>4.4999999999999998E-2</v>
      </c>
    </row>
    <row r="7" spans="1:8" ht="14.25" thickBot="1" x14ac:dyDescent="0.2">
      <c r="A7" s="7" t="s">
        <v>5</v>
      </c>
      <c r="B7" s="23">
        <f>+C7/365</f>
        <v>6.0273972602739728E-2</v>
      </c>
      <c r="C7" s="6">
        <v>22</v>
      </c>
      <c r="D7" s="25"/>
      <c r="F7" s="7" t="s">
        <v>23</v>
      </c>
      <c r="G7" s="24">
        <f>+H7/365</f>
        <v>6.3013698630136991E-2</v>
      </c>
      <c r="H7" s="6">
        <v>23</v>
      </c>
    </row>
    <row r="9" spans="1:8" x14ac:dyDescent="0.15">
      <c r="A9" s="12" t="s">
        <v>8</v>
      </c>
      <c r="B9" s="13">
        <f>(LN(B3/B4)+(B6+0.5*B5^2)*B7)/(B5*SQRT(B7))</f>
        <v>-2.0279843557793401E-2</v>
      </c>
      <c r="F9" s="12" t="s">
        <v>8</v>
      </c>
      <c r="G9" s="13">
        <f>(LN(G3/G4)+(G6+0.5*G5^2)*G7)/(G5*SQRT(G7))</f>
        <v>-0.57460223794835652</v>
      </c>
    </row>
    <row r="10" spans="1:8" x14ac:dyDescent="0.15">
      <c r="A10" s="14" t="s">
        <v>9</v>
      </c>
      <c r="B10" s="15">
        <f>(LN(B3/B4)+(B6-0.5*B5^2)*B7)/(B5*SQRT(B7))</f>
        <v>-6.0837696031269775E-2</v>
      </c>
      <c r="F10" s="14" t="s">
        <v>9</v>
      </c>
      <c r="G10" s="15">
        <f>(LN(G3/G4)+(G6-0.5*G5^2)*G7)/(G5*SQRT(G7))</f>
        <v>-0.62046455930857491</v>
      </c>
    </row>
    <row r="11" spans="1:8" x14ac:dyDescent="0.15">
      <c r="A11" s="14" t="s">
        <v>6</v>
      </c>
      <c r="B11" s="16">
        <f>B3*NORMSDIST(B9)-EXP(-B6*B7)*B4*NORMSDIST(B10)</f>
        <v>3.522615613137603E-2</v>
      </c>
      <c r="C11" s="2">
        <f>B11/B3</f>
        <v>1.5382600930731891E-2</v>
      </c>
      <c r="D11" s="2"/>
      <c r="F11" s="14" t="s">
        <v>6</v>
      </c>
      <c r="G11" s="16">
        <f>G3*NORMSDIST(G9)-EXP(-G6*G7)*G4*NORMSDIST(G10)</f>
        <v>1.7950063666826832E-2</v>
      </c>
      <c r="H11" s="2">
        <f>G11/G3</f>
        <v>7.8728349415907173E-3</v>
      </c>
    </row>
    <row r="12" spans="1:8" x14ac:dyDescent="0.15">
      <c r="A12" s="14" t="s">
        <v>7</v>
      </c>
      <c r="B12" s="15">
        <f>EXP(-B6*B7)*B4*NORMSDIST(-1*B10)-B3*NORMSDIST(-1*B9)</f>
        <v>3.899625255963679E-2</v>
      </c>
      <c r="C12" s="2">
        <f>+B12/B3</f>
        <v>1.7028931248749688E-2</v>
      </c>
      <c r="D12" s="2"/>
      <c r="F12" s="14" t="s">
        <v>7</v>
      </c>
      <c r="G12" s="15">
        <f>EXP(-G6*G7)*G4*NORMSDIST(-1*G10)-G3*NORMSDIST(-1*G9)</f>
        <v>8.1295803959548607E-2</v>
      </c>
      <c r="H12" s="2">
        <f>+G12/G3</f>
        <v>3.5656054368223077E-2</v>
      </c>
    </row>
    <row r="13" spans="1:8" x14ac:dyDescent="0.15">
      <c r="A13" s="14"/>
      <c r="B13" s="15"/>
      <c r="F13" s="14"/>
      <c r="G13" s="15"/>
    </row>
    <row r="14" spans="1:8" x14ac:dyDescent="0.15">
      <c r="A14" s="14" t="s">
        <v>10</v>
      </c>
      <c r="B14" s="15">
        <f>B11-B3+B4*EXP(-B6*B7)</f>
        <v>3.8996252559637234E-2</v>
      </c>
      <c r="F14" s="14" t="s">
        <v>10</v>
      </c>
      <c r="G14" s="15">
        <f>G11-G3+G4*EXP(-G6*G7)</f>
        <v>8.1295803959548607E-2</v>
      </c>
    </row>
    <row r="15" spans="1:8" x14ac:dyDescent="0.15">
      <c r="A15" s="14"/>
      <c r="B15" s="15"/>
      <c r="D15" t="s">
        <v>31</v>
      </c>
      <c r="F15" s="14"/>
      <c r="G15" s="15"/>
    </row>
    <row r="16" spans="1:8" x14ac:dyDescent="0.15">
      <c r="A16" s="17" t="s">
        <v>11</v>
      </c>
      <c r="B16" s="22">
        <f>NORMSDIST(B9)</f>
        <v>0.49191006749586413</v>
      </c>
      <c r="D16">
        <f>B16*B3</f>
        <v>1.126474054565529</v>
      </c>
      <c r="F16" s="17" t="s">
        <v>24</v>
      </c>
      <c r="G16" s="22">
        <f>NORMSDIST(G9)-1</f>
        <v>-0.71721983091378549</v>
      </c>
    </row>
    <row r="17" spans="1:8" x14ac:dyDescent="0.15">
      <c r="A17" s="17" t="s">
        <v>12</v>
      </c>
      <c r="B17" s="15">
        <f>1/(SQRT(2*PI()))*EXP(-0.5*(B9^2))/(B3*B5*SQRT(B7))</f>
        <v>4.2944774409864186</v>
      </c>
      <c r="C17" s="4">
        <f>B17*B3/100</f>
        <v>9.8343533398588978E-2</v>
      </c>
      <c r="D17" s="4">
        <f>+B17*B3^2/100</f>
        <v>0.22520669148276881</v>
      </c>
      <c r="F17" s="17" t="s">
        <v>25</v>
      </c>
      <c r="G17" s="15">
        <f>1/(SQRT(2*PI()))*EXP(-0.5*(G9^2))/(G3*G5*SQRT(G7))</f>
        <v>3.2346267490320386</v>
      </c>
      <c r="H17" s="4">
        <f>G17*G3/100</f>
        <v>7.3749489877930466E-2</v>
      </c>
    </row>
    <row r="18" spans="1:8" x14ac:dyDescent="0.15">
      <c r="A18" s="17" t="s">
        <v>16</v>
      </c>
      <c r="B18" s="16">
        <f>B3/(SQRT(2*PI()))*EXP(-0.5*(B9^2))*SQRT(B7)/100</f>
        <v>2.2424416425341777E-3</v>
      </c>
      <c r="C18" s="5">
        <f>B18/B3</f>
        <v>9.7923215831186797E-4</v>
      </c>
      <c r="D18" s="5"/>
      <c r="F18" s="17" t="s">
        <v>26</v>
      </c>
      <c r="G18" s="15">
        <f>G3/(SQRT(2*PI()))*EXP(-0.5*(G9^2))*SQRT(G7)/100</f>
        <v>1.9358307606262956E-3</v>
      </c>
      <c r="H18" s="5">
        <f>G18/G3</f>
        <v>8.4904857922205956E-4</v>
      </c>
    </row>
    <row r="19" spans="1:8" x14ac:dyDescent="0.15">
      <c r="A19" s="17" t="s">
        <v>17</v>
      </c>
      <c r="B19" s="18">
        <f>B4*B7*EXP(-B6*B7)*NORMSDIST(B10)/100</f>
        <v>6.5773845933017442E-4</v>
      </c>
      <c r="C19" s="2"/>
      <c r="D19" s="2"/>
      <c r="F19" s="17" t="s">
        <v>27</v>
      </c>
      <c r="G19" s="18">
        <f>-G4*G7*EXP(-G6*G7)*NORMSDIST(-G10)/100</f>
        <v>-1.0816660664161241E-3</v>
      </c>
    </row>
    <row r="20" spans="1:8" x14ac:dyDescent="0.15">
      <c r="A20" s="17" t="s">
        <v>18</v>
      </c>
      <c r="B20" s="18">
        <f>(-B3/(2*SQRT(2*PI()))*EXP(-0.5*(B9^2))*B5/(2*SQRT(B7))-B6*B4*EXP(-B6*B7)*NORMSDIST(B10))/365</f>
        <v>-5.5550486593872455E-4</v>
      </c>
      <c r="F20" s="17" t="s">
        <v>28</v>
      </c>
      <c r="G20" s="18">
        <f>(-G3*(1/(2*SQRT(2*PI()))*EXP(-0.5*(G9^2)))*G5/(2*SQRT(G7))-G6*G4*EXP(-G6*G7)*NORMSDIST(G10))/365</f>
        <v>-4.6170606096582526E-4</v>
      </c>
    </row>
    <row r="21" spans="1:8" x14ac:dyDescent="0.15">
      <c r="A21" s="14"/>
      <c r="B21" s="15"/>
      <c r="F21" s="14"/>
      <c r="G21" s="15"/>
    </row>
    <row r="22" spans="1:8" x14ac:dyDescent="0.15">
      <c r="A22" s="17" t="s">
        <v>29</v>
      </c>
      <c r="B22" s="19">
        <f>B3/B11</f>
        <v>65.008512182238675</v>
      </c>
      <c r="F22" s="17" t="s">
        <v>29</v>
      </c>
      <c r="G22" s="19">
        <f>G3/G12</f>
        <v>28.045727933688788</v>
      </c>
    </row>
    <row r="23" spans="1:8" x14ac:dyDescent="0.15">
      <c r="A23" s="20" t="s">
        <v>30</v>
      </c>
      <c r="B23" s="21">
        <f>B22*B16</f>
        <v>31.978341615370734</v>
      </c>
      <c r="F23" s="20" t="s">
        <v>30</v>
      </c>
      <c r="G23" s="21">
        <f>G22*G16</f>
        <v>-20.114952246454305</v>
      </c>
    </row>
    <row r="29" spans="1:8" x14ac:dyDescent="0.15">
      <c r="A29" t="s">
        <v>13</v>
      </c>
      <c r="B29" s="3">
        <f ca="1">TODAY()</f>
        <v>42621</v>
      </c>
    </row>
    <row r="30" spans="1:8" x14ac:dyDescent="0.15">
      <c r="A30" t="s">
        <v>14</v>
      </c>
      <c r="B30" s="3">
        <v>42641</v>
      </c>
    </row>
    <row r="31" spans="1:8" x14ac:dyDescent="0.15">
      <c r="A31" t="s">
        <v>15</v>
      </c>
      <c r="B31">
        <f ca="1">B30-B29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D27" sqref="D27"/>
    </sheetView>
  </sheetViews>
  <sheetFormatPr defaultRowHeight="13.5" x14ac:dyDescent="0.15"/>
  <cols>
    <col min="2" max="2" width="18.375" bestFit="1" customWidth="1"/>
    <col min="3" max="3" width="10.5" bestFit="1" customWidth="1"/>
    <col min="4" max="5" width="10.5" customWidth="1"/>
    <col min="11" max="11" width="16.125" bestFit="1" customWidth="1"/>
    <col min="12" max="12" width="16.125" customWidth="1"/>
    <col min="13" max="13" width="7.5" bestFit="1" customWidth="1"/>
  </cols>
  <sheetData>
    <row r="1" spans="1:14" x14ac:dyDescent="0.15">
      <c r="G1">
        <v>12</v>
      </c>
    </row>
    <row r="2" spans="1:14" x14ac:dyDescent="0.15">
      <c r="B2" t="s">
        <v>32</v>
      </c>
    </row>
    <row r="3" spans="1:14" x14ac:dyDescent="0.15">
      <c r="B3" t="s">
        <v>33</v>
      </c>
      <c r="C3" t="s">
        <v>34</v>
      </c>
      <c r="D3" t="s">
        <v>43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K3" t="s">
        <v>47</v>
      </c>
      <c r="L3" t="s">
        <v>57</v>
      </c>
      <c r="M3" t="s">
        <v>58</v>
      </c>
      <c r="N3" t="s">
        <v>49</v>
      </c>
    </row>
    <row r="4" spans="1:14" x14ac:dyDescent="0.15">
      <c r="A4">
        <v>1</v>
      </c>
      <c r="B4" s="3">
        <v>42619</v>
      </c>
      <c r="C4" t="s">
        <v>35</v>
      </c>
      <c r="D4" t="s">
        <v>44</v>
      </c>
      <c r="E4">
        <v>305</v>
      </c>
      <c r="F4">
        <v>1</v>
      </c>
      <c r="G4">
        <f>$G$1+2.3</f>
        <v>14.3</v>
      </c>
      <c r="H4">
        <f>IF(C4="B",F4*E4*(-1),F4*E4)</f>
        <v>-305</v>
      </c>
      <c r="I4">
        <f>H4-G4</f>
        <v>-319.3</v>
      </c>
      <c r="J4">
        <v>-301.9666666666667</v>
      </c>
    </row>
    <row r="5" spans="1:14" x14ac:dyDescent="0.15">
      <c r="A5">
        <v>2</v>
      </c>
      <c r="B5" s="3">
        <v>42619</v>
      </c>
      <c r="C5" t="s">
        <v>35</v>
      </c>
      <c r="D5" t="s">
        <v>44</v>
      </c>
      <c r="E5">
        <v>283</v>
      </c>
      <c r="F5">
        <v>1</v>
      </c>
      <c r="G5">
        <f t="shared" ref="G5:G9" si="0">$G$1+2.3</f>
        <v>14.3</v>
      </c>
      <c r="H5">
        <f t="shared" ref="H5:H9" si="1">IF(C5="B",F5*E5*(-1),F5*E5)</f>
        <v>-283</v>
      </c>
      <c r="I5">
        <f t="shared" ref="I5:I8" si="2">H5-G5</f>
        <v>-297.3</v>
      </c>
      <c r="J5">
        <v>-301.9666666666667</v>
      </c>
    </row>
    <row r="6" spans="1:14" x14ac:dyDescent="0.15">
      <c r="A6">
        <v>3</v>
      </c>
      <c r="B6" s="3">
        <v>42619</v>
      </c>
      <c r="C6" t="s">
        <v>35</v>
      </c>
      <c r="D6" t="s">
        <v>44</v>
      </c>
      <c r="E6">
        <v>275</v>
      </c>
      <c r="F6">
        <v>1</v>
      </c>
      <c r="G6">
        <f t="shared" si="0"/>
        <v>14.3</v>
      </c>
      <c r="H6">
        <f t="shared" si="1"/>
        <v>-275</v>
      </c>
      <c r="I6">
        <f t="shared" si="2"/>
        <v>-289.3</v>
      </c>
      <c r="J6">
        <v>-301.9666666666667</v>
      </c>
    </row>
    <row r="7" spans="1:14" x14ac:dyDescent="0.15">
      <c r="A7">
        <v>4</v>
      </c>
      <c r="B7" s="3">
        <v>42619</v>
      </c>
      <c r="C7" t="s">
        <v>36</v>
      </c>
      <c r="D7" t="s">
        <v>44</v>
      </c>
      <c r="E7">
        <v>305</v>
      </c>
      <c r="F7">
        <v>1</v>
      </c>
      <c r="G7">
        <f t="shared" si="0"/>
        <v>14.3</v>
      </c>
      <c r="H7">
        <f t="shared" si="1"/>
        <v>305</v>
      </c>
      <c r="I7">
        <f t="shared" si="2"/>
        <v>290.7</v>
      </c>
      <c r="J7">
        <f>+I7+J6</f>
        <v>-11.266666666666708</v>
      </c>
    </row>
    <row r="8" spans="1:14" x14ac:dyDescent="0.15">
      <c r="A8">
        <v>5</v>
      </c>
      <c r="B8" s="3">
        <v>42619</v>
      </c>
      <c r="C8" t="s">
        <v>36</v>
      </c>
      <c r="D8" t="s">
        <v>44</v>
      </c>
      <c r="E8">
        <v>345</v>
      </c>
      <c r="F8">
        <v>1</v>
      </c>
      <c r="G8">
        <f t="shared" si="0"/>
        <v>14.3</v>
      </c>
      <c r="H8">
        <f t="shared" si="1"/>
        <v>345</v>
      </c>
      <c r="I8">
        <f t="shared" si="2"/>
        <v>330.7</v>
      </c>
      <c r="J8">
        <f>+I8+J6</f>
        <v>28.733333333333292</v>
      </c>
    </row>
    <row r="9" spans="1:14" x14ac:dyDescent="0.15">
      <c r="A9">
        <v>6</v>
      </c>
      <c r="B9" s="3">
        <v>42619</v>
      </c>
      <c r="C9" t="s">
        <v>36</v>
      </c>
      <c r="D9" t="s">
        <v>44</v>
      </c>
      <c r="E9">
        <v>341</v>
      </c>
      <c r="F9">
        <v>1</v>
      </c>
      <c r="G9">
        <f t="shared" si="0"/>
        <v>14.3</v>
      </c>
      <c r="H9">
        <f t="shared" si="1"/>
        <v>341</v>
      </c>
      <c r="I9">
        <f>H9-G9</f>
        <v>326.7</v>
      </c>
      <c r="J9">
        <f>+I9+J6</f>
        <v>24.733333333333292</v>
      </c>
      <c r="K9" t="s">
        <v>48</v>
      </c>
      <c r="L9">
        <f>SUM(H4:H9)</f>
        <v>128</v>
      </c>
      <c r="M9">
        <f>SUM(G4:G9)</f>
        <v>85.8</v>
      </c>
      <c r="N9">
        <v>41.2</v>
      </c>
    </row>
    <row r="10" spans="1:14" x14ac:dyDescent="0.15">
      <c r="A10">
        <v>7</v>
      </c>
      <c r="B10" s="3">
        <v>42620</v>
      </c>
      <c r="C10" t="s">
        <v>42</v>
      </c>
      <c r="D10" t="s">
        <v>45</v>
      </c>
      <c r="E10">
        <v>190</v>
      </c>
      <c r="F10">
        <v>1</v>
      </c>
      <c r="G10">
        <v>8.3000000000000007</v>
      </c>
      <c r="H10">
        <f>IF(C10="B",F10*E10*(-1),F10*E10)</f>
        <v>-190</v>
      </c>
      <c r="I10">
        <f>H10-G10</f>
        <v>-198.3</v>
      </c>
    </row>
    <row r="11" spans="1:14" x14ac:dyDescent="0.15">
      <c r="A11">
        <v>8</v>
      </c>
      <c r="B11" s="3">
        <v>42620</v>
      </c>
      <c r="C11" t="s">
        <v>42</v>
      </c>
      <c r="D11" t="s">
        <v>45</v>
      </c>
      <c r="E11">
        <v>180</v>
      </c>
      <c r="F11">
        <v>1</v>
      </c>
      <c r="G11">
        <v>8.3000000000000007</v>
      </c>
      <c r="H11">
        <f t="shared" ref="H11:H14" si="3">IF(C11="B",F11*E11*(-1),F11*E11)</f>
        <v>-180</v>
      </c>
      <c r="I11">
        <f>H11-G11</f>
        <v>-188.3</v>
      </c>
    </row>
    <row r="12" spans="1:14" x14ac:dyDescent="0.15">
      <c r="A12">
        <v>9</v>
      </c>
      <c r="B12" s="3">
        <v>42620</v>
      </c>
      <c r="C12" t="s">
        <v>42</v>
      </c>
      <c r="D12" t="s">
        <v>45</v>
      </c>
      <c r="E12">
        <v>172</v>
      </c>
      <c r="F12">
        <v>1</v>
      </c>
      <c r="G12">
        <v>8.3000000000000007</v>
      </c>
      <c r="H12">
        <f t="shared" si="3"/>
        <v>-172</v>
      </c>
      <c r="I12">
        <f>H12-G12</f>
        <v>-180.3</v>
      </c>
      <c r="J12">
        <f>AVERAGE(I10:I12)</f>
        <v>-188.9666666666667</v>
      </c>
    </row>
    <row r="13" spans="1:14" x14ac:dyDescent="0.15">
      <c r="A13">
        <v>10</v>
      </c>
      <c r="B13" s="3">
        <v>42621</v>
      </c>
      <c r="C13" s="2" t="s">
        <v>46</v>
      </c>
      <c r="D13" s="2" t="s">
        <v>45</v>
      </c>
      <c r="E13">
        <v>180</v>
      </c>
      <c r="F13">
        <v>1</v>
      </c>
      <c r="G13">
        <v>8.3000000000000007</v>
      </c>
      <c r="H13">
        <f t="shared" si="3"/>
        <v>180</v>
      </c>
      <c r="I13">
        <f t="shared" ref="I13:I15" si="4">H13-G13</f>
        <v>171.7</v>
      </c>
      <c r="J13">
        <f>+J12+I13</f>
        <v>-17.266666666666708</v>
      </c>
    </row>
    <row r="14" spans="1:14" x14ac:dyDescent="0.15">
      <c r="A14">
        <v>11</v>
      </c>
      <c r="B14" s="3">
        <v>42622</v>
      </c>
      <c r="C14" s="2" t="s">
        <v>46</v>
      </c>
      <c r="D14" s="2" t="s">
        <v>45</v>
      </c>
      <c r="E14">
        <v>180</v>
      </c>
      <c r="F14">
        <v>1</v>
      </c>
      <c r="G14">
        <v>8.3000000000000007</v>
      </c>
      <c r="H14">
        <f t="shared" si="3"/>
        <v>180</v>
      </c>
      <c r="I14">
        <f t="shared" si="4"/>
        <v>171.7</v>
      </c>
      <c r="J14">
        <f>+I14+J12</f>
        <v>-17.266666666666708</v>
      </c>
    </row>
    <row r="15" spans="1:14" x14ac:dyDescent="0.15">
      <c r="A15">
        <v>12</v>
      </c>
      <c r="B15" s="3">
        <v>42623</v>
      </c>
      <c r="C15" s="2" t="s">
        <v>46</v>
      </c>
      <c r="D15" s="2" t="s">
        <v>45</v>
      </c>
      <c r="E15">
        <v>179</v>
      </c>
      <c r="F15">
        <v>1</v>
      </c>
      <c r="G15">
        <v>8.3000000000000007</v>
      </c>
      <c r="H15">
        <v>184</v>
      </c>
      <c r="I15">
        <f t="shared" si="4"/>
        <v>175.7</v>
      </c>
      <c r="J15">
        <f>+J12+I15</f>
        <v>-13.266666666666708</v>
      </c>
      <c r="K15" t="s">
        <v>56</v>
      </c>
      <c r="L15">
        <f>SUM(H10:H15)</f>
        <v>2</v>
      </c>
      <c r="M15">
        <f>SUM(G10:G15)</f>
        <v>49.8</v>
      </c>
      <c r="N15">
        <v>-47.8</v>
      </c>
    </row>
    <row r="16" spans="1:14" x14ac:dyDescent="0.15">
      <c r="A16">
        <v>13</v>
      </c>
      <c r="C16" s="2"/>
      <c r="D16" s="2"/>
    </row>
    <row r="17" spans="1:1" x14ac:dyDescent="0.15">
      <c r="A17">
        <v>14</v>
      </c>
    </row>
    <row r="18" spans="1:1" x14ac:dyDescent="0.15">
      <c r="A18">
        <v>15</v>
      </c>
    </row>
    <row r="19" spans="1:1" x14ac:dyDescent="0.15">
      <c r="A19">
        <v>16</v>
      </c>
    </row>
    <row r="20" spans="1:1" x14ac:dyDescent="0.15">
      <c r="A20">
        <v>17</v>
      </c>
    </row>
    <row r="21" spans="1:1" x14ac:dyDescent="0.15">
      <c r="A21">
        <v>18</v>
      </c>
    </row>
    <row r="22" spans="1:1" x14ac:dyDescent="0.15">
      <c r="A22">
        <v>19</v>
      </c>
    </row>
    <row r="23" spans="1:1" x14ac:dyDescent="0.15">
      <c r="A23">
        <v>20</v>
      </c>
    </row>
    <row r="24" spans="1:1" x14ac:dyDescent="0.15">
      <c r="A24">
        <v>21</v>
      </c>
    </row>
    <row r="25" spans="1:1" x14ac:dyDescent="0.15">
      <c r="A25">
        <v>22</v>
      </c>
    </row>
    <row r="26" spans="1:1" x14ac:dyDescent="0.15">
      <c r="A26">
        <v>23</v>
      </c>
    </row>
    <row r="27" spans="1:1" x14ac:dyDescent="0.15">
      <c r="A27">
        <v>24</v>
      </c>
    </row>
    <row r="28" spans="1:1" x14ac:dyDescent="0.15">
      <c r="A28">
        <v>25</v>
      </c>
    </row>
    <row r="29" spans="1:1" x14ac:dyDescent="0.15">
      <c r="A29">
        <v>26</v>
      </c>
    </row>
    <row r="30" spans="1:1" x14ac:dyDescent="0.15">
      <c r="A30">
        <v>27</v>
      </c>
    </row>
    <row r="31" spans="1:1" x14ac:dyDescent="0.15">
      <c r="A31">
        <v>28</v>
      </c>
    </row>
    <row r="32" spans="1:1" x14ac:dyDescent="0.15">
      <c r="A32">
        <v>29</v>
      </c>
    </row>
    <row r="33" spans="1:1" x14ac:dyDescent="0.15">
      <c r="A33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7" sqref="E17"/>
    </sheetView>
  </sheetViews>
  <sheetFormatPr defaultRowHeight="13.5" x14ac:dyDescent="0.15"/>
  <cols>
    <col min="4" max="4" width="13.875" bestFit="1" customWidth="1"/>
  </cols>
  <sheetData>
    <row r="1" spans="1:5" x14ac:dyDescent="0.15">
      <c r="A1" t="s">
        <v>60</v>
      </c>
      <c r="D1" t="s">
        <v>61</v>
      </c>
    </row>
    <row r="2" spans="1:5" x14ac:dyDescent="0.15">
      <c r="A2" t="s">
        <v>50</v>
      </c>
      <c r="B2">
        <v>0.12</v>
      </c>
      <c r="D2" t="s">
        <v>50</v>
      </c>
      <c r="E2">
        <v>0.12</v>
      </c>
    </row>
    <row r="3" spans="1:5" x14ac:dyDescent="0.15">
      <c r="A3" t="s">
        <v>51</v>
      </c>
      <c r="B3">
        <v>7.0000000000000007E-2</v>
      </c>
      <c r="D3" t="s">
        <v>51</v>
      </c>
      <c r="E3">
        <v>7.0000000000000007E-2</v>
      </c>
    </row>
    <row r="4" spans="1:5" x14ac:dyDescent="0.15">
      <c r="A4" t="s">
        <v>52</v>
      </c>
      <c r="B4">
        <v>3.39E-2</v>
      </c>
      <c r="D4" t="s">
        <v>52</v>
      </c>
      <c r="E4">
        <v>4.1200000000000001E-2</v>
      </c>
    </row>
    <row r="5" spans="1:5" x14ac:dyDescent="0.15">
      <c r="A5" t="s">
        <v>53</v>
      </c>
      <c r="B5">
        <v>2.29</v>
      </c>
      <c r="D5" t="s">
        <v>62</v>
      </c>
      <c r="E5">
        <v>2.29</v>
      </c>
    </row>
    <row r="6" spans="1:5" x14ac:dyDescent="0.15">
      <c r="A6" t="s">
        <v>54</v>
      </c>
      <c r="B6">
        <v>2.2999999999999998</v>
      </c>
      <c r="D6" t="s">
        <v>54</v>
      </c>
      <c r="E6">
        <v>2.2999999999999998</v>
      </c>
    </row>
    <row r="7" spans="1:5" x14ac:dyDescent="0.15">
      <c r="A7" t="s">
        <v>59</v>
      </c>
      <c r="B7">
        <v>1</v>
      </c>
      <c r="D7" t="s">
        <v>59</v>
      </c>
      <c r="E7">
        <v>1</v>
      </c>
    </row>
    <row r="9" spans="1:5" x14ac:dyDescent="0.15">
      <c r="A9" t="s">
        <v>55</v>
      </c>
      <c r="B9">
        <f>(B4+MAX(B2*B5-MAX(B6-B5,0),B3*B5))*10000*B7</f>
        <v>2987.0000000000018</v>
      </c>
      <c r="D9" t="s">
        <v>55</v>
      </c>
      <c r="E9">
        <f>(E4+MAX(E2*E5-MAX(E5-E6,0),E3*E6))*10000*E7</f>
        <v>3160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Margin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2016-09-05T07:43:03Z</dcterms:created>
  <dcterms:modified xsi:type="dcterms:W3CDTF">2016-09-08T14:49:06Z</dcterms:modified>
</cp:coreProperties>
</file>