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lukaskoebis/py_excel/"/>
    </mc:Choice>
  </mc:AlternateContent>
  <xr:revisionPtr revIDLastSave="0" documentId="13_ncr:1_{44A3F0D9-2177-B442-943E-55217B4564F1}" xr6:coauthVersionLast="43" xr6:coauthVersionMax="43" xr10:uidLastSave="{00000000-0000-0000-0000-000000000000}"/>
  <bookViews>
    <workbookView xWindow="600" yWindow="460" windowWidth="26160" windowHeight="19880" tabRatio="601" xr2:uid="{00000000-000D-0000-FFFF-FFFF00000000}"/>
  </bookViews>
  <sheets>
    <sheet name="Fund Economics" sheetId="1" r:id="rId1"/>
    <sheet name=" " sheetId="6" r:id="rId2"/>
  </sheets>
  <definedNames>
    <definedName name="AMERFIDELITYPR1">'Fund Economics'!#REF!</definedName>
    <definedName name="AMERFIDELITYPRO">'Fund Economics'!#REF!</definedName>
    <definedName name="DINVESTEDCAP">'Fund Economics'!#REF!</definedName>
    <definedName name="DRYRINVEST">'Fund Economics'!#REF!</definedName>
    <definedName name="DTRYRINVEST">'Fund Economics'!$C$37:$O$41</definedName>
    <definedName name="DTYRINVEST">'Fund Economics'!$C$37:$O$39</definedName>
    <definedName name="DYRINVEST">'Fund Economics'!#REF!</definedName>
    <definedName name="GUAR2YR">'Fund Economics'!$B$19:$V$23</definedName>
    <definedName name="GUARR2YR">'Fund Economics'!$B$19:$V$25</definedName>
    <definedName name="INVESTEDCAP">'Fund Economics'!#REF!</definedName>
    <definedName name="ODOC_APPLICATIO">'Fund Economics'!#REF!</definedName>
    <definedName name="YRINVEST">'Fund Economics'!#REF!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C10" i="1"/>
  <c r="F8" i="1" s="1"/>
  <c r="C13" i="1"/>
  <c r="K39" i="1"/>
  <c r="L39" i="1"/>
  <c r="M39" i="1"/>
  <c r="R40" i="1" s="1"/>
  <c r="N39" i="1"/>
  <c r="O39" i="1"/>
  <c r="U40" i="1" s="1"/>
  <c r="U41" i="1" s="1"/>
  <c r="P39" i="1"/>
  <c r="Q39" i="1"/>
  <c r="R39" i="1"/>
  <c r="S39" i="1"/>
  <c r="T39" i="1"/>
  <c r="U39" i="1"/>
  <c r="V39" i="1"/>
  <c r="C40" i="1"/>
  <c r="D40" i="1"/>
  <c r="E40" i="1"/>
  <c r="F40" i="1"/>
  <c r="G40" i="1"/>
  <c r="P40" i="1"/>
  <c r="Q40" i="1"/>
  <c r="S40" i="1"/>
  <c r="S41" i="1" s="1"/>
  <c r="T40" i="1"/>
  <c r="T41" i="1" s="1"/>
  <c r="D41" i="1"/>
  <c r="E41" i="1"/>
  <c r="F41" i="1"/>
  <c r="I42" i="1" s="1"/>
  <c r="G41" i="1"/>
  <c r="C42" i="1"/>
  <c r="D42" i="1"/>
  <c r="D51" i="1" s="1"/>
  <c r="D69" i="1" s="1"/>
  <c r="E42" i="1"/>
  <c r="E51" i="1" s="1"/>
  <c r="E69" i="1" s="1"/>
  <c r="F42" i="1"/>
  <c r="F51" i="1" s="1"/>
  <c r="G42" i="1"/>
  <c r="H42" i="1"/>
  <c r="J42" i="1"/>
  <c r="C47" i="1"/>
  <c r="D47" i="1"/>
  <c r="P52" i="1"/>
  <c r="Q52" i="1"/>
  <c r="R52" i="1"/>
  <c r="S52" i="1"/>
  <c r="T52" i="1"/>
  <c r="U52" i="1"/>
  <c r="V52" i="1"/>
  <c r="P53" i="1"/>
  <c r="Q53" i="1"/>
  <c r="R53" i="1"/>
  <c r="S53" i="1"/>
  <c r="T53" i="1"/>
  <c r="U53" i="1"/>
  <c r="V53" i="1"/>
  <c r="C54" i="1"/>
  <c r="C68" i="1" s="1"/>
  <c r="D54" i="1"/>
  <c r="D68" i="1" s="1"/>
  <c r="E54" i="1"/>
  <c r="E68" i="1" s="1"/>
  <c r="F54" i="1"/>
  <c r="G54" i="1"/>
  <c r="H54" i="1"/>
  <c r="H68" i="1" s="1"/>
  <c r="I54" i="1"/>
  <c r="I68" i="1" s="1"/>
  <c r="J54" i="1"/>
  <c r="K54" i="1"/>
  <c r="K68" i="1" s="1"/>
  <c r="L54" i="1"/>
  <c r="L68" i="1" s="1"/>
  <c r="M54" i="1"/>
  <c r="M68" i="1" s="1"/>
  <c r="N54" i="1"/>
  <c r="N68" i="1" s="1"/>
  <c r="O54" i="1"/>
  <c r="O68" i="1" s="1"/>
  <c r="P54" i="1"/>
  <c r="P68" i="1" s="1"/>
  <c r="Q54" i="1"/>
  <c r="Q68" i="1" s="1"/>
  <c r="R54" i="1"/>
  <c r="R68" i="1" s="1"/>
  <c r="S54" i="1"/>
  <c r="S68" i="1" s="1"/>
  <c r="T54" i="1"/>
  <c r="T68" i="1" s="1"/>
  <c r="U54" i="1"/>
  <c r="U68" i="1" s="1"/>
  <c r="V54" i="1"/>
  <c r="V68" i="1" s="1"/>
  <c r="W65" i="1"/>
  <c r="J68" i="1"/>
  <c r="C70" i="1"/>
  <c r="C78" i="1" s="1"/>
  <c r="D70" i="1"/>
  <c r="D94" i="1" s="1"/>
  <c r="E70" i="1"/>
  <c r="E94" i="1" s="1"/>
  <c r="F70" i="1"/>
  <c r="F103" i="1" s="1"/>
  <c r="G70" i="1"/>
  <c r="H70" i="1"/>
  <c r="H94" i="1" s="1"/>
  <c r="I70" i="1"/>
  <c r="I103" i="1" s="1"/>
  <c r="J70" i="1"/>
  <c r="J94" i="1" s="1"/>
  <c r="K70" i="1"/>
  <c r="K94" i="1" s="1"/>
  <c r="L70" i="1"/>
  <c r="L94" i="1" s="1"/>
  <c r="M70" i="1"/>
  <c r="M94" i="1" s="1"/>
  <c r="N70" i="1"/>
  <c r="N103" i="1" s="1"/>
  <c r="O70" i="1"/>
  <c r="P70" i="1"/>
  <c r="P94" i="1" s="1"/>
  <c r="Q70" i="1"/>
  <c r="Q94" i="1" s="1"/>
  <c r="R70" i="1"/>
  <c r="R94" i="1" s="1"/>
  <c r="S70" i="1"/>
  <c r="S94" i="1" s="1"/>
  <c r="T70" i="1"/>
  <c r="T94" i="1" s="1"/>
  <c r="U70" i="1"/>
  <c r="U94" i="1" s="1"/>
  <c r="V70" i="1"/>
  <c r="V103" i="1" s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C89" i="1"/>
  <c r="D89" i="1"/>
  <c r="E89" i="1"/>
  <c r="W93" i="1"/>
  <c r="W96" i="1"/>
  <c r="W102" i="1"/>
  <c r="W105" i="1"/>
  <c r="C114" i="1"/>
  <c r="D114" i="1" s="1"/>
  <c r="E114" i="1"/>
  <c r="F114" i="1" s="1"/>
  <c r="G114" i="1" s="1"/>
  <c r="H114" i="1" s="1"/>
  <c r="I114" i="1" s="1"/>
  <c r="J114" i="1" s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F9" i="1"/>
  <c r="F10" i="1"/>
  <c r="R89" i="1" l="1"/>
  <c r="P55" i="1"/>
  <c r="D103" i="1"/>
  <c r="F89" i="1"/>
  <c r="F48" i="1"/>
  <c r="S89" i="1"/>
  <c r="F68" i="1"/>
  <c r="U55" i="1"/>
  <c r="T55" i="1"/>
  <c r="U103" i="1"/>
  <c r="K89" i="1"/>
  <c r="T103" i="1"/>
  <c r="J89" i="1"/>
  <c r="R55" i="1"/>
  <c r="R103" i="1"/>
  <c r="C103" i="1"/>
  <c r="E48" i="1"/>
  <c r="K103" i="1"/>
  <c r="D48" i="1"/>
  <c r="D49" i="1" s="1"/>
  <c r="J103" i="1"/>
  <c r="E103" i="1"/>
  <c r="I94" i="1"/>
  <c r="G48" i="1"/>
  <c r="C51" i="1"/>
  <c r="C69" i="1" s="1"/>
  <c r="Q55" i="1"/>
  <c r="M103" i="1"/>
  <c r="L103" i="1"/>
  <c r="V55" i="1"/>
  <c r="D78" i="1"/>
  <c r="E78" i="1" s="1"/>
  <c r="C79" i="1"/>
  <c r="C80" i="1" s="1"/>
  <c r="S103" i="1"/>
  <c r="C94" i="1"/>
  <c r="U72" i="1"/>
  <c r="H103" i="1"/>
  <c r="G51" i="1"/>
  <c r="G69" i="1" s="1"/>
  <c r="C48" i="1"/>
  <c r="C49" i="1" s="1"/>
  <c r="Q103" i="1"/>
  <c r="P103" i="1"/>
  <c r="C41" i="1"/>
  <c r="V40" i="1"/>
  <c r="V41" i="1" s="1"/>
  <c r="V72" i="1" s="1"/>
  <c r="S55" i="1"/>
  <c r="O94" i="1"/>
  <c r="O103" i="1"/>
  <c r="G94" i="1"/>
  <c r="G103" i="1"/>
  <c r="V94" i="1"/>
  <c r="W70" i="1"/>
  <c r="S72" i="1"/>
  <c r="V42" i="1"/>
  <c r="F69" i="1"/>
  <c r="Q41" i="1"/>
  <c r="R41" i="1"/>
  <c r="F94" i="1"/>
  <c r="P41" i="1"/>
  <c r="T72" i="1"/>
  <c r="W54" i="1"/>
  <c r="L89" i="1"/>
  <c r="T89" i="1"/>
  <c r="G68" i="1"/>
  <c r="M89" i="1"/>
  <c r="U89" i="1"/>
  <c r="N89" i="1"/>
  <c r="V89" i="1"/>
  <c r="G89" i="1"/>
  <c r="O89" i="1"/>
  <c r="H89" i="1"/>
  <c r="P89" i="1"/>
  <c r="I89" i="1"/>
  <c r="Q89" i="1"/>
  <c r="N94" i="1"/>
  <c r="W71" i="1"/>
  <c r="C14" i="1"/>
  <c r="W68" i="1" l="1"/>
  <c r="W94" i="1"/>
  <c r="W103" i="1"/>
  <c r="T42" i="1"/>
  <c r="Q72" i="1"/>
  <c r="F78" i="1"/>
  <c r="S42" i="1"/>
  <c r="P72" i="1"/>
  <c r="V51" i="1"/>
  <c r="V69" i="1" s="1"/>
  <c r="V48" i="1"/>
  <c r="G52" i="1"/>
  <c r="G53" i="1"/>
  <c r="O53" i="1"/>
  <c r="H53" i="1"/>
  <c r="I53" i="1"/>
  <c r="C52" i="1"/>
  <c r="J53" i="1"/>
  <c r="C53" i="1"/>
  <c r="K53" i="1"/>
  <c r="D52" i="1"/>
  <c r="D53" i="1"/>
  <c r="L53" i="1"/>
  <c r="E52" i="1"/>
  <c r="F52" i="1"/>
  <c r="E53" i="1"/>
  <c r="F53" i="1"/>
  <c r="M53" i="1"/>
  <c r="N53" i="1"/>
  <c r="U42" i="1"/>
  <c r="R72" i="1"/>
  <c r="D55" i="1" l="1"/>
  <c r="D57" i="1" s="1"/>
  <c r="F55" i="1"/>
  <c r="E55" i="1"/>
  <c r="B3" i="6"/>
  <c r="B1" i="6"/>
  <c r="B2" i="6"/>
  <c r="B4" i="6"/>
  <c r="C55" i="1"/>
  <c r="B5" i="6"/>
  <c r="U51" i="1"/>
  <c r="U69" i="1" s="1"/>
  <c r="U48" i="1"/>
  <c r="G78" i="1"/>
  <c r="D67" i="1"/>
  <c r="S48" i="1"/>
  <c r="S51" i="1"/>
  <c r="S69" i="1" s="1"/>
  <c r="W53" i="1"/>
  <c r="C32" i="1" s="1"/>
  <c r="H52" i="1"/>
  <c r="G55" i="1"/>
  <c r="T51" i="1"/>
  <c r="T69" i="1" s="1"/>
  <c r="T48" i="1"/>
  <c r="I52" i="1" l="1"/>
  <c r="H55" i="1"/>
  <c r="H78" i="1"/>
  <c r="B6" i="6"/>
  <c r="C57" i="1"/>
  <c r="B7" i="6"/>
  <c r="I78" i="1" l="1"/>
  <c r="C59" i="1"/>
  <c r="C67" i="1"/>
  <c r="J52" i="1"/>
  <c r="I55" i="1"/>
  <c r="C95" i="1" l="1"/>
  <c r="D59" i="1"/>
  <c r="D95" i="1" s="1"/>
  <c r="D104" i="1" s="1"/>
  <c r="J78" i="1"/>
  <c r="K52" i="1"/>
  <c r="J55" i="1"/>
  <c r="B8" i="6"/>
  <c r="C16" i="1" s="1"/>
  <c r="L52" i="1" l="1"/>
  <c r="K55" i="1"/>
  <c r="K78" i="1"/>
  <c r="B9" i="6"/>
  <c r="C104" i="1"/>
  <c r="D39" i="1"/>
  <c r="H39" i="1"/>
  <c r="E39" i="1"/>
  <c r="I39" i="1"/>
  <c r="F39" i="1"/>
  <c r="J39" i="1"/>
  <c r="C39" i="1"/>
  <c r="G39" i="1"/>
  <c r="W39" i="1" l="1"/>
  <c r="C43" i="1"/>
  <c r="H40" i="1"/>
  <c r="H41" i="1" s="1"/>
  <c r="C72" i="1"/>
  <c r="O40" i="1"/>
  <c r="K40" i="1"/>
  <c r="F72" i="1"/>
  <c r="N40" i="1"/>
  <c r="J40" i="1"/>
  <c r="E72" i="1"/>
  <c r="L78" i="1"/>
  <c r="M40" i="1"/>
  <c r="I40" i="1"/>
  <c r="D72" i="1"/>
  <c r="L40" i="1"/>
  <c r="G72" i="1"/>
  <c r="M52" i="1"/>
  <c r="L55" i="1"/>
  <c r="N52" i="1" l="1"/>
  <c r="M55" i="1"/>
  <c r="M78" i="1"/>
  <c r="O41" i="1"/>
  <c r="J48" i="1"/>
  <c r="J41" i="1"/>
  <c r="J51" i="1"/>
  <c r="J69" i="1" s="1"/>
  <c r="N41" i="1"/>
  <c r="C73" i="1"/>
  <c r="C74" i="1" s="1"/>
  <c r="I51" i="1"/>
  <c r="I69" i="1" s="1"/>
  <c r="I48" i="1"/>
  <c r="I41" i="1"/>
  <c r="W40" i="1"/>
  <c r="H48" i="1"/>
  <c r="H51" i="1"/>
  <c r="C88" i="1"/>
  <c r="D43" i="1"/>
  <c r="M41" i="1"/>
  <c r="Q42" i="1" l="1"/>
  <c r="N72" i="1"/>
  <c r="R42" i="1"/>
  <c r="O72" i="1"/>
  <c r="P42" i="1"/>
  <c r="M72" i="1"/>
  <c r="L42" i="1"/>
  <c r="I72" i="1"/>
  <c r="E43" i="1"/>
  <c r="D88" i="1"/>
  <c r="M42" i="1"/>
  <c r="J72" i="1"/>
  <c r="N78" i="1"/>
  <c r="K41" i="1"/>
  <c r="D65" i="1"/>
  <c r="C87" i="1"/>
  <c r="C90" i="1" s="1"/>
  <c r="H69" i="1"/>
  <c r="C81" i="1"/>
  <c r="C76" i="1"/>
  <c r="K42" i="1"/>
  <c r="H72" i="1"/>
  <c r="N55" i="1"/>
  <c r="O52" i="1"/>
  <c r="K51" i="1" l="1"/>
  <c r="K48" i="1"/>
  <c r="K72" i="1"/>
  <c r="N42" i="1"/>
  <c r="L48" i="1"/>
  <c r="L51" i="1"/>
  <c r="L69" i="1" s="1"/>
  <c r="O55" i="1"/>
  <c r="W55" i="1" s="1"/>
  <c r="W52" i="1"/>
  <c r="C30" i="1" s="1"/>
  <c r="O78" i="1"/>
  <c r="C83" i="1"/>
  <c r="C82" i="1"/>
  <c r="P51" i="1"/>
  <c r="P69" i="1" s="1"/>
  <c r="P48" i="1"/>
  <c r="M48" i="1"/>
  <c r="M51" i="1"/>
  <c r="M69" i="1" s="1"/>
  <c r="L41" i="1"/>
  <c r="R51" i="1"/>
  <c r="R69" i="1" s="1"/>
  <c r="R48" i="1"/>
  <c r="D73" i="1"/>
  <c r="D81" i="1" s="1"/>
  <c r="F43" i="1"/>
  <c r="E88" i="1"/>
  <c r="E47" i="1"/>
  <c r="Q48" i="1"/>
  <c r="Q51" i="1"/>
  <c r="Q69" i="1" s="1"/>
  <c r="D83" i="1" l="1"/>
  <c r="E49" i="1"/>
  <c r="C97" i="1"/>
  <c r="C106" i="1"/>
  <c r="D79" i="1"/>
  <c r="C98" i="1"/>
  <c r="G43" i="1"/>
  <c r="F88" i="1"/>
  <c r="F47" i="1"/>
  <c r="F49" i="1" s="1"/>
  <c r="F57" i="1" s="1"/>
  <c r="N48" i="1"/>
  <c r="N51" i="1"/>
  <c r="N69" i="1" s="1"/>
  <c r="O42" i="1"/>
  <c r="W42" i="1" s="1"/>
  <c r="L72" i="1"/>
  <c r="W72" i="1" s="1"/>
  <c r="P78" i="1"/>
  <c r="D76" i="1"/>
  <c r="D74" i="1"/>
  <c r="K69" i="1"/>
  <c r="W41" i="1"/>
  <c r="E79" i="1" l="1"/>
  <c r="Q78" i="1"/>
  <c r="H43" i="1"/>
  <c r="G88" i="1"/>
  <c r="G47" i="1"/>
  <c r="C107" i="1"/>
  <c r="C116" i="1" s="1"/>
  <c r="C115" i="1"/>
  <c r="C99" i="1"/>
  <c r="O48" i="1"/>
  <c r="W48" i="1" s="1"/>
  <c r="O51" i="1"/>
  <c r="E65" i="1"/>
  <c r="D87" i="1"/>
  <c r="D90" i="1" s="1"/>
  <c r="E57" i="1"/>
  <c r="F67" i="1"/>
  <c r="D98" i="1"/>
  <c r="D107" i="1" s="1"/>
  <c r="D80" i="1"/>
  <c r="E80" i="1" l="1"/>
  <c r="D82" i="1"/>
  <c r="D93" i="1"/>
  <c r="G49" i="1"/>
  <c r="I43" i="1"/>
  <c r="H88" i="1"/>
  <c r="H47" i="1"/>
  <c r="H49" i="1" s="1"/>
  <c r="H57" i="1" s="1"/>
  <c r="E73" i="1"/>
  <c r="E59" i="1"/>
  <c r="E67" i="1"/>
  <c r="O69" i="1"/>
  <c r="W69" i="1" s="1"/>
  <c r="W51" i="1"/>
  <c r="C108" i="1"/>
  <c r="D102" i="1" s="1"/>
  <c r="R78" i="1"/>
  <c r="E74" i="1" l="1"/>
  <c r="E87" i="1" s="1"/>
  <c r="E90" i="1" s="1"/>
  <c r="E95" i="1"/>
  <c r="F59" i="1"/>
  <c r="F95" i="1" s="1"/>
  <c r="F104" i="1" s="1"/>
  <c r="E76" i="1"/>
  <c r="E81" i="1"/>
  <c r="G57" i="1"/>
  <c r="H67" i="1"/>
  <c r="S78" i="1"/>
  <c r="C110" i="1"/>
  <c r="D97" i="1"/>
  <c r="D99" i="1" s="1"/>
  <c r="D106" i="1"/>
  <c r="D108" i="1" s="1"/>
  <c r="E102" i="1" s="1"/>
  <c r="I88" i="1"/>
  <c r="J43" i="1"/>
  <c r="I47" i="1"/>
  <c r="F65" i="1" l="1"/>
  <c r="E82" i="1"/>
  <c r="E83" i="1"/>
  <c r="E93" i="1"/>
  <c r="D110" i="1"/>
  <c r="D116" i="1"/>
  <c r="K43" i="1"/>
  <c r="J88" i="1"/>
  <c r="J47" i="1"/>
  <c r="J49" i="1" s="1"/>
  <c r="J57" i="1" s="1"/>
  <c r="D115" i="1"/>
  <c r="E104" i="1"/>
  <c r="F73" i="1"/>
  <c r="F81" i="1" s="1"/>
  <c r="I49" i="1"/>
  <c r="T78" i="1"/>
  <c r="G59" i="1"/>
  <c r="G67" i="1"/>
  <c r="G95" i="1" l="1"/>
  <c r="H59" i="1"/>
  <c r="F76" i="1"/>
  <c r="E98" i="1"/>
  <c r="E107" i="1" s="1"/>
  <c r="F79" i="1"/>
  <c r="F74" i="1"/>
  <c r="L43" i="1"/>
  <c r="K88" i="1"/>
  <c r="K47" i="1"/>
  <c r="E97" i="1"/>
  <c r="E106" i="1"/>
  <c r="U78" i="1"/>
  <c r="J67" i="1"/>
  <c r="I57" i="1"/>
  <c r="F83" i="1"/>
  <c r="F80" i="1" l="1"/>
  <c r="V78" i="1"/>
  <c r="I67" i="1"/>
  <c r="I59" i="1"/>
  <c r="G65" i="1"/>
  <c r="F87" i="1"/>
  <c r="F90" i="1" s="1"/>
  <c r="E108" i="1"/>
  <c r="F102" i="1" s="1"/>
  <c r="E116" i="1"/>
  <c r="G79" i="1"/>
  <c r="M43" i="1"/>
  <c r="L88" i="1"/>
  <c r="L47" i="1"/>
  <c r="L49" i="1" s="1"/>
  <c r="L57" i="1" s="1"/>
  <c r="E115" i="1"/>
  <c r="H95" i="1"/>
  <c r="H104" i="1" s="1"/>
  <c r="F98" i="1"/>
  <c r="F107" i="1" s="1"/>
  <c r="K49" i="1"/>
  <c r="E99" i="1"/>
  <c r="G104" i="1"/>
  <c r="I95" i="1" l="1"/>
  <c r="J59" i="1"/>
  <c r="J95" i="1" s="1"/>
  <c r="J104" i="1" s="1"/>
  <c r="E110" i="1"/>
  <c r="F93" i="1"/>
  <c r="G73" i="1"/>
  <c r="L67" i="1"/>
  <c r="G80" i="1"/>
  <c r="F82" i="1"/>
  <c r="K57" i="1"/>
  <c r="N43" i="1"/>
  <c r="M88" i="1"/>
  <c r="M47" i="1"/>
  <c r="O43" i="1" l="1"/>
  <c r="N88" i="1"/>
  <c r="N47" i="1"/>
  <c r="N49" i="1" s="1"/>
  <c r="N57" i="1" s="1"/>
  <c r="K67" i="1"/>
  <c r="K59" i="1"/>
  <c r="I104" i="1"/>
  <c r="F97" i="1"/>
  <c r="F106" i="1"/>
  <c r="G76" i="1"/>
  <c r="G81" i="1"/>
  <c r="M49" i="1"/>
  <c r="M57" i="1" s="1"/>
  <c r="G74" i="1"/>
  <c r="K95" i="1" l="1"/>
  <c r="L59" i="1"/>
  <c r="M59" i="1" s="1"/>
  <c r="N59" i="1" s="1"/>
  <c r="H65" i="1"/>
  <c r="G87" i="1"/>
  <c r="G90" i="1" s="1"/>
  <c r="F116" i="1"/>
  <c r="F108" i="1"/>
  <c r="G102" i="1" s="1"/>
  <c r="F115" i="1"/>
  <c r="F99" i="1"/>
  <c r="N67" i="1"/>
  <c r="M67" i="1"/>
  <c r="G82" i="1"/>
  <c r="G83" i="1"/>
  <c r="P43" i="1"/>
  <c r="O88" i="1"/>
  <c r="O47" i="1"/>
  <c r="O49" i="1" s="1"/>
  <c r="O57" i="1" s="1"/>
  <c r="L95" i="1" l="1"/>
  <c r="L104" i="1" s="1"/>
  <c r="Q43" i="1"/>
  <c r="P88" i="1"/>
  <c r="P47" i="1"/>
  <c r="P49" i="1" s="1"/>
  <c r="P57" i="1" s="1"/>
  <c r="G98" i="1"/>
  <c r="G107" i="1" s="1"/>
  <c r="H79" i="1"/>
  <c r="G97" i="1"/>
  <c r="G106" i="1"/>
  <c r="H73" i="1"/>
  <c r="G93" i="1"/>
  <c r="F110" i="1"/>
  <c r="O67" i="1"/>
  <c r="O59" i="1"/>
  <c r="M95" i="1"/>
  <c r="M104" i="1" s="1"/>
  <c r="K104" i="1"/>
  <c r="G115" i="1" l="1"/>
  <c r="G99" i="1"/>
  <c r="H76" i="1"/>
  <c r="H81" i="1"/>
  <c r="P67" i="1"/>
  <c r="P59" i="1"/>
  <c r="H74" i="1"/>
  <c r="N95" i="1"/>
  <c r="N104" i="1" s="1"/>
  <c r="H80" i="1"/>
  <c r="R43" i="1"/>
  <c r="Q88" i="1"/>
  <c r="Q47" i="1"/>
  <c r="Q49" i="1" s="1"/>
  <c r="Q57" i="1" s="1"/>
  <c r="G116" i="1"/>
  <c r="G108" i="1"/>
  <c r="H102" i="1" s="1"/>
  <c r="S43" i="1" l="1"/>
  <c r="R88" i="1"/>
  <c r="R47" i="1"/>
  <c r="R49" i="1" s="1"/>
  <c r="R57" i="1" s="1"/>
  <c r="H82" i="1"/>
  <c r="H83" i="1"/>
  <c r="O95" i="1"/>
  <c r="O104" i="1" s="1"/>
  <c r="G110" i="1"/>
  <c r="H93" i="1"/>
  <c r="Q67" i="1"/>
  <c r="Q59" i="1"/>
  <c r="I65" i="1"/>
  <c r="H87" i="1"/>
  <c r="H90" i="1" s="1"/>
  <c r="P95" i="1" l="1"/>
  <c r="P104" i="1" s="1"/>
  <c r="R67" i="1"/>
  <c r="R59" i="1"/>
  <c r="I73" i="1"/>
  <c r="H98" i="1"/>
  <c r="H107" i="1" s="1"/>
  <c r="I79" i="1"/>
  <c r="I80" i="1" s="1"/>
  <c r="Q95" i="1"/>
  <c r="Q104" i="1" s="1"/>
  <c r="H97" i="1"/>
  <c r="H106" i="1"/>
  <c r="T43" i="1"/>
  <c r="S88" i="1"/>
  <c r="S47" i="1"/>
  <c r="S49" i="1" s="1"/>
  <c r="S57" i="1" s="1"/>
  <c r="R95" i="1" l="1"/>
  <c r="R104" i="1" s="1"/>
  <c r="I76" i="1"/>
  <c r="I81" i="1"/>
  <c r="S59" i="1"/>
  <c r="S95" i="1" s="1"/>
  <c r="S104" i="1" s="1"/>
  <c r="S67" i="1"/>
  <c r="I74" i="1"/>
  <c r="U43" i="1"/>
  <c r="T88" i="1"/>
  <c r="T47" i="1"/>
  <c r="T49" i="1" s="1"/>
  <c r="T57" i="1" s="1"/>
  <c r="H116" i="1"/>
  <c r="H108" i="1"/>
  <c r="I102" i="1" s="1"/>
  <c r="H115" i="1"/>
  <c r="H99" i="1"/>
  <c r="H110" i="1" l="1"/>
  <c r="I93" i="1"/>
  <c r="J65" i="1"/>
  <c r="I87" i="1"/>
  <c r="I90" i="1" s="1"/>
  <c r="T67" i="1"/>
  <c r="T59" i="1"/>
  <c r="T95" i="1" s="1"/>
  <c r="T104" i="1" s="1"/>
  <c r="I83" i="1"/>
  <c r="I82" i="1"/>
  <c r="U88" i="1"/>
  <c r="V43" i="1"/>
  <c r="U47" i="1"/>
  <c r="U49" i="1" s="1"/>
  <c r="U57" i="1" s="1"/>
  <c r="U67" i="1" l="1"/>
  <c r="U59" i="1"/>
  <c r="U95" i="1" s="1"/>
  <c r="U104" i="1" s="1"/>
  <c r="V88" i="1"/>
  <c r="V47" i="1"/>
  <c r="I97" i="1"/>
  <c r="I106" i="1"/>
  <c r="I98" i="1"/>
  <c r="I107" i="1" s="1"/>
  <c r="J79" i="1"/>
  <c r="J80" i="1" s="1"/>
  <c r="J73" i="1"/>
  <c r="I115" i="1" l="1"/>
  <c r="I99" i="1"/>
  <c r="I116" i="1"/>
  <c r="I108" i="1"/>
  <c r="J102" i="1" s="1"/>
  <c r="V49" i="1"/>
  <c r="W47" i="1"/>
  <c r="J93" i="1"/>
  <c r="I110" i="1"/>
  <c r="J76" i="1"/>
  <c r="J81" i="1"/>
  <c r="J74" i="1"/>
  <c r="V57" i="1" l="1"/>
  <c r="W49" i="1"/>
  <c r="K65" i="1"/>
  <c r="J87" i="1"/>
  <c r="J90" i="1" s="1"/>
  <c r="J83" i="1"/>
  <c r="J82" i="1"/>
  <c r="J97" i="1" l="1"/>
  <c r="J106" i="1"/>
  <c r="J98" i="1"/>
  <c r="J107" i="1" s="1"/>
  <c r="K79" i="1"/>
  <c r="K80" i="1" s="1"/>
  <c r="K73" i="1"/>
  <c r="V59" i="1"/>
  <c r="V95" i="1" s="1"/>
  <c r="W95" i="1" s="1"/>
  <c r="V67" i="1"/>
  <c r="W67" i="1" s="1"/>
  <c r="W57" i="1"/>
  <c r="K76" i="1" l="1"/>
  <c r="K81" i="1"/>
  <c r="K74" i="1"/>
  <c r="J116" i="1"/>
  <c r="J108" i="1"/>
  <c r="K102" i="1" s="1"/>
  <c r="V104" i="1"/>
  <c r="W104" i="1" s="1"/>
  <c r="J115" i="1"/>
  <c r="J99" i="1"/>
  <c r="J110" i="1" l="1"/>
  <c r="K93" i="1"/>
  <c r="L65" i="1"/>
  <c r="K87" i="1"/>
  <c r="K90" i="1" s="1"/>
  <c r="K83" i="1"/>
  <c r="K82" i="1"/>
  <c r="K98" i="1" l="1"/>
  <c r="K107" i="1" s="1"/>
  <c r="L79" i="1"/>
  <c r="L80" i="1" s="1"/>
  <c r="K97" i="1"/>
  <c r="K115" i="1" s="1"/>
  <c r="K106" i="1"/>
  <c r="L73" i="1"/>
  <c r="K99" i="1"/>
  <c r="L76" i="1" l="1"/>
  <c r="L81" i="1"/>
  <c r="L93" i="1"/>
  <c r="L74" i="1"/>
  <c r="K116" i="1"/>
  <c r="K108" i="1"/>
  <c r="L102" i="1" s="1"/>
  <c r="M65" i="1" l="1"/>
  <c r="L87" i="1"/>
  <c r="L90" i="1" s="1"/>
  <c r="K110" i="1"/>
  <c r="L82" i="1"/>
  <c r="L83" i="1"/>
  <c r="L98" i="1" l="1"/>
  <c r="L107" i="1" s="1"/>
  <c r="M79" i="1"/>
  <c r="M80" i="1" s="1"/>
  <c r="M73" i="1"/>
  <c r="M74" i="1" s="1"/>
  <c r="L97" i="1"/>
  <c r="L106" i="1"/>
  <c r="N65" i="1" l="1"/>
  <c r="M87" i="1"/>
  <c r="M90" i="1" s="1"/>
  <c r="L116" i="1"/>
  <c r="L108" i="1"/>
  <c r="M102" i="1" s="1"/>
  <c r="L115" i="1"/>
  <c r="L99" i="1"/>
  <c r="M76" i="1"/>
  <c r="M81" i="1"/>
  <c r="M93" i="1" l="1"/>
  <c r="L110" i="1"/>
  <c r="M82" i="1"/>
  <c r="M83" i="1"/>
  <c r="N73" i="1"/>
  <c r="N76" i="1" s="1"/>
  <c r="M98" i="1" l="1"/>
  <c r="M107" i="1" s="1"/>
  <c r="N79" i="1"/>
  <c r="N80" i="1" s="1"/>
  <c r="N81" i="1"/>
  <c r="M97" i="1"/>
  <c r="M115" i="1" s="1"/>
  <c r="M106" i="1"/>
  <c r="N74" i="1"/>
  <c r="M99" i="1" l="1"/>
  <c r="N93" i="1"/>
  <c r="O65" i="1"/>
  <c r="N87" i="1"/>
  <c r="N90" i="1" s="1"/>
  <c r="M116" i="1"/>
  <c r="M108" i="1"/>
  <c r="N102" i="1" s="1"/>
  <c r="N82" i="1"/>
  <c r="N97" i="1" l="1"/>
  <c r="N106" i="1"/>
  <c r="N83" i="1"/>
  <c r="O73" i="1"/>
  <c r="O74" i="1" s="1"/>
  <c r="M110" i="1"/>
  <c r="P65" i="1" l="1"/>
  <c r="O87" i="1"/>
  <c r="O90" i="1" s="1"/>
  <c r="N98" i="1"/>
  <c r="N99" i="1" s="1"/>
  <c r="O79" i="1"/>
  <c r="O80" i="1" s="1"/>
  <c r="O76" i="1"/>
  <c r="O81" i="1"/>
  <c r="O82" i="1" l="1"/>
  <c r="N107" i="1"/>
  <c r="O93" i="1"/>
  <c r="N115" i="1"/>
  <c r="P73" i="1"/>
  <c r="P76" i="1" s="1"/>
  <c r="N108" i="1" l="1"/>
  <c r="N116" i="1"/>
  <c r="O97" i="1"/>
  <c r="O106" i="1"/>
  <c r="P81" i="1"/>
  <c r="P74" i="1"/>
  <c r="O83" i="1"/>
  <c r="Q65" i="1" l="1"/>
  <c r="P87" i="1"/>
  <c r="P90" i="1" s="1"/>
  <c r="O98" i="1"/>
  <c r="O99" i="1" s="1"/>
  <c r="P79" i="1"/>
  <c r="P80" i="1" s="1"/>
  <c r="P82" i="1" s="1"/>
  <c r="P83" i="1" s="1"/>
  <c r="O102" i="1"/>
  <c r="N110" i="1"/>
  <c r="P93" i="1" l="1"/>
  <c r="P106" i="1"/>
  <c r="P97" i="1"/>
  <c r="P98" i="1"/>
  <c r="P107" i="1" s="1"/>
  <c r="Q79" i="1"/>
  <c r="Q80" i="1" s="1"/>
  <c r="O108" i="1"/>
  <c r="P102" i="1" s="1"/>
  <c r="Q73" i="1"/>
  <c r="Q74" i="1" s="1"/>
  <c r="O115" i="1"/>
  <c r="O107" i="1"/>
  <c r="O116" i="1" s="1"/>
  <c r="P108" i="1" l="1"/>
  <c r="Q102" i="1" s="1"/>
  <c r="R65" i="1"/>
  <c r="Q87" i="1"/>
  <c r="Q90" i="1" s="1"/>
  <c r="P116" i="1"/>
  <c r="P115" i="1"/>
  <c r="O110" i="1"/>
  <c r="Q76" i="1"/>
  <c r="Q81" i="1"/>
  <c r="P99" i="1"/>
  <c r="Q93" i="1" l="1"/>
  <c r="P110" i="1"/>
  <c r="Q82" i="1"/>
  <c r="Q83" i="1" s="1"/>
  <c r="R73" i="1"/>
  <c r="R76" i="1" s="1"/>
  <c r="R74" i="1" l="1"/>
  <c r="Q98" i="1"/>
  <c r="Q107" i="1" s="1"/>
  <c r="R79" i="1"/>
  <c r="R80" i="1" s="1"/>
  <c r="R81" i="1"/>
  <c r="Q97" i="1"/>
  <c r="Q106" i="1"/>
  <c r="Q99" i="1" l="1"/>
  <c r="Q115" i="1"/>
  <c r="R93" i="1"/>
  <c r="Q116" i="1"/>
  <c r="Q108" i="1"/>
  <c r="R102" i="1" s="1"/>
  <c r="R82" i="1"/>
  <c r="S65" i="1"/>
  <c r="R87" i="1"/>
  <c r="R90" i="1" s="1"/>
  <c r="R97" i="1" l="1"/>
  <c r="R106" i="1"/>
  <c r="Q110" i="1"/>
  <c r="R83" i="1"/>
  <c r="S73" i="1"/>
  <c r="S74" i="1" s="1"/>
  <c r="T65" i="1" l="1"/>
  <c r="S87" i="1"/>
  <c r="S90" i="1" s="1"/>
  <c r="S76" i="1"/>
  <c r="S81" i="1"/>
  <c r="R98" i="1"/>
  <c r="R99" i="1" s="1"/>
  <c r="S79" i="1"/>
  <c r="S80" i="1" s="1"/>
  <c r="R107" i="1" l="1"/>
  <c r="S93" i="1"/>
  <c r="S82" i="1"/>
  <c r="R115" i="1"/>
  <c r="T73" i="1"/>
  <c r="T76" i="1" s="1"/>
  <c r="T81" i="1" l="1"/>
  <c r="S97" i="1"/>
  <c r="S106" i="1"/>
  <c r="S83" i="1"/>
  <c r="R108" i="1"/>
  <c r="R116" i="1"/>
  <c r="T74" i="1"/>
  <c r="S98" i="1" l="1"/>
  <c r="S99" i="1" s="1"/>
  <c r="T79" i="1"/>
  <c r="T80" i="1" s="1"/>
  <c r="S102" i="1"/>
  <c r="R110" i="1"/>
  <c r="S115" i="1"/>
  <c r="U65" i="1"/>
  <c r="T87" i="1"/>
  <c r="T90" i="1" s="1"/>
  <c r="S107" i="1" l="1"/>
  <c r="S116" i="1" s="1"/>
  <c r="U73" i="1"/>
  <c r="T82" i="1"/>
  <c r="T93" i="1"/>
  <c r="S108" i="1" l="1"/>
  <c r="U76" i="1"/>
  <c r="U81" i="1"/>
  <c r="U74" i="1"/>
  <c r="T106" i="1"/>
  <c r="T97" i="1"/>
  <c r="T83" i="1"/>
  <c r="T102" i="1" l="1"/>
  <c r="S110" i="1"/>
  <c r="V65" i="1"/>
  <c r="U87" i="1"/>
  <c r="U90" i="1" s="1"/>
  <c r="T98" i="1"/>
  <c r="T107" i="1" s="1"/>
  <c r="U79" i="1"/>
  <c r="U80" i="1" s="1"/>
  <c r="U82" i="1" s="1"/>
  <c r="U83" i="1" s="1"/>
  <c r="T116" i="1" l="1"/>
  <c r="T108" i="1"/>
  <c r="U102" i="1" s="1"/>
  <c r="T99" i="1"/>
  <c r="U93" i="1" s="1"/>
  <c r="T115" i="1"/>
  <c r="U98" i="1"/>
  <c r="U107" i="1" s="1"/>
  <c r="V79" i="1"/>
  <c r="W79" i="1" s="1"/>
  <c r="U106" i="1"/>
  <c r="U97" i="1"/>
  <c r="V73" i="1"/>
  <c r="V74" i="1" s="1"/>
  <c r="V87" i="1" s="1"/>
  <c r="V90" i="1" s="1"/>
  <c r="T110" i="1" l="1"/>
  <c r="U116" i="1"/>
  <c r="U99" i="1"/>
  <c r="V93" i="1" s="1"/>
  <c r="V80" i="1"/>
  <c r="U108" i="1"/>
  <c r="V102" i="1" s="1"/>
  <c r="U115" i="1"/>
  <c r="U110" i="1"/>
  <c r="V76" i="1"/>
  <c r="W76" i="1" s="1"/>
  <c r="W73" i="1"/>
  <c r="W74" i="1" s="1"/>
  <c r="V81" i="1"/>
  <c r="V82" i="1" l="1"/>
  <c r="V106" i="1" l="1"/>
  <c r="V97" i="1"/>
  <c r="W82" i="1"/>
  <c r="V83" i="1"/>
  <c r="W97" i="1" l="1"/>
  <c r="V98" i="1"/>
  <c r="W98" i="1" s="1"/>
  <c r="W83" i="1"/>
  <c r="W106" i="1"/>
  <c r="V99" i="1" l="1"/>
  <c r="V107" i="1"/>
  <c r="W99" i="1"/>
  <c r="V115" i="1"/>
  <c r="C121" i="1" s="1"/>
  <c r="W107" i="1" l="1"/>
  <c r="W108" i="1" s="1"/>
  <c r="V108" i="1"/>
  <c r="V116" i="1"/>
  <c r="C122" i="1" s="1"/>
  <c r="V110" i="1"/>
</calcChain>
</file>

<file path=xl/sharedStrings.xml><?xml version="1.0" encoding="utf-8"?>
<sst xmlns="http://schemas.openxmlformats.org/spreadsheetml/2006/main" count="101" uniqueCount="93">
  <si>
    <t>Assumptions</t>
  </si>
  <si>
    <t>Totals</t>
  </si>
  <si>
    <t>New Investments</t>
  </si>
  <si>
    <t>Invested Capital</t>
  </si>
  <si>
    <t xml:space="preserve">  Current Income</t>
  </si>
  <si>
    <t xml:space="preserve">  Liquidations + Capital Gain</t>
  </si>
  <si>
    <t xml:space="preserve">    Total Revenue</t>
  </si>
  <si>
    <t xml:space="preserve">  Cost Basis of Liquidations</t>
  </si>
  <si>
    <t xml:space="preserve">  Partnership Expenses</t>
  </si>
  <si>
    <t xml:space="preserve">  Amort. of Org Expense</t>
  </si>
  <si>
    <t xml:space="preserve">    Total Costs</t>
  </si>
  <si>
    <t xml:space="preserve">  Begin Cash</t>
  </si>
  <si>
    <t xml:space="preserve">  Fund Gain/Loss</t>
  </si>
  <si>
    <t xml:space="preserve">  plus Amort of Org Exp</t>
  </si>
  <si>
    <t xml:space="preserve">  plus Cost Basis of Liquidation</t>
  </si>
  <si>
    <t xml:space="preserve">  plus Capital Contributions</t>
  </si>
  <si>
    <t xml:space="preserve">  less Payment of Org Costs</t>
  </si>
  <si>
    <t xml:space="preserve">  less Distributions</t>
  </si>
  <si>
    <t xml:space="preserve">    Ending Cash</t>
  </si>
  <si>
    <t>Cumulative Cap Contributions</t>
  </si>
  <si>
    <t>Annual Preferred Return</t>
  </si>
  <si>
    <t>Cumulative Preferred Return</t>
  </si>
  <si>
    <t>Cumulative Distributions</t>
  </si>
  <si>
    <t xml:space="preserve">  Distrib per Contr. Cap.-priority</t>
  </si>
  <si>
    <t xml:space="preserve">  Distrib per Contr. Cap.-2ndary</t>
  </si>
  <si>
    <t xml:space="preserve">  Cash</t>
  </si>
  <si>
    <t xml:space="preserve">  Investments (Cost basis)</t>
  </si>
  <si>
    <t xml:space="preserve">  Org. Expense</t>
  </si>
  <si>
    <t xml:space="preserve">    Total Assets</t>
  </si>
  <si>
    <t xml:space="preserve">  LP Partner Account</t>
  </si>
  <si>
    <t xml:space="preserve">    Begin</t>
  </si>
  <si>
    <t xml:space="preserve">    Contributions</t>
  </si>
  <si>
    <t xml:space="preserve">      Ending</t>
  </si>
  <si>
    <t xml:space="preserve">  GP Partner Account</t>
  </si>
  <si>
    <t xml:space="preserve">      Total Partner Accounts</t>
  </si>
  <si>
    <t>priority</t>
  </si>
  <si>
    <t>secondary</t>
  </si>
  <si>
    <t>Liquidations of New Invest</t>
  </si>
  <si>
    <t>Reinvested Capital</t>
  </si>
  <si>
    <t>Liquidations of Reinvested</t>
  </si>
  <si>
    <t xml:space="preserve">  Management Fee </t>
  </si>
  <si>
    <t>Direct Fund Gain/Loss</t>
  </si>
  <si>
    <t xml:space="preserve">  less New Invest &amp; Reinvest</t>
  </si>
  <si>
    <t xml:space="preserve">    Allocations - priority</t>
  </si>
  <si>
    <t xml:space="preserve">    Allocations - secondary</t>
  </si>
  <si>
    <t xml:space="preserve">   Distrib per Contr. Cap.-priority</t>
  </si>
  <si>
    <t xml:space="preserve">   Distrib per Contr. Cap.-2ndary</t>
  </si>
  <si>
    <t>Total management fees</t>
  </si>
  <si>
    <t>Total Partnership expenses</t>
  </si>
  <si>
    <t>Initial year of management fee reduction</t>
  </si>
  <si>
    <t>Direct Fund Cumulative G/L</t>
  </si>
  <si>
    <t>Straight LP Dist Percentage</t>
  </si>
  <si>
    <t>G.P. Commitments</t>
  </si>
  <si>
    <t>L.P. Commitments</t>
  </si>
  <si>
    <t>Partnership size</t>
  </si>
  <si>
    <t>Organization expenses</t>
  </si>
  <si>
    <t>Fund term (years)</t>
  </si>
  <si>
    <t>Investable capital</t>
  </si>
  <si>
    <t>Held in reserve</t>
  </si>
  <si>
    <t>Originally invested in deals</t>
  </si>
  <si>
    <t>Annual current return on invested capital</t>
  </si>
  <si>
    <t>Year lag time to start receiving current return</t>
  </si>
  <si>
    <t>Capital gain compounded annual irr on invested capital</t>
  </si>
  <si>
    <t>Annual management fee - % committed capital</t>
  </si>
  <si>
    <t>Preferred return to limited partners</t>
  </si>
  <si>
    <t>Desired max cash balance after distributions</t>
  </si>
  <si>
    <t>Fund Year</t>
  </si>
  <si>
    <t>Years to invest capital (will determine Fund Term)</t>
  </si>
  <si>
    <t>Average years for liquidity on deal investments (will determine Fund Term)</t>
  </si>
  <si>
    <t>Reinvestment of capital during active investment period (up to Committed Capital)</t>
  </si>
  <si>
    <t>Venture Fund -- Basic Economics</t>
  </si>
  <si>
    <t xml:space="preserve">First draw (can cause negative cash balance if too small).  Balance of draws over "Years for capital calls". </t>
  </si>
  <si>
    <t>Years for capital calls - assumed even after initial year (can cause negative cash balance if too small)</t>
  </si>
  <si>
    <t>Fund Income Statement</t>
  </si>
  <si>
    <t>Fund Cash Flow</t>
  </si>
  <si>
    <t>Fund Balance Sheet</t>
  </si>
  <si>
    <t>Management Fee reduction %</t>
  </si>
  <si>
    <t>Annual partnership expenses</t>
  </si>
  <si>
    <r>
      <t>Last year to reinvest cost basis of liquidations (</t>
    </r>
    <r>
      <rPr>
        <sz val="10"/>
        <color indexed="10"/>
        <rFont val="Times New Roman"/>
        <family val="1"/>
      </rPr>
      <t>not to exceed Fund Term less 3 years</t>
    </r>
    <r>
      <rPr>
        <sz val="10"/>
        <rFont val="Times New Roman"/>
        <family val="1"/>
      </rPr>
      <t>)</t>
    </r>
  </si>
  <si>
    <t>allocations</t>
  </si>
  <si>
    <t>Year</t>
  </si>
  <si>
    <t>Return on Investment</t>
  </si>
  <si>
    <t>Initial draw date</t>
  </si>
  <si>
    <t>LP Net Cash Flow</t>
  </si>
  <si>
    <t>GP Net Cash Flow</t>
  </si>
  <si>
    <t>**</t>
  </si>
  <si>
    <t>All cash flows except initial draw are assumed to occur mid year.</t>
  </si>
  <si>
    <t>Cash Flow Dates *</t>
  </si>
  <si>
    <t>*</t>
  </si>
  <si>
    <t>Requires that XIRR function is enabled</t>
  </si>
  <si>
    <t>Net  LP IRR**</t>
  </si>
  <si>
    <t>Net GP IRR**</t>
  </si>
  <si>
    <r>
      <t>Modify only cells displayed in</t>
    </r>
    <r>
      <rPr>
        <b/>
        <sz val="11"/>
        <color indexed="12"/>
        <rFont val="Times New Roman"/>
        <family val="1"/>
      </rPr>
      <t xml:space="preserve"> blue bold</t>
    </r>
    <r>
      <rPr>
        <b/>
        <sz val="11"/>
        <rFont val="Times New Roman"/>
        <family val="1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</si>
</sst>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);\(#,##0.0\)"/>
    <numFmt numFmtId="165" formatCode="0.0%"/>
    <numFmt numFmtId="166" formatCode="&quot;$&quot;#,##0.0_);\(&quot;$&quot;#,##0.0\)"/>
  </numFmts>
  <fonts count="9" x14ac:knownFonts="1">
    <font>
      <sz val="10"/>
      <name val="Times New Roman"/>
    </font>
    <font>
      <b/>
      <sz val="10"/>
      <name val="Times New Roman"/>
      <family val="1"/>
    </font>
    <font>
      <u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1"/>
      <color indexed="12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23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Protection="1"/>
    <xf numFmtId="164" fontId="1" fillId="0" borderId="0" xfId="0" applyNumberFormat="1" applyFont="1" applyProtection="1"/>
    <xf numFmtId="164" fontId="0" fillId="0" borderId="1" xfId="0" applyNumberFormat="1" applyBorder="1" applyProtection="1"/>
    <xf numFmtId="10" fontId="0" fillId="0" borderId="0" xfId="0" applyNumberFormat="1" applyProtection="1"/>
    <xf numFmtId="0" fontId="0" fillId="0" borderId="0" xfId="0" applyAlignment="1">
      <alignment horizontal="right"/>
    </xf>
    <xf numFmtId="165" fontId="0" fillId="0" borderId="0" xfId="0" applyNumberFormat="1" applyProtection="1"/>
    <xf numFmtId="164" fontId="0" fillId="0" borderId="2" xfId="0" applyNumberFormat="1" applyBorder="1" applyProtection="1"/>
    <xf numFmtId="164" fontId="0" fillId="0" borderId="3" xfId="0" applyNumberFormat="1" applyBorder="1" applyProtection="1"/>
    <xf numFmtId="164" fontId="0" fillId="0" borderId="0" xfId="0" applyNumberFormat="1" applyAlignment="1" applyProtection="1">
      <alignment horizontal="right"/>
    </xf>
    <xf numFmtId="164" fontId="0" fillId="0" borderId="0" xfId="0" applyNumberFormat="1" applyBorder="1" applyProtection="1"/>
    <xf numFmtId="0" fontId="0" fillId="0" borderId="0" xfId="0" applyNumberFormat="1" applyProtection="1"/>
    <xf numFmtId="164" fontId="6" fillId="0" borderId="0" xfId="0" applyNumberFormat="1" applyFont="1" applyProtection="1"/>
    <xf numFmtId="14" fontId="0" fillId="0" borderId="0" xfId="0" applyNumberFormat="1" applyProtection="1"/>
    <xf numFmtId="10" fontId="1" fillId="0" borderId="0" xfId="0" applyNumberFormat="1" applyFont="1" applyProtection="1"/>
    <xf numFmtId="164" fontId="7" fillId="0" borderId="0" xfId="0" applyNumberFormat="1" applyFont="1" applyProtection="1"/>
    <xf numFmtId="164" fontId="2" fillId="0" borderId="4" xfId="0" applyNumberFormat="1" applyFont="1" applyBorder="1" applyAlignment="1" applyProtection="1">
      <alignment horizontal="right"/>
    </xf>
    <xf numFmtId="164" fontId="0" fillId="0" borderId="4" xfId="0" applyNumberFormat="1" applyBorder="1" applyProtection="1"/>
    <xf numFmtId="166" fontId="5" fillId="0" borderId="5" xfId="0" applyNumberFormat="1" applyFont="1" applyBorder="1" applyProtection="1"/>
    <xf numFmtId="166" fontId="0" fillId="0" borderId="5" xfId="0" applyNumberFormat="1" applyBorder="1" applyProtection="1"/>
    <xf numFmtId="164" fontId="0" fillId="0" borderId="5" xfId="0" applyNumberFormat="1" applyBorder="1" applyProtection="1"/>
    <xf numFmtId="164" fontId="5" fillId="0" borderId="5" xfId="0" applyNumberFormat="1" applyFont="1" applyBorder="1" applyProtection="1"/>
    <xf numFmtId="37" fontId="3" fillId="0" borderId="5" xfId="0" applyNumberFormat="1" applyFont="1" applyBorder="1" applyProtection="1"/>
    <xf numFmtId="10" fontId="5" fillId="0" borderId="5" xfId="0" applyNumberFormat="1" applyFont="1" applyBorder="1" applyProtection="1"/>
    <xf numFmtId="166" fontId="0" fillId="0" borderId="5" xfId="0" quotePrefix="1" applyNumberFormat="1" applyBorder="1" applyProtection="1"/>
    <xf numFmtId="37" fontId="5" fillId="0" borderId="5" xfId="0" applyNumberFormat="1" applyFont="1" applyBorder="1" applyProtection="1"/>
    <xf numFmtId="165" fontId="5" fillId="0" borderId="5" xfId="0" applyNumberFormat="1" applyFont="1" applyBorder="1" applyProtection="1"/>
    <xf numFmtId="14" fontId="5" fillId="0" borderId="5" xfId="0" applyNumberFormat="1" applyFont="1" applyBorder="1" applyProtection="1"/>
    <xf numFmtId="1" fontId="5" fillId="0" borderId="5" xfId="0" applyNumberFormat="1" applyFont="1" applyBorder="1" applyProtection="1"/>
    <xf numFmtId="164" fontId="0" fillId="0" borderId="6" xfId="0" applyNumberFormat="1" applyBorder="1" applyProtection="1"/>
    <xf numFmtId="164" fontId="0" fillId="0" borderId="7" xfId="0" applyNumberFormat="1" applyBorder="1" applyProtection="1"/>
    <xf numFmtId="164" fontId="0" fillId="0" borderId="0" xfId="0" applyNumberFormat="1" applyFill="1" applyBorder="1" applyProtection="1"/>
    <xf numFmtId="165" fontId="0" fillId="0" borderId="0" xfId="0" applyNumberFormat="1" applyFill="1" applyBorder="1" applyProtection="1"/>
    <xf numFmtId="10" fontId="5" fillId="0" borderId="0" xfId="0" applyNumberFormat="1" applyFont="1" applyFill="1" applyBorder="1" applyProtection="1"/>
    <xf numFmtId="166" fontId="5" fillId="0" borderId="8" xfId="0" applyNumberFormat="1" applyFont="1" applyFill="1" applyBorder="1" applyProtection="1"/>
    <xf numFmtId="164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codeName="Sheet2">
    <pageSetUpPr fitToPage="1"/>
  </sheetPr>
  <dimension ref="A1:W126"/>
  <sheetViews>
    <sheetView tabSelected="1" defaultGridColor="0" topLeftCell="A93" colorId="22" zoomScale="87" workbookViewId="0">
      <selection activeCell="A127" sqref="A127:XFD1048576"/>
    </sheetView>
  </sheetViews>
  <sheetFormatPr baseColWidth="10" defaultColWidth="9.796875" defaultRowHeight="13" x14ac:dyDescent="0.15"/>
  <cols>
    <col min="1" max="1" width="34" style="1" customWidth="1"/>
    <col min="2" max="2" width="10.19921875" style="1" customWidth="1"/>
    <col min="3" max="3" width="12.3984375" style="1" customWidth="1"/>
    <col min="4" max="7" width="10" style="1" bestFit="1" customWidth="1"/>
    <col min="8" max="8" width="10.3984375" style="1" customWidth="1"/>
    <col min="9" max="10" width="10" style="1" bestFit="1" customWidth="1"/>
    <col min="11" max="11" width="10.59765625" style="1" customWidth="1"/>
    <col min="12" max="12" width="10.796875" style="1" customWidth="1"/>
    <col min="13" max="14" width="11.3984375" style="1" customWidth="1"/>
    <col min="15" max="15" width="10.19921875" style="1" customWidth="1"/>
    <col min="16" max="16" width="10.19921875" style="1" bestFit="1" customWidth="1"/>
    <col min="17" max="17" width="9.796875" style="1"/>
    <col min="18" max="22" width="9.796875" style="1" customWidth="1"/>
    <col min="23" max="23" width="11.19921875" style="1" customWidth="1"/>
    <col min="24" max="16384" width="9.796875" style="1"/>
  </cols>
  <sheetData>
    <row r="1" spans="1:14" s="29" customFormat="1" ht="100" customHeight="1" x14ac:dyDescent="0.15"/>
    <row r="2" spans="1:14" ht="18" x14ac:dyDescent="0.2">
      <c r="A2" s="12" t="s">
        <v>70</v>
      </c>
    </row>
    <row r="3" spans="1:14" x14ac:dyDescent="0.15">
      <c r="A3"/>
      <c r="C3" s="2"/>
    </row>
    <row r="4" spans="1:14" ht="14" x14ac:dyDescent="0.15">
      <c r="A4"/>
      <c r="C4" s="15" t="s">
        <v>92</v>
      </c>
    </row>
    <row r="5" spans="1:14" x14ac:dyDescent="0.15">
      <c r="A5"/>
      <c r="C5" s="2"/>
    </row>
    <row r="6" spans="1:14" x14ac:dyDescent="0.15">
      <c r="C6" s="2" t="s">
        <v>0</v>
      </c>
      <c r="F6" s="35" t="s">
        <v>79</v>
      </c>
      <c r="G6" s="35"/>
    </row>
    <row r="7" spans="1:14" x14ac:dyDescent="0.15">
      <c r="C7" s="2"/>
      <c r="D7" s="17"/>
      <c r="E7" s="17"/>
      <c r="F7" s="16" t="s">
        <v>35</v>
      </c>
      <c r="G7" s="16" t="s">
        <v>36</v>
      </c>
      <c r="H7" s="17"/>
      <c r="I7" s="17"/>
      <c r="J7" s="17"/>
      <c r="K7" s="17"/>
      <c r="L7" s="17"/>
      <c r="M7" s="17"/>
    </row>
    <row r="8" spans="1:14" x14ac:dyDescent="0.15">
      <c r="B8"/>
      <c r="C8" s="34">
        <v>30000</v>
      </c>
      <c r="D8" s="31" t="s">
        <v>53</v>
      </c>
      <c r="E8" s="31"/>
      <c r="F8" s="32">
        <f>C8/$C$10</f>
        <v>0.99337748344370858</v>
      </c>
      <c r="G8" s="33">
        <v>0.8</v>
      </c>
      <c r="H8" s="31"/>
      <c r="I8" s="31"/>
      <c r="J8" s="31"/>
      <c r="K8" s="31"/>
      <c r="L8" s="31"/>
      <c r="M8" s="31"/>
      <c r="N8" s="10"/>
    </row>
    <row r="9" spans="1:14" x14ac:dyDescent="0.15">
      <c r="B9"/>
      <c r="C9" s="18">
        <v>200</v>
      </c>
      <c r="D9" s="1" t="s">
        <v>52</v>
      </c>
      <c r="F9" s="6">
        <f>C9/$C$10</f>
        <v>6.6225165562913907E-3</v>
      </c>
      <c r="G9" s="4">
        <f>G10-G8</f>
        <v>0.19999999999999996</v>
      </c>
      <c r="N9" s="10"/>
    </row>
    <row r="10" spans="1:14" x14ac:dyDescent="0.15">
      <c r="B10"/>
      <c r="C10" s="19">
        <f>SUM(C8:C9)</f>
        <v>30200</v>
      </c>
      <c r="D10" s="1" t="s">
        <v>54</v>
      </c>
      <c r="F10" s="6">
        <f>C10/$C$10</f>
        <v>1</v>
      </c>
      <c r="G10" s="4">
        <v>1</v>
      </c>
      <c r="N10" s="10"/>
    </row>
    <row r="11" spans="1:14" x14ac:dyDescent="0.15">
      <c r="B11"/>
      <c r="C11" s="20"/>
      <c r="N11" s="10"/>
    </row>
    <row r="12" spans="1:14" x14ac:dyDescent="0.15">
      <c r="B12"/>
      <c r="C12" s="21">
        <v>190</v>
      </c>
      <c r="D12" s="1" t="s">
        <v>55</v>
      </c>
      <c r="N12" s="10"/>
    </row>
    <row r="13" spans="1:14" x14ac:dyDescent="0.15">
      <c r="B13"/>
      <c r="C13" s="22">
        <f>C17+C18</f>
        <v>13</v>
      </c>
      <c r="D13" s="1" t="s">
        <v>56</v>
      </c>
      <c r="N13" s="10"/>
    </row>
    <row r="14" spans="1:14" x14ac:dyDescent="0.15">
      <c r="B14"/>
      <c r="C14" s="19">
        <f>C10-C12</f>
        <v>30010</v>
      </c>
      <c r="D14" s="1" t="s">
        <v>57</v>
      </c>
      <c r="N14" s="10"/>
    </row>
    <row r="15" spans="1:14" x14ac:dyDescent="0.15">
      <c r="B15"/>
      <c r="C15" s="23">
        <v>0.1</v>
      </c>
      <c r="D15" s="1" t="s">
        <v>58</v>
      </c>
      <c r="N15" s="10"/>
    </row>
    <row r="16" spans="1:14" x14ac:dyDescent="0.15">
      <c r="B16" s="11"/>
      <c r="C16" s="24">
        <f>C14-VLOOKUP(C17,' '!A1:B9,2)-C14*C15</f>
        <v>20827.690250000003</v>
      </c>
      <c r="D16" s="1" t="s">
        <v>59</v>
      </c>
      <c r="N16" s="10"/>
    </row>
    <row r="17" spans="2:14" x14ac:dyDescent="0.15">
      <c r="B17"/>
      <c r="C17" s="25">
        <v>8</v>
      </c>
      <c r="D17" s="1" t="s">
        <v>67</v>
      </c>
      <c r="N17" s="10"/>
    </row>
    <row r="18" spans="2:14" x14ac:dyDescent="0.15">
      <c r="B18"/>
      <c r="C18" s="25">
        <v>5</v>
      </c>
      <c r="D18" s="1" t="s">
        <v>68</v>
      </c>
      <c r="N18" s="10"/>
    </row>
    <row r="19" spans="2:14" x14ac:dyDescent="0.15">
      <c r="B19"/>
      <c r="C19" s="25">
        <v>10</v>
      </c>
      <c r="D19" s="1" t="s">
        <v>78</v>
      </c>
      <c r="N19" s="10"/>
    </row>
    <row r="20" spans="2:14" x14ac:dyDescent="0.15">
      <c r="B20"/>
      <c r="C20" s="26">
        <v>1</v>
      </c>
      <c r="D20" s="1" t="s">
        <v>69</v>
      </c>
      <c r="N20" s="10"/>
    </row>
    <row r="21" spans="2:14" x14ac:dyDescent="0.15">
      <c r="B21"/>
      <c r="C21" s="27">
        <v>38718</v>
      </c>
      <c r="D21" s="1" t="s">
        <v>82</v>
      </c>
      <c r="N21" s="10"/>
    </row>
    <row r="22" spans="2:14" x14ac:dyDescent="0.15">
      <c r="B22"/>
      <c r="C22" s="23">
        <v>0.16</v>
      </c>
      <c r="D22" s="1" t="s">
        <v>71</v>
      </c>
      <c r="N22" s="10"/>
    </row>
    <row r="23" spans="2:14" x14ac:dyDescent="0.15">
      <c r="B23"/>
      <c r="C23" s="25">
        <v>5</v>
      </c>
      <c r="D23" s="1" t="s">
        <v>72</v>
      </c>
      <c r="N23" s="10"/>
    </row>
    <row r="24" spans="2:14" x14ac:dyDescent="0.15">
      <c r="B24"/>
      <c r="C24" s="23">
        <v>1.2E-2</v>
      </c>
      <c r="D24" s="1" t="s">
        <v>60</v>
      </c>
      <c r="N24" s="10"/>
    </row>
    <row r="25" spans="2:14" x14ac:dyDescent="0.15">
      <c r="B25"/>
      <c r="C25" s="25">
        <v>2</v>
      </c>
      <c r="D25" s="1" t="s">
        <v>61</v>
      </c>
      <c r="N25" s="10"/>
    </row>
    <row r="26" spans="2:14" x14ac:dyDescent="0.15">
      <c r="B26"/>
      <c r="C26" s="23">
        <v>0.17</v>
      </c>
      <c r="D26" s="1" t="s">
        <v>62</v>
      </c>
      <c r="N26" s="10"/>
    </row>
    <row r="27" spans="2:14" x14ac:dyDescent="0.15">
      <c r="B27"/>
      <c r="C27" s="23">
        <v>2.5000000000000001E-2</v>
      </c>
      <c r="D27" s="1" t="s">
        <v>63</v>
      </c>
      <c r="N27" s="10"/>
    </row>
    <row r="28" spans="2:14" x14ac:dyDescent="0.15">
      <c r="B28"/>
      <c r="C28" s="28">
        <v>6</v>
      </c>
      <c r="D28" s="1" t="s">
        <v>49</v>
      </c>
      <c r="N28" s="10"/>
    </row>
    <row r="29" spans="2:14" x14ac:dyDescent="0.15">
      <c r="B29"/>
      <c r="C29" s="23">
        <v>0.1</v>
      </c>
      <c r="D29" s="1" t="s">
        <v>76</v>
      </c>
      <c r="N29" s="10"/>
    </row>
    <row r="30" spans="2:14" x14ac:dyDescent="0.15">
      <c r="B30"/>
      <c r="C30" s="19">
        <f>+W52</f>
        <v>7596.8777812775006</v>
      </c>
      <c r="D30" s="1" t="s">
        <v>47</v>
      </c>
      <c r="N30" s="10"/>
    </row>
    <row r="31" spans="2:14" x14ac:dyDescent="0.15">
      <c r="B31"/>
      <c r="C31" s="23">
        <v>2.5000000000000001E-3</v>
      </c>
      <c r="D31" s="1" t="s">
        <v>77</v>
      </c>
      <c r="N31" s="10"/>
    </row>
    <row r="32" spans="2:14" x14ac:dyDescent="0.15">
      <c r="B32"/>
      <c r="C32" s="19">
        <f>+W53</f>
        <v>975.32499999999982</v>
      </c>
      <c r="D32" s="1" t="s">
        <v>48</v>
      </c>
      <c r="N32" s="10"/>
    </row>
    <row r="33" spans="1:23" x14ac:dyDescent="0.15">
      <c r="B33"/>
      <c r="C33" s="23">
        <v>0.08</v>
      </c>
      <c r="D33" s="1" t="s">
        <v>64</v>
      </c>
      <c r="N33" s="10"/>
    </row>
    <row r="34" spans="1:23" x14ac:dyDescent="0.15">
      <c r="B34"/>
      <c r="C34" s="18">
        <v>50</v>
      </c>
      <c r="D34" s="1" t="s">
        <v>65</v>
      </c>
      <c r="N34" s="10"/>
    </row>
    <row r="35" spans="1:23" x14ac:dyDescent="0.15">
      <c r="D35" s="30"/>
      <c r="E35" s="30"/>
      <c r="F35" s="30"/>
      <c r="G35" s="30"/>
      <c r="H35" s="30"/>
      <c r="I35" s="30"/>
      <c r="J35" s="30"/>
      <c r="K35" s="30"/>
      <c r="L35" s="30"/>
      <c r="M35" s="30"/>
    </row>
    <row r="37" spans="1:23" x14ac:dyDescent="0.15">
      <c r="A37" t="s">
        <v>66</v>
      </c>
      <c r="B37"/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 s="5" t="s">
        <v>1</v>
      </c>
    </row>
    <row r="39" spans="1:23" x14ac:dyDescent="0.15">
      <c r="A39" s="1" t="s">
        <v>2</v>
      </c>
      <c r="C39" s="1">
        <f t="shared" ref="C39:V39" si="0">IF(C37&lt;=$C$17,$C$16/($C$17),"")</f>
        <v>2603.4612812500004</v>
      </c>
      <c r="D39" s="1">
        <f t="shared" si="0"/>
        <v>2603.4612812500004</v>
      </c>
      <c r="E39" s="1">
        <f t="shared" si="0"/>
        <v>2603.4612812500004</v>
      </c>
      <c r="F39" s="1">
        <f t="shared" si="0"/>
        <v>2603.4612812500004</v>
      </c>
      <c r="G39" s="1">
        <f t="shared" si="0"/>
        <v>2603.4612812500004</v>
      </c>
      <c r="H39" s="1">
        <f t="shared" si="0"/>
        <v>2603.4612812500004</v>
      </c>
      <c r="I39" s="1">
        <f t="shared" si="0"/>
        <v>2603.4612812500004</v>
      </c>
      <c r="J39" s="1">
        <f t="shared" si="0"/>
        <v>2603.4612812500004</v>
      </c>
      <c r="K39" s="1" t="str">
        <f t="shared" si="0"/>
        <v/>
      </c>
      <c r="L39" s="1" t="str">
        <f t="shared" si="0"/>
        <v/>
      </c>
      <c r="M39" s="1" t="str">
        <f t="shared" si="0"/>
        <v/>
      </c>
      <c r="N39" s="1" t="str">
        <f t="shared" si="0"/>
        <v/>
      </c>
      <c r="O39" s="1" t="str">
        <f t="shared" si="0"/>
        <v/>
      </c>
      <c r="P39" s="1" t="str">
        <f t="shared" si="0"/>
        <v/>
      </c>
      <c r="Q39" s="1" t="str">
        <f t="shared" si="0"/>
        <v/>
      </c>
      <c r="R39" s="1" t="str">
        <f t="shared" si="0"/>
        <v/>
      </c>
      <c r="S39" s="1" t="str">
        <f t="shared" si="0"/>
        <v/>
      </c>
      <c r="T39" s="1" t="str">
        <f t="shared" si="0"/>
        <v/>
      </c>
      <c r="U39" s="1" t="str">
        <f t="shared" si="0"/>
        <v/>
      </c>
      <c r="V39" s="1" t="str">
        <f t="shared" si="0"/>
        <v/>
      </c>
      <c r="W39" s="1">
        <f>SUM(C39:V39)</f>
        <v>20827.690250000003</v>
      </c>
    </row>
    <row r="40" spans="1:23" x14ac:dyDescent="0.15">
      <c r="A40" s="1" t="s">
        <v>37</v>
      </c>
      <c r="C40" s="1" t="str">
        <f t="shared" ref="C40:V40" si="1">IF(C37&gt;$C$18,-HLOOKUP(C37-$C$18,$C$37:$O$39,3),"")</f>
        <v/>
      </c>
      <c r="D40" s="1" t="str">
        <f t="shared" si="1"/>
        <v/>
      </c>
      <c r="E40" s="1" t="str">
        <f t="shared" si="1"/>
        <v/>
      </c>
      <c r="F40" s="1" t="str">
        <f t="shared" si="1"/>
        <v/>
      </c>
      <c r="G40" s="1" t="str">
        <f t="shared" si="1"/>
        <v/>
      </c>
      <c r="H40" s="1">
        <f t="shared" si="1"/>
        <v>-2603.4612812500004</v>
      </c>
      <c r="I40" s="1">
        <f t="shared" si="1"/>
        <v>-2603.4612812500004</v>
      </c>
      <c r="J40" s="1">
        <f t="shared" si="1"/>
        <v>-2603.4612812500004</v>
      </c>
      <c r="K40" s="1">
        <f t="shared" si="1"/>
        <v>-2603.4612812500004</v>
      </c>
      <c r="L40" s="1">
        <f t="shared" si="1"/>
        <v>-2603.4612812500004</v>
      </c>
      <c r="M40" s="1">
        <f t="shared" si="1"/>
        <v>-2603.4612812500004</v>
      </c>
      <c r="N40" s="1">
        <f t="shared" si="1"/>
        <v>-2603.4612812500004</v>
      </c>
      <c r="O40" s="1">
        <f t="shared" si="1"/>
        <v>-2603.4612812500004</v>
      </c>
      <c r="P40" s="1">
        <f t="shared" si="1"/>
        <v>0</v>
      </c>
      <c r="Q40" s="1">
        <f t="shared" si="1"/>
        <v>0</v>
      </c>
      <c r="R40" s="1">
        <f t="shared" si="1"/>
        <v>0</v>
      </c>
      <c r="S40" s="1">
        <f t="shared" si="1"/>
        <v>0</v>
      </c>
      <c r="T40" s="1">
        <f t="shared" si="1"/>
        <v>0</v>
      </c>
      <c r="U40" s="1">
        <f t="shared" si="1"/>
        <v>0</v>
      </c>
      <c r="V40" s="1">
        <f t="shared" si="1"/>
        <v>0</v>
      </c>
      <c r="W40" s="1">
        <f>SUM(C40:V40)</f>
        <v>-20827.690250000003</v>
      </c>
    </row>
    <row r="41" spans="1:23" x14ac:dyDescent="0.15">
      <c r="A41" s="1" t="s">
        <v>38</v>
      </c>
      <c r="C41" s="1" t="str">
        <f>IF(AND(C37&lt;=$C$19,C40&lt;&gt;""),-C40,"")</f>
        <v/>
      </c>
      <c r="D41" s="1" t="b">
        <f>IF(AND(D37&lt;=$C$19,D40&lt;&gt;""),IF(SUM($C39:D39)-SUM($C40:D40)&lt;$C$10*$C$20,-D40,IF(SUM($C39:D39)+SUM($C41:C41)&gt;=$C$10*$C$20,"",$C$10*$C$20-SUM($C39:D39)-SUM($C41:C41))))</f>
        <v>0</v>
      </c>
      <c r="E41" s="1" t="b">
        <f>IF(AND(E37&lt;=$C$19,E40&lt;&gt;""),IF(SUM($C39:E39)-SUM($C40:E40)&lt;$C$10*$C$20,-E40,IF(SUM($C39:E39)+SUM($C41:D41)&gt;=$C$10*$C$20,"",$C$10*$C$20-SUM($C39:E39)-SUM($C41:D41))))</f>
        <v>0</v>
      </c>
      <c r="F41" s="1" t="b">
        <f>IF(AND(F37&lt;=$C$19,F40&lt;&gt;""),IF(SUM($C39:F39)-SUM($C40:F40)&lt;$C$10*$C$20,-F40,IF(SUM($C39:F39)+SUM($C41:E41)&gt;=$C$10*$C$20,"",$C$10*$C$20-SUM($C39:F39)-SUM($C41:E41))))</f>
        <v>0</v>
      </c>
      <c r="G41" s="1" t="b">
        <f>IF(AND(G37&lt;=$C$19,G40&lt;&gt;""),IF(SUM($C39:G39)-SUM($C40:G40)&lt;$C$10*$C$20,-G40,IF(SUM($C39:G39)+SUM($C41:F41)&gt;=$C$10*$C$20,"",$C$10*$C$20-SUM($C39:G39)-SUM($C41:F41))))</f>
        <v>0</v>
      </c>
      <c r="H41" s="1">
        <f>IF(AND(H37&lt;=$C$19,H40&lt;&gt;""),IF(SUM($C39:H39)-SUM($C40:H40)&lt;$C$10*$C$20,-H40,IF(SUM($C39:H39)+SUM($C41:G41)&gt;=$C$10*$C$20,"",$C$10*$C$20-SUM($C39:H39)-SUM($C41:G41))))</f>
        <v>2603.4612812500004</v>
      </c>
      <c r="I41" s="1">
        <f>IF(AND(I37&lt;=$C$19,I40&lt;&gt;""),IF(SUM($C39:I39)-SUM($C40:I40)&lt;$C$10*$C$20,-I40,IF(SUM($C39:I39)+SUM($C41:H41)&gt;=$C$10*$C$20,"",$C$10*$C$20-SUM($C39:I39)-SUM($C41:H41))))</f>
        <v>2603.4612812500004</v>
      </c>
      <c r="J41" s="1">
        <f>IF(AND(J37&lt;=$C$19,J40&lt;&gt;""),IF(SUM($C39:J39)-SUM($C40:J40)&lt;$C$10*$C$20,-J40,IF(SUM($C39:J39)+SUM($C41:I41)&gt;=$C$10*$C$20,"",$C$10*$C$20-SUM($C39:J39)-SUM($C41:I41))))</f>
        <v>2603.4612812500004</v>
      </c>
      <c r="K41" s="1">
        <f>IF(AND(K37&lt;=$C$19,K40&lt;&gt;""),IF(SUM($C39:K39)-SUM($C40:K40)&lt;$C$10*$C$20,-K40,IF(SUM($C39:K39)+SUM($C41:J41)&gt;=$C$10*$C$20,"",$C$10*$C$20-SUM($C39:K39)-SUM($C41:J41))))</f>
        <v>1561.925906249995</v>
      </c>
      <c r="L41" s="1" t="str">
        <f>IF(AND(L37&lt;=$C$19,L40&lt;&gt;""),IF(SUM($C39:L39)-SUM($C40:L40)&lt;$C$10*$C$20,-L40,IF(SUM($C39:L39)+SUM($C41:K41)&gt;=$C$10*$C$20,"",$C$10*$C$20-SUM($C39:L39)-SUM($C41:K41))))</f>
        <v/>
      </c>
      <c r="M41" s="1" t="b">
        <f>IF(AND(M37&lt;=$C$19,M40&lt;&gt;""),IF(SUM($C39:M39)-SUM($C40:M40)&lt;$C$10*$C$20,-M40,IF(SUM($C39:M39)+SUM($C41:L41)&gt;=$C$10*$C$20,"",$C$10*$C$20-SUM($C39:M39)-SUM($C41:L41))))</f>
        <v>0</v>
      </c>
      <c r="N41" s="1" t="b">
        <f>IF(AND(N37&lt;=$C$19,N40&lt;&gt;""),IF(SUM($C39:N39)-SUM($C40:N40)&lt;$C$10*$C$20,-N40,IF(SUM($C39:N39)+SUM($C41:M41)&gt;=$C$10*$C$20,"",$C$10*$C$20-SUM($C39:N39)-SUM($C41:M41))))</f>
        <v>0</v>
      </c>
      <c r="O41" s="1" t="b">
        <f>IF(AND(O37&lt;=$C$19,O40&lt;&gt;""),IF(SUM($C39:O39)-SUM($C40:O40)&lt;$C$10*$C$20,-O40,IF(SUM($C39:O39)+SUM($C41:N41)&gt;=$C$10*$C$20,"",$C$10*$C$20-SUM($C39:O39)-SUM($C41:N41))))</f>
        <v>0</v>
      </c>
      <c r="P41" s="1" t="b">
        <f>IF(AND(P37&lt;=$C$19,P40&lt;&gt;""),IF(SUM($C39:P39)-SUM($C40:P40)&lt;$C$10*$C$20,-P40,IF(SUM($C39:P39)+SUM($C41:O41)&gt;=$C$10*$C$20,"",$C$10*$C$20-SUM($C39:P39)-SUM($C41:O41))))</f>
        <v>0</v>
      </c>
      <c r="Q41" s="1" t="b">
        <f>IF(AND(Q37&lt;=$C$19,Q40&lt;&gt;""),IF(SUM($C39:Q39)-SUM($C40:Q40)&lt;$C$10*$C$20,-Q40,IF(SUM($C39:Q39)+SUM($C41:P41)&gt;=$C$10*$C$20,"",$C$10*$C$20-SUM($C39:Q39)-SUM($C41:P41))))</f>
        <v>0</v>
      </c>
      <c r="R41" s="1" t="b">
        <f>IF(AND(R37&lt;=$C$19,R40&lt;&gt;""),IF(SUM($C39:R39)-SUM($C40:R40)&lt;$C$10*$C$20,-R40,IF(SUM($C39:R39)+SUM($C41:Q41)&gt;=$C$10*$C$20,"",$C$10*$C$20-SUM($C39:R39)-SUM($C41:Q41))))</f>
        <v>0</v>
      </c>
      <c r="S41" s="1" t="b">
        <f>IF(AND(S37&lt;=$C$19,S40&lt;&gt;""),IF(SUM($C39:S39)-SUM($C40:S40)&lt;$C$10*$C$20,-S40,IF(SUM($C39:S39)+SUM($C41:R41)&gt;=$C$10*$C$20,"",$C$10*$C$20-SUM($C39:S39)-SUM($C41:R41))))</f>
        <v>0</v>
      </c>
      <c r="T41" s="1" t="b">
        <f>IF(AND(T37&lt;=$C$19,T40&lt;&gt;""),IF(SUM($C39:T39)-SUM($C40:T40)&lt;$C$10*$C$20,-T40,IF(SUM($C39:T39)+SUM($C41:S41)&gt;=$C$10*$C$20,"",$C$10*$C$20-SUM($C39:T39)-SUM($C41:S41))))</f>
        <v>0</v>
      </c>
      <c r="U41" s="1" t="b">
        <f>IF(AND(U37&lt;=$C$19,U40&lt;&gt;""),IF(SUM($C39:U39)-SUM($C40:U40)&lt;$C$10*$C$20,-U40,IF(SUM($C39:U39)+SUM($C41:T41)&gt;=$C$10*$C$20,"",$C$10*$C$20-SUM($C39:U39)-SUM($C41:T41))))</f>
        <v>0</v>
      </c>
      <c r="V41" s="1" t="b">
        <f>IF(AND(V37&lt;=$C$19,V40&lt;&gt;""),IF(SUM($C39:V39)-SUM($C40:V40)&lt;$C$10*$C$20,-V40,IF(SUM($C39:V39)+SUM($C41:U41)&gt;=$C$10*$C$20,"",$C$10*$C$20-SUM($C39:V39)-SUM($C41:U41))))</f>
        <v>0</v>
      </c>
      <c r="W41" s="1">
        <f>SUM(C41:V41)</f>
        <v>9372.3097499999967</v>
      </c>
    </row>
    <row r="42" spans="1:23" x14ac:dyDescent="0.15">
      <c r="A42" s="1" t="s">
        <v>39</v>
      </c>
      <c r="C42" s="1" t="str">
        <f>IF(C37&gt;$C$18,-HLOOKUP(C37-$C$18,$C$37:$O$41,5),"")</f>
        <v/>
      </c>
      <c r="D42" s="1" t="str">
        <f t="shared" ref="D42:I42" si="2">IF(D37&gt;$C$18,-HLOOKUP(D37-$C$18-$C$17+$C$19,$C$37:$V$41,5),"")</f>
        <v/>
      </c>
      <c r="E42" s="1" t="str">
        <f t="shared" si="2"/>
        <v/>
      </c>
      <c r="F42" s="1" t="str">
        <f t="shared" si="2"/>
        <v/>
      </c>
      <c r="G42" s="1" t="str">
        <f t="shared" si="2"/>
        <v/>
      </c>
      <c r="H42" s="1">
        <f t="shared" si="2"/>
        <v>0</v>
      </c>
      <c r="I42" s="1">
        <f t="shared" si="2"/>
        <v>0</v>
      </c>
      <c r="J42" s="1">
        <f>IF(J37&gt;$C$18,-HLOOKUP(J37-$C$18-$C$17+$C$19,$C$37:$V$41,5),"")</f>
        <v>0</v>
      </c>
      <c r="K42" s="1">
        <f>IF(K37&gt;$C$18,-HLOOKUP(K37-$C$18-$C$17+$C$19,$C$37:$V$41,5),"")</f>
        <v>-2603.4612812500004</v>
      </c>
      <c r="L42" s="1">
        <f>IF(L37&gt;$C$18,-HLOOKUP(L37-$C$18-$C$17+$C$19,$C$37:$V$41,5),"")</f>
        <v>-2603.4612812500004</v>
      </c>
      <c r="M42" s="1">
        <f>IF(M37&gt;$C$18,-HLOOKUP(M37-$C$18-$C$17+$C$19,$C$37:$V$41,5),"")</f>
        <v>-2603.4612812500004</v>
      </c>
      <c r="N42" s="1">
        <f t="shared" ref="N42:V42" si="3">IF(N37&gt;$C$18,-HLOOKUP(N37-$C$18-$C$17+$C$19,$C$37:$V$41,5),"")</f>
        <v>-1561.925906249995</v>
      </c>
      <c r="O42" s="1">
        <f t="shared" si="3"/>
        <v>0</v>
      </c>
      <c r="P42" s="1">
        <f t="shared" si="3"/>
        <v>0</v>
      </c>
      <c r="Q42" s="1">
        <f>IF(Q37&gt;$C$18,-HLOOKUP(Q37-$C$18-$C$17+$C$19,$C$37:$V$41,5),"")</f>
        <v>0</v>
      </c>
      <c r="R42" s="1">
        <f t="shared" si="3"/>
        <v>0</v>
      </c>
      <c r="S42" s="1">
        <f t="shared" si="3"/>
        <v>0</v>
      </c>
      <c r="T42" s="1">
        <f t="shared" si="3"/>
        <v>0</v>
      </c>
      <c r="U42" s="1">
        <f t="shared" si="3"/>
        <v>0</v>
      </c>
      <c r="V42" s="1">
        <f t="shared" si="3"/>
        <v>0</v>
      </c>
      <c r="W42" s="1">
        <f>SUM(C42:V42)</f>
        <v>-9372.3097499999967</v>
      </c>
    </row>
    <row r="43" spans="1:23" x14ac:dyDescent="0.15">
      <c r="A43" s="1" t="s">
        <v>3</v>
      </c>
      <c r="C43" s="3">
        <f>SUM(C39:C42)</f>
        <v>2603.4612812500004</v>
      </c>
      <c r="D43" s="3">
        <f t="shared" ref="D43:V43" si="4">SUM(D39:D42)+C43</f>
        <v>5206.9225625000008</v>
      </c>
      <c r="E43" s="3">
        <f t="shared" si="4"/>
        <v>7810.3838437500017</v>
      </c>
      <c r="F43" s="3">
        <f t="shared" si="4"/>
        <v>10413.845125000002</v>
      </c>
      <c r="G43" s="3">
        <f t="shared" si="4"/>
        <v>13017.306406250002</v>
      </c>
      <c r="H43" s="3">
        <f t="shared" si="4"/>
        <v>15620.767687500002</v>
      </c>
      <c r="I43" s="3">
        <f t="shared" si="4"/>
        <v>18224.228968750002</v>
      </c>
      <c r="J43" s="3">
        <f t="shared" si="4"/>
        <v>20827.690250000003</v>
      </c>
      <c r="K43" s="3">
        <f t="shared" si="4"/>
        <v>17182.693593749998</v>
      </c>
      <c r="L43" s="3">
        <f t="shared" si="4"/>
        <v>11975.771031249998</v>
      </c>
      <c r="M43" s="3">
        <f t="shared" si="4"/>
        <v>6768.8484687499977</v>
      </c>
      <c r="N43" s="3">
        <f t="shared" si="4"/>
        <v>2603.4612812500027</v>
      </c>
      <c r="O43" s="3">
        <f t="shared" si="4"/>
        <v>0</v>
      </c>
      <c r="P43" s="3">
        <f t="shared" si="4"/>
        <v>0</v>
      </c>
      <c r="Q43" s="3">
        <f t="shared" si="4"/>
        <v>0</v>
      </c>
      <c r="R43" s="3">
        <f t="shared" si="4"/>
        <v>0</v>
      </c>
      <c r="S43" s="3">
        <f t="shared" si="4"/>
        <v>0</v>
      </c>
      <c r="T43" s="3">
        <f t="shared" si="4"/>
        <v>0</v>
      </c>
      <c r="U43" s="3">
        <f t="shared" si="4"/>
        <v>0</v>
      </c>
      <c r="V43" s="3">
        <f t="shared" si="4"/>
        <v>0</v>
      </c>
    </row>
    <row r="45" spans="1:23" x14ac:dyDescent="0.15">
      <c r="A45" s="2" t="s">
        <v>73</v>
      </c>
    </row>
    <row r="47" spans="1:23" x14ac:dyDescent="0.15">
      <c r="A47" s="1" t="s">
        <v>4</v>
      </c>
      <c r="C47" s="1" t="str">
        <f>IF(C37&gt;$C$25,MINA(HLOOKUP(C37-$C$25,$B$37:$V$43,7),+C43)*$C$24,"")</f>
        <v/>
      </c>
      <c r="D47" s="1" t="str">
        <f t="shared" ref="D47:V47" si="5">IF(D37&gt;$C$25,MINA(HLOOKUP(D37-$C$25,$B$37:$V$43,7),+D43)*$C$24,"")</f>
        <v/>
      </c>
      <c r="E47" s="1">
        <f t="shared" si="5"/>
        <v>31.241535375000005</v>
      </c>
      <c r="F47" s="1">
        <f t="shared" si="5"/>
        <v>62.48307075000001</v>
      </c>
      <c r="G47" s="1">
        <f t="shared" si="5"/>
        <v>93.724606125000022</v>
      </c>
      <c r="H47" s="1">
        <f t="shared" si="5"/>
        <v>124.96614150000002</v>
      </c>
      <c r="I47" s="1">
        <f t="shared" si="5"/>
        <v>156.20767687500003</v>
      </c>
      <c r="J47" s="1">
        <f t="shared" si="5"/>
        <v>187.44921225000002</v>
      </c>
      <c r="K47" s="1">
        <f t="shared" si="5"/>
        <v>206.19232312499997</v>
      </c>
      <c r="L47" s="1">
        <f t="shared" si="5"/>
        <v>143.70925237499998</v>
      </c>
      <c r="M47" s="1">
        <f t="shared" si="5"/>
        <v>81.226181624999967</v>
      </c>
      <c r="N47" s="1">
        <f t="shared" si="5"/>
        <v>31.241535375000034</v>
      </c>
      <c r="O47" s="1">
        <f t="shared" si="5"/>
        <v>0</v>
      </c>
      <c r="P47" s="1">
        <f t="shared" si="5"/>
        <v>0</v>
      </c>
      <c r="Q47" s="1">
        <f t="shared" si="5"/>
        <v>0</v>
      </c>
      <c r="R47" s="1">
        <f t="shared" si="5"/>
        <v>0</v>
      </c>
      <c r="S47" s="1">
        <f t="shared" si="5"/>
        <v>0</v>
      </c>
      <c r="T47" s="1">
        <f t="shared" si="5"/>
        <v>0</v>
      </c>
      <c r="U47" s="1">
        <f t="shared" si="5"/>
        <v>0</v>
      </c>
      <c r="V47" s="1">
        <f t="shared" si="5"/>
        <v>0</v>
      </c>
      <c r="W47" s="1">
        <f>SUM(C47:V47)</f>
        <v>1118.4415353750001</v>
      </c>
    </row>
    <row r="48" spans="1:23" x14ac:dyDescent="0.15">
      <c r="A48" s="1" t="s">
        <v>5</v>
      </c>
      <c r="C48" s="1" t="str">
        <f t="shared" ref="C48:V48" si="6">IF(AND(C40="",C42=""),"",(-C40*(1+$C$26)^$C$18)+(-C42*(1+$C$26)^$C$18))</f>
        <v/>
      </c>
      <c r="D48" s="1" t="str">
        <f t="shared" si="6"/>
        <v/>
      </c>
      <c r="E48" s="1" t="str">
        <f t="shared" si="6"/>
        <v/>
      </c>
      <c r="F48" s="1" t="str">
        <f t="shared" si="6"/>
        <v/>
      </c>
      <c r="G48" s="1" t="str">
        <f t="shared" si="6"/>
        <v/>
      </c>
      <c r="H48" s="1">
        <f t="shared" si="6"/>
        <v>5707.9535720975664</v>
      </c>
      <c r="I48" s="1">
        <f t="shared" si="6"/>
        <v>5707.9535720975664</v>
      </c>
      <c r="J48" s="1">
        <f t="shared" si="6"/>
        <v>5707.9535720975664</v>
      </c>
      <c r="K48" s="1">
        <f t="shared" si="6"/>
        <v>11415.907144195133</v>
      </c>
      <c r="L48" s="1">
        <f t="shared" si="6"/>
        <v>11415.907144195133</v>
      </c>
      <c r="M48" s="1">
        <f t="shared" si="6"/>
        <v>11415.907144195133</v>
      </c>
      <c r="N48" s="1">
        <f t="shared" si="6"/>
        <v>9132.3949571643097</v>
      </c>
      <c r="O48" s="1">
        <f t="shared" si="6"/>
        <v>5707.9535720975664</v>
      </c>
      <c r="P48" s="1" t="str">
        <f t="shared" si="6"/>
        <v/>
      </c>
      <c r="Q48" s="1" t="str">
        <f t="shared" si="6"/>
        <v/>
      </c>
      <c r="R48" s="1" t="str">
        <f t="shared" si="6"/>
        <v/>
      </c>
      <c r="S48" s="1" t="str">
        <f t="shared" si="6"/>
        <v/>
      </c>
      <c r="T48" s="1" t="str">
        <f t="shared" si="6"/>
        <v/>
      </c>
      <c r="U48" s="1" t="str">
        <f t="shared" si="6"/>
        <v/>
      </c>
      <c r="V48" s="1" t="str">
        <f t="shared" si="6"/>
        <v/>
      </c>
      <c r="W48" s="1">
        <f>SUM(C48:V48)</f>
        <v>66211.930678139965</v>
      </c>
    </row>
    <row r="49" spans="1:23" x14ac:dyDescent="0.15">
      <c r="A49" s="1" t="s">
        <v>6</v>
      </c>
      <c r="C49" s="3">
        <f t="shared" ref="C49:V49" si="7">SUM(C47:C48)</f>
        <v>0</v>
      </c>
      <c r="D49" s="3">
        <f t="shared" si="7"/>
        <v>0</v>
      </c>
      <c r="E49" s="3">
        <f t="shared" si="7"/>
        <v>31.241535375000005</v>
      </c>
      <c r="F49" s="3">
        <f t="shared" si="7"/>
        <v>62.48307075000001</v>
      </c>
      <c r="G49" s="3">
        <f t="shared" si="7"/>
        <v>93.724606125000022</v>
      </c>
      <c r="H49" s="3">
        <f t="shared" si="7"/>
        <v>5832.9197135975664</v>
      </c>
      <c r="I49" s="3">
        <f t="shared" si="7"/>
        <v>5864.1612489725667</v>
      </c>
      <c r="J49" s="3">
        <f t="shared" si="7"/>
        <v>5895.402784347566</v>
      </c>
      <c r="K49" s="3">
        <f t="shared" si="7"/>
        <v>11622.099467320133</v>
      </c>
      <c r="L49" s="3">
        <f t="shared" si="7"/>
        <v>11559.616396570133</v>
      </c>
      <c r="M49" s="3">
        <f t="shared" si="7"/>
        <v>11497.133325820132</v>
      </c>
      <c r="N49" s="3">
        <f t="shared" si="7"/>
        <v>9163.63649253931</v>
      </c>
      <c r="O49" s="3">
        <f t="shared" si="7"/>
        <v>5707.9535720975664</v>
      </c>
      <c r="P49" s="3">
        <f t="shared" si="7"/>
        <v>0</v>
      </c>
      <c r="Q49" s="3">
        <f t="shared" si="7"/>
        <v>0</v>
      </c>
      <c r="R49" s="3">
        <f t="shared" si="7"/>
        <v>0</v>
      </c>
      <c r="S49" s="3">
        <f t="shared" si="7"/>
        <v>0</v>
      </c>
      <c r="T49" s="3">
        <f t="shared" si="7"/>
        <v>0</v>
      </c>
      <c r="U49" s="3">
        <f t="shared" si="7"/>
        <v>0</v>
      </c>
      <c r="V49" s="3">
        <f t="shared" si="7"/>
        <v>0</v>
      </c>
      <c r="W49" s="3">
        <f>SUM(C49:V49)</f>
        <v>67330.372213514973</v>
      </c>
    </row>
    <row r="51" spans="1:23" x14ac:dyDescent="0.15">
      <c r="A51" s="1" t="s">
        <v>7</v>
      </c>
      <c r="C51" s="1" t="str">
        <f t="shared" ref="C51:V51" si="8">IF(AND(C40="",C42=""),"",(-C40)+(-C42))</f>
        <v/>
      </c>
      <c r="D51" s="1" t="str">
        <f t="shared" si="8"/>
        <v/>
      </c>
      <c r="E51" s="1" t="str">
        <f t="shared" si="8"/>
        <v/>
      </c>
      <c r="F51" s="1" t="str">
        <f t="shared" si="8"/>
        <v/>
      </c>
      <c r="G51" s="1" t="str">
        <f t="shared" si="8"/>
        <v/>
      </c>
      <c r="H51" s="1">
        <f t="shared" si="8"/>
        <v>2603.4612812500004</v>
      </c>
      <c r="I51" s="1">
        <f t="shared" si="8"/>
        <v>2603.4612812500004</v>
      </c>
      <c r="J51" s="1">
        <f t="shared" si="8"/>
        <v>2603.4612812500004</v>
      </c>
      <c r="K51" s="1">
        <f t="shared" si="8"/>
        <v>5206.9225625000008</v>
      </c>
      <c r="L51" s="1">
        <f t="shared" si="8"/>
        <v>5206.9225625000008</v>
      </c>
      <c r="M51" s="1">
        <f t="shared" si="8"/>
        <v>5206.9225625000008</v>
      </c>
      <c r="N51" s="1">
        <f t="shared" si="8"/>
        <v>4165.387187499995</v>
      </c>
      <c r="O51" s="1">
        <f t="shared" si="8"/>
        <v>2603.4612812500004</v>
      </c>
      <c r="P51" s="1" t="str">
        <f t="shared" si="8"/>
        <v/>
      </c>
      <c r="Q51" s="1" t="str">
        <f t="shared" si="8"/>
        <v/>
      </c>
      <c r="R51" s="1" t="str">
        <f t="shared" si="8"/>
        <v/>
      </c>
      <c r="S51" s="1" t="str">
        <f t="shared" si="8"/>
        <v/>
      </c>
      <c r="T51" s="1" t="str">
        <f t="shared" si="8"/>
        <v/>
      </c>
      <c r="U51" s="1" t="str">
        <f t="shared" si="8"/>
        <v/>
      </c>
      <c r="V51" s="1" t="str">
        <f t="shared" si="8"/>
        <v/>
      </c>
      <c r="W51" s="1">
        <f>SUM(C51:V51)</f>
        <v>30199.999999999996</v>
      </c>
    </row>
    <row r="52" spans="1:23" x14ac:dyDescent="0.15">
      <c r="A52" s="1" t="s">
        <v>40</v>
      </c>
      <c r="C52" s="1">
        <f>IF($C$13&lt;C37,0,IF(C37&lt;$C$28,$C$14*$C$27,B52*0.9))</f>
        <v>750.25</v>
      </c>
      <c r="D52" s="1">
        <f t="shared" ref="D52:V52" si="9">IF($C$13&lt;D37,0,IF(D37&lt;$C$28,$C$14*$C$27,C52*0.9))</f>
        <v>750.25</v>
      </c>
      <c r="E52" s="1">
        <f t="shared" si="9"/>
        <v>750.25</v>
      </c>
      <c r="F52" s="1">
        <f t="shared" si="9"/>
        <v>750.25</v>
      </c>
      <c r="G52" s="1">
        <f t="shared" si="9"/>
        <v>750.25</v>
      </c>
      <c r="H52" s="1">
        <f t="shared" si="9"/>
        <v>675.22500000000002</v>
      </c>
      <c r="I52" s="1">
        <f t="shared" si="9"/>
        <v>607.70249999999999</v>
      </c>
      <c r="J52" s="1">
        <f t="shared" si="9"/>
        <v>546.93224999999995</v>
      </c>
      <c r="K52" s="1">
        <f t="shared" si="9"/>
        <v>492.23902499999997</v>
      </c>
      <c r="L52" s="1">
        <f t="shared" si="9"/>
        <v>443.01512249999996</v>
      </c>
      <c r="M52" s="1">
        <f t="shared" si="9"/>
        <v>398.71361024999999</v>
      </c>
      <c r="N52" s="1">
        <f t="shared" si="9"/>
        <v>358.84224922499999</v>
      </c>
      <c r="O52" s="1">
        <f t="shared" si="9"/>
        <v>322.95802430250001</v>
      </c>
      <c r="P52" s="1">
        <f t="shared" si="9"/>
        <v>0</v>
      </c>
      <c r="Q52" s="1">
        <f t="shared" si="9"/>
        <v>0</v>
      </c>
      <c r="R52" s="1">
        <f t="shared" si="9"/>
        <v>0</v>
      </c>
      <c r="S52" s="1">
        <f t="shared" si="9"/>
        <v>0</v>
      </c>
      <c r="T52" s="1">
        <f t="shared" si="9"/>
        <v>0</v>
      </c>
      <c r="U52" s="1">
        <f t="shared" si="9"/>
        <v>0</v>
      </c>
      <c r="V52" s="1">
        <f t="shared" si="9"/>
        <v>0</v>
      </c>
      <c r="W52" s="1">
        <f>SUM(C52:V52)</f>
        <v>7596.8777812775006</v>
      </c>
    </row>
    <row r="53" spans="1:23" x14ac:dyDescent="0.15">
      <c r="A53" s="1" t="s">
        <v>8</v>
      </c>
      <c r="C53" s="1">
        <f t="shared" ref="C53:V53" si="10">IF($C$13&gt;=C37,$C$14*$C$31,0)</f>
        <v>75.025000000000006</v>
      </c>
      <c r="D53" s="1">
        <f t="shared" si="10"/>
        <v>75.025000000000006</v>
      </c>
      <c r="E53" s="1">
        <f t="shared" si="10"/>
        <v>75.025000000000006</v>
      </c>
      <c r="F53" s="1">
        <f t="shared" si="10"/>
        <v>75.025000000000006</v>
      </c>
      <c r="G53" s="1">
        <f t="shared" si="10"/>
        <v>75.025000000000006</v>
      </c>
      <c r="H53" s="1">
        <f t="shared" si="10"/>
        <v>75.025000000000006</v>
      </c>
      <c r="I53" s="1">
        <f t="shared" si="10"/>
        <v>75.025000000000006</v>
      </c>
      <c r="J53" s="1">
        <f t="shared" si="10"/>
        <v>75.025000000000006</v>
      </c>
      <c r="K53" s="1">
        <f t="shared" si="10"/>
        <v>75.025000000000006</v>
      </c>
      <c r="L53" s="1">
        <f t="shared" si="10"/>
        <v>75.025000000000006</v>
      </c>
      <c r="M53" s="1">
        <f t="shared" si="10"/>
        <v>75.025000000000006</v>
      </c>
      <c r="N53" s="1">
        <f t="shared" si="10"/>
        <v>75.025000000000006</v>
      </c>
      <c r="O53" s="1">
        <f t="shared" si="10"/>
        <v>75.025000000000006</v>
      </c>
      <c r="P53" s="1">
        <f t="shared" si="10"/>
        <v>0</v>
      </c>
      <c r="Q53" s="1">
        <f t="shared" si="10"/>
        <v>0</v>
      </c>
      <c r="R53" s="1">
        <f t="shared" si="10"/>
        <v>0</v>
      </c>
      <c r="S53" s="1">
        <f t="shared" si="10"/>
        <v>0</v>
      </c>
      <c r="T53" s="1">
        <f t="shared" si="10"/>
        <v>0</v>
      </c>
      <c r="U53" s="1">
        <f t="shared" si="10"/>
        <v>0</v>
      </c>
      <c r="V53" s="1">
        <f t="shared" si="10"/>
        <v>0</v>
      </c>
      <c r="W53" s="1">
        <f>SUM(C53:V53)</f>
        <v>975.32499999999982</v>
      </c>
    </row>
    <row r="54" spans="1:23" x14ac:dyDescent="0.15">
      <c r="A54" s="1" t="s">
        <v>9</v>
      </c>
      <c r="C54" s="1">
        <f>IF(C$37&lt;=$C$13,$C$12/$C$13,0)</f>
        <v>14.615384615384615</v>
      </c>
      <c r="D54" s="1">
        <f t="shared" ref="D54:V54" si="11">IF(D$37&lt;=$C$13,$C$12/$C$13,0)</f>
        <v>14.615384615384615</v>
      </c>
      <c r="E54" s="1">
        <f t="shared" si="11"/>
        <v>14.615384615384615</v>
      </c>
      <c r="F54" s="1">
        <f t="shared" si="11"/>
        <v>14.615384615384615</v>
      </c>
      <c r="G54" s="1">
        <f t="shared" si="11"/>
        <v>14.615384615384615</v>
      </c>
      <c r="H54" s="1">
        <f t="shared" si="11"/>
        <v>14.615384615384615</v>
      </c>
      <c r="I54" s="1">
        <f t="shared" si="11"/>
        <v>14.615384615384615</v>
      </c>
      <c r="J54" s="1">
        <f t="shared" si="11"/>
        <v>14.615384615384615</v>
      </c>
      <c r="K54" s="1">
        <f t="shared" si="11"/>
        <v>14.615384615384615</v>
      </c>
      <c r="L54" s="1">
        <f t="shared" si="11"/>
        <v>14.615384615384615</v>
      </c>
      <c r="M54" s="1">
        <f t="shared" si="11"/>
        <v>14.615384615384615</v>
      </c>
      <c r="N54" s="1">
        <f t="shared" si="11"/>
        <v>14.615384615384615</v>
      </c>
      <c r="O54" s="1">
        <f t="shared" si="11"/>
        <v>14.615384615384615</v>
      </c>
      <c r="P54" s="1">
        <f t="shared" si="11"/>
        <v>0</v>
      </c>
      <c r="Q54" s="1">
        <f t="shared" si="11"/>
        <v>0</v>
      </c>
      <c r="R54" s="1">
        <f t="shared" si="11"/>
        <v>0</v>
      </c>
      <c r="S54" s="1">
        <f t="shared" si="11"/>
        <v>0</v>
      </c>
      <c r="T54" s="1">
        <f t="shared" si="11"/>
        <v>0</v>
      </c>
      <c r="U54" s="1">
        <f t="shared" si="11"/>
        <v>0</v>
      </c>
      <c r="V54" s="1">
        <f t="shared" si="11"/>
        <v>0</v>
      </c>
      <c r="W54" s="1">
        <f>SUM(C54:V54)</f>
        <v>190</v>
      </c>
    </row>
    <row r="55" spans="1:23" x14ac:dyDescent="0.15">
      <c r="A55" s="1" t="s">
        <v>10</v>
      </c>
      <c r="C55" s="3">
        <f t="shared" ref="C55:V55" si="12">SUM(C52:C54)</f>
        <v>839.89038461538462</v>
      </c>
      <c r="D55" s="3">
        <f t="shared" si="12"/>
        <v>839.89038461538462</v>
      </c>
      <c r="E55" s="3">
        <f t="shared" si="12"/>
        <v>839.89038461538462</v>
      </c>
      <c r="F55" s="3">
        <f t="shared" si="12"/>
        <v>839.89038461538462</v>
      </c>
      <c r="G55" s="3">
        <f t="shared" si="12"/>
        <v>839.89038461538462</v>
      </c>
      <c r="H55" s="3">
        <f t="shared" si="12"/>
        <v>764.86538461538464</v>
      </c>
      <c r="I55" s="3">
        <f t="shared" si="12"/>
        <v>697.34288461538461</v>
      </c>
      <c r="J55" s="3">
        <f t="shared" si="12"/>
        <v>636.57263461538457</v>
      </c>
      <c r="K55" s="3">
        <f t="shared" si="12"/>
        <v>581.87940961538459</v>
      </c>
      <c r="L55" s="3">
        <f t="shared" si="12"/>
        <v>532.65550711538458</v>
      </c>
      <c r="M55" s="3">
        <f t="shared" si="12"/>
        <v>488.35399486538461</v>
      </c>
      <c r="N55" s="3">
        <f t="shared" si="12"/>
        <v>448.48263384038466</v>
      </c>
      <c r="O55" s="3">
        <f t="shared" si="12"/>
        <v>412.59840891788463</v>
      </c>
      <c r="P55" s="3">
        <f t="shared" si="12"/>
        <v>0</v>
      </c>
      <c r="Q55" s="3">
        <f t="shared" si="12"/>
        <v>0</v>
      </c>
      <c r="R55" s="3">
        <f t="shared" si="12"/>
        <v>0</v>
      </c>
      <c r="S55" s="3">
        <f t="shared" si="12"/>
        <v>0</v>
      </c>
      <c r="T55" s="3">
        <f t="shared" si="12"/>
        <v>0</v>
      </c>
      <c r="U55" s="3">
        <f t="shared" si="12"/>
        <v>0</v>
      </c>
      <c r="V55" s="3">
        <f t="shared" si="12"/>
        <v>0</v>
      </c>
      <c r="W55" s="3">
        <f>SUM(C55:V55)</f>
        <v>8762.2027812774977</v>
      </c>
    </row>
    <row r="57" spans="1:23" ht="14" thickBot="1" x14ac:dyDescent="0.2">
      <c r="A57" s="1" t="s">
        <v>41</v>
      </c>
      <c r="C57" s="7">
        <f>C49-C55-C51</f>
        <v>-839.89038461538462</v>
      </c>
      <c r="D57" s="7">
        <f t="shared" ref="D57:V57" si="13">D49-D55-D51</f>
        <v>-839.89038461538462</v>
      </c>
      <c r="E57" s="7">
        <f t="shared" si="13"/>
        <v>-808.64884924038461</v>
      </c>
      <c r="F57" s="7">
        <f t="shared" si="13"/>
        <v>-777.40731386538459</v>
      </c>
      <c r="G57" s="7">
        <f t="shared" si="13"/>
        <v>-746.16577849038458</v>
      </c>
      <c r="H57" s="7">
        <f t="shared" si="13"/>
        <v>2464.5930477321813</v>
      </c>
      <c r="I57" s="7">
        <f t="shared" si="13"/>
        <v>2563.3570831071816</v>
      </c>
      <c r="J57" s="7">
        <f t="shared" si="13"/>
        <v>2655.3688684821814</v>
      </c>
      <c r="K57" s="7">
        <f t="shared" si="13"/>
        <v>5833.2974952047471</v>
      </c>
      <c r="L57" s="7">
        <f t="shared" si="13"/>
        <v>5820.0383269547465</v>
      </c>
      <c r="M57" s="7">
        <f t="shared" si="13"/>
        <v>5801.8567684547461</v>
      </c>
      <c r="N57" s="7">
        <f t="shared" si="13"/>
        <v>4549.7666711989295</v>
      </c>
      <c r="O57" s="7">
        <f t="shared" si="13"/>
        <v>2691.8938819296814</v>
      </c>
      <c r="P57" s="7">
        <f t="shared" si="13"/>
        <v>0</v>
      </c>
      <c r="Q57" s="7">
        <f t="shared" si="13"/>
        <v>0</v>
      </c>
      <c r="R57" s="7">
        <f t="shared" si="13"/>
        <v>0</v>
      </c>
      <c r="S57" s="7">
        <f t="shared" si="13"/>
        <v>0</v>
      </c>
      <c r="T57" s="7">
        <f t="shared" si="13"/>
        <v>0</v>
      </c>
      <c r="U57" s="7">
        <f t="shared" si="13"/>
        <v>0</v>
      </c>
      <c r="V57" s="7">
        <f t="shared" si="13"/>
        <v>0</v>
      </c>
      <c r="W57" s="7">
        <f>SUM(C57:V57)</f>
        <v>28368.169432237471</v>
      </c>
    </row>
    <row r="58" spans="1:23" ht="14" thickTop="1" x14ac:dyDescent="0.15"/>
    <row r="59" spans="1:23" x14ac:dyDescent="0.15">
      <c r="A59" s="1" t="s">
        <v>50</v>
      </c>
      <c r="C59" s="1">
        <f>+C57</f>
        <v>-839.89038461538462</v>
      </c>
      <c r="D59" s="1">
        <f>D57+C59</f>
        <v>-1679.7807692307692</v>
      </c>
      <c r="E59" s="1">
        <f t="shared" ref="E59:V59" si="14">E57+D59</f>
        <v>-2488.4296184711538</v>
      </c>
      <c r="F59" s="1">
        <f t="shared" si="14"/>
        <v>-3265.8369323365387</v>
      </c>
      <c r="G59" s="1">
        <f t="shared" si="14"/>
        <v>-4012.0027108269232</v>
      </c>
      <c r="H59" s="1">
        <f t="shared" si="14"/>
        <v>-1547.409663094742</v>
      </c>
      <c r="I59" s="1">
        <f t="shared" si="14"/>
        <v>1015.9474200124396</v>
      </c>
      <c r="J59" s="1">
        <f t="shared" si="14"/>
        <v>3671.3162884946209</v>
      </c>
      <c r="K59" s="1">
        <f t="shared" si="14"/>
        <v>9504.6137836993676</v>
      </c>
      <c r="L59" s="1">
        <f t="shared" si="14"/>
        <v>15324.652110654115</v>
      </c>
      <c r="M59" s="1">
        <f t="shared" si="14"/>
        <v>21126.50887910886</v>
      </c>
      <c r="N59" s="1">
        <f t="shared" si="14"/>
        <v>25676.27555030779</v>
      </c>
      <c r="O59" s="1">
        <f t="shared" si="14"/>
        <v>28368.169432237471</v>
      </c>
      <c r="P59" s="1">
        <f t="shared" si="14"/>
        <v>28368.169432237471</v>
      </c>
      <c r="Q59" s="1">
        <f t="shared" si="14"/>
        <v>28368.169432237471</v>
      </c>
      <c r="R59" s="1">
        <f t="shared" si="14"/>
        <v>28368.169432237471</v>
      </c>
      <c r="S59" s="1">
        <f t="shared" si="14"/>
        <v>28368.169432237471</v>
      </c>
      <c r="T59" s="1">
        <f t="shared" si="14"/>
        <v>28368.169432237471</v>
      </c>
      <c r="U59" s="1">
        <f t="shared" si="14"/>
        <v>28368.169432237471</v>
      </c>
      <c r="V59" s="1">
        <f t="shared" si="14"/>
        <v>28368.169432237471</v>
      </c>
    </row>
    <row r="61" spans="1:23" x14ac:dyDescent="0.15">
      <c r="A61" t="s">
        <v>80</v>
      </c>
      <c r="B61"/>
      <c r="C61">
        <v>1</v>
      </c>
      <c r="D61">
        <v>2</v>
      </c>
      <c r="E61">
        <v>3</v>
      </c>
      <c r="F61">
        <v>4</v>
      </c>
      <c r="G61">
        <v>5</v>
      </c>
      <c r="H61">
        <v>6</v>
      </c>
      <c r="I61">
        <v>7</v>
      </c>
      <c r="J61">
        <v>8</v>
      </c>
      <c r="K61">
        <v>9</v>
      </c>
      <c r="L61">
        <v>10</v>
      </c>
      <c r="M61">
        <v>11</v>
      </c>
      <c r="N61">
        <v>12</v>
      </c>
      <c r="O61">
        <v>13</v>
      </c>
      <c r="P61">
        <v>14</v>
      </c>
      <c r="Q61">
        <v>15</v>
      </c>
      <c r="R61">
        <v>16</v>
      </c>
      <c r="S61">
        <v>17</v>
      </c>
      <c r="T61">
        <v>18</v>
      </c>
      <c r="U61">
        <v>19</v>
      </c>
      <c r="V61">
        <v>20</v>
      </c>
      <c r="W61" s="5" t="s">
        <v>1</v>
      </c>
    </row>
    <row r="63" spans="1:23" x14ac:dyDescent="0.15">
      <c r="A63" s="2" t="s">
        <v>74</v>
      </c>
    </row>
    <row r="65" spans="1:23" x14ac:dyDescent="0.15">
      <c r="A65" s="1" t="s">
        <v>11</v>
      </c>
      <c r="C65" s="1">
        <v>0</v>
      </c>
      <c r="D65" s="1">
        <f t="shared" ref="D65:V65" si="15">C74</f>
        <v>1213.2637187499995</v>
      </c>
      <c r="E65" s="1">
        <f t="shared" si="15"/>
        <v>2858.1274374999998</v>
      </c>
      <c r="F65" s="1">
        <f t="shared" si="15"/>
        <v>4534.2326916250004</v>
      </c>
      <c r="G65" s="1">
        <f t="shared" si="15"/>
        <v>6241.5794811249998</v>
      </c>
      <c r="H65" s="1">
        <f t="shared" si="15"/>
        <v>7980.1678059999995</v>
      </c>
      <c r="I65" s="1">
        <f t="shared" si="15"/>
        <v>50</v>
      </c>
      <c r="J65" s="1">
        <f t="shared" si="15"/>
        <v>24.511186472565896</v>
      </c>
      <c r="K65" s="1">
        <f t="shared" si="15"/>
        <v>50</v>
      </c>
      <c r="L65" s="1">
        <f t="shared" si="15"/>
        <v>50</v>
      </c>
      <c r="M65" s="1">
        <f t="shared" si="15"/>
        <v>50</v>
      </c>
      <c r="N65" s="1">
        <f t="shared" si="15"/>
        <v>50</v>
      </c>
      <c r="O65" s="1">
        <f t="shared" si="15"/>
        <v>50</v>
      </c>
      <c r="P65" s="1">
        <f t="shared" si="15"/>
        <v>50</v>
      </c>
      <c r="Q65" s="1">
        <f t="shared" si="15"/>
        <v>50</v>
      </c>
      <c r="R65" s="1">
        <f t="shared" si="15"/>
        <v>50</v>
      </c>
      <c r="S65" s="1">
        <f t="shared" si="15"/>
        <v>50</v>
      </c>
      <c r="T65" s="1">
        <f t="shared" si="15"/>
        <v>50</v>
      </c>
      <c r="U65" s="1">
        <f t="shared" si="15"/>
        <v>50</v>
      </c>
      <c r="V65" s="1">
        <f t="shared" si="15"/>
        <v>50</v>
      </c>
      <c r="W65" s="1">
        <f>C65</f>
        <v>0</v>
      </c>
    </row>
    <row r="67" spans="1:23" x14ac:dyDescent="0.15">
      <c r="A67" s="1" t="s">
        <v>12</v>
      </c>
      <c r="C67" s="1">
        <f t="shared" ref="C67:V67" si="16">C57</f>
        <v>-839.89038461538462</v>
      </c>
      <c r="D67" s="1">
        <f t="shared" si="16"/>
        <v>-839.89038461538462</v>
      </c>
      <c r="E67" s="1">
        <f t="shared" si="16"/>
        <v>-808.64884924038461</v>
      </c>
      <c r="F67" s="1">
        <f t="shared" si="16"/>
        <v>-777.40731386538459</v>
      </c>
      <c r="G67" s="1">
        <f t="shared" si="16"/>
        <v>-746.16577849038458</v>
      </c>
      <c r="H67" s="1">
        <f t="shared" si="16"/>
        <v>2464.5930477321813</v>
      </c>
      <c r="I67" s="1">
        <f t="shared" si="16"/>
        <v>2563.3570831071816</v>
      </c>
      <c r="J67" s="1">
        <f t="shared" si="16"/>
        <v>2655.3688684821814</v>
      </c>
      <c r="K67" s="1">
        <f t="shared" si="16"/>
        <v>5833.2974952047471</v>
      </c>
      <c r="L67" s="1">
        <f t="shared" si="16"/>
        <v>5820.0383269547465</v>
      </c>
      <c r="M67" s="1">
        <f t="shared" si="16"/>
        <v>5801.8567684547461</v>
      </c>
      <c r="N67" s="1">
        <f t="shared" si="16"/>
        <v>4549.7666711989295</v>
      </c>
      <c r="O67" s="1">
        <f t="shared" si="16"/>
        <v>2691.8938819296814</v>
      </c>
      <c r="P67" s="1">
        <f t="shared" si="16"/>
        <v>0</v>
      </c>
      <c r="Q67" s="1">
        <f t="shared" si="16"/>
        <v>0</v>
      </c>
      <c r="R67" s="1">
        <f t="shared" si="16"/>
        <v>0</v>
      </c>
      <c r="S67" s="1">
        <f t="shared" si="16"/>
        <v>0</v>
      </c>
      <c r="T67" s="1">
        <f t="shared" si="16"/>
        <v>0</v>
      </c>
      <c r="U67" s="1">
        <f t="shared" si="16"/>
        <v>0</v>
      </c>
      <c r="V67" s="1">
        <f t="shared" si="16"/>
        <v>0</v>
      </c>
      <c r="W67" s="1">
        <f t="shared" ref="W67:W73" si="17">SUM(C67:V67)</f>
        <v>28368.169432237471</v>
      </c>
    </row>
    <row r="68" spans="1:23" x14ac:dyDescent="0.15">
      <c r="A68" s="1" t="s">
        <v>13</v>
      </c>
      <c r="C68" s="1">
        <f t="shared" ref="C68:V68" si="18">C54</f>
        <v>14.615384615384615</v>
      </c>
      <c r="D68" s="1">
        <f t="shared" si="18"/>
        <v>14.615384615384615</v>
      </c>
      <c r="E68" s="1">
        <f t="shared" si="18"/>
        <v>14.615384615384615</v>
      </c>
      <c r="F68" s="1">
        <f t="shared" si="18"/>
        <v>14.615384615384615</v>
      </c>
      <c r="G68" s="1">
        <f t="shared" si="18"/>
        <v>14.615384615384615</v>
      </c>
      <c r="H68" s="1">
        <f t="shared" si="18"/>
        <v>14.615384615384615</v>
      </c>
      <c r="I68" s="1">
        <f t="shared" si="18"/>
        <v>14.615384615384615</v>
      </c>
      <c r="J68" s="1">
        <f t="shared" si="18"/>
        <v>14.615384615384615</v>
      </c>
      <c r="K68" s="1">
        <f t="shared" si="18"/>
        <v>14.615384615384615</v>
      </c>
      <c r="L68" s="1">
        <f t="shared" si="18"/>
        <v>14.615384615384615</v>
      </c>
      <c r="M68" s="1">
        <f t="shared" si="18"/>
        <v>14.615384615384615</v>
      </c>
      <c r="N68" s="1">
        <f t="shared" si="18"/>
        <v>14.615384615384615</v>
      </c>
      <c r="O68" s="1">
        <f t="shared" si="18"/>
        <v>14.615384615384615</v>
      </c>
      <c r="P68" s="1">
        <f t="shared" si="18"/>
        <v>0</v>
      </c>
      <c r="Q68" s="1">
        <f t="shared" si="18"/>
        <v>0</v>
      </c>
      <c r="R68" s="1">
        <f t="shared" si="18"/>
        <v>0</v>
      </c>
      <c r="S68" s="1">
        <f t="shared" si="18"/>
        <v>0</v>
      </c>
      <c r="T68" s="1">
        <f t="shared" si="18"/>
        <v>0</v>
      </c>
      <c r="U68" s="1">
        <f t="shared" si="18"/>
        <v>0</v>
      </c>
      <c r="V68" s="1">
        <f t="shared" si="18"/>
        <v>0</v>
      </c>
      <c r="W68" s="1">
        <f t="shared" si="17"/>
        <v>190</v>
      </c>
    </row>
    <row r="69" spans="1:23" x14ac:dyDescent="0.15">
      <c r="A69" s="1" t="s">
        <v>14</v>
      </c>
      <c r="C69" s="1" t="str">
        <f t="shared" ref="C69:V69" si="19">C51</f>
        <v/>
      </c>
      <c r="D69" s="1" t="str">
        <f t="shared" si="19"/>
        <v/>
      </c>
      <c r="E69" s="1" t="str">
        <f t="shared" si="19"/>
        <v/>
      </c>
      <c r="F69" s="1" t="str">
        <f t="shared" si="19"/>
        <v/>
      </c>
      <c r="G69" s="1" t="str">
        <f t="shared" si="19"/>
        <v/>
      </c>
      <c r="H69" s="1">
        <f t="shared" si="19"/>
        <v>2603.4612812500004</v>
      </c>
      <c r="I69" s="1">
        <f t="shared" si="19"/>
        <v>2603.4612812500004</v>
      </c>
      <c r="J69" s="1">
        <f t="shared" si="19"/>
        <v>2603.4612812500004</v>
      </c>
      <c r="K69" s="1">
        <f t="shared" si="19"/>
        <v>5206.9225625000008</v>
      </c>
      <c r="L69" s="1">
        <f t="shared" si="19"/>
        <v>5206.9225625000008</v>
      </c>
      <c r="M69" s="1">
        <f t="shared" si="19"/>
        <v>5206.9225625000008</v>
      </c>
      <c r="N69" s="1">
        <f t="shared" si="19"/>
        <v>4165.387187499995</v>
      </c>
      <c r="O69" s="1">
        <f t="shared" si="19"/>
        <v>2603.4612812500004</v>
      </c>
      <c r="P69" s="1" t="str">
        <f t="shared" si="19"/>
        <v/>
      </c>
      <c r="Q69" s="1" t="str">
        <f t="shared" si="19"/>
        <v/>
      </c>
      <c r="R69" s="1" t="str">
        <f t="shared" si="19"/>
        <v/>
      </c>
      <c r="S69" s="1" t="str">
        <f t="shared" si="19"/>
        <v/>
      </c>
      <c r="T69" s="1" t="str">
        <f t="shared" si="19"/>
        <v/>
      </c>
      <c r="U69" s="1" t="str">
        <f t="shared" si="19"/>
        <v/>
      </c>
      <c r="V69" s="1" t="str">
        <f t="shared" si="19"/>
        <v/>
      </c>
      <c r="W69" s="1">
        <f t="shared" si="17"/>
        <v>30199.999999999996</v>
      </c>
    </row>
    <row r="70" spans="1:23" x14ac:dyDescent="0.15">
      <c r="A70" s="1" t="s">
        <v>15</v>
      </c>
      <c r="C70" s="1">
        <f>C10*C22</f>
        <v>4832</v>
      </c>
      <c r="D70" s="1">
        <f t="shared" ref="D70:K70" si="20">IF(D37&lt;=$C$23+1,((1-$C$22)*$C$10)/$C$23,"")</f>
        <v>5073.6000000000004</v>
      </c>
      <c r="E70" s="1">
        <f t="shared" si="20"/>
        <v>5073.6000000000004</v>
      </c>
      <c r="F70" s="1">
        <f t="shared" si="20"/>
        <v>5073.6000000000004</v>
      </c>
      <c r="G70" s="1">
        <f t="shared" si="20"/>
        <v>5073.6000000000004</v>
      </c>
      <c r="H70" s="1">
        <f t="shared" si="20"/>
        <v>5073.6000000000004</v>
      </c>
      <c r="I70" s="1" t="str">
        <f t="shared" si="20"/>
        <v/>
      </c>
      <c r="J70" s="1" t="str">
        <f t="shared" si="20"/>
        <v/>
      </c>
      <c r="K70" s="1" t="str">
        <f t="shared" si="20"/>
        <v/>
      </c>
      <c r="L70" s="1" t="str">
        <f>IF(L37&lt;=$C$23+1,((1-$C$22)*$C$14*(1-$C$15))/$C$23,"")</f>
        <v/>
      </c>
      <c r="M70" s="1" t="str">
        <f>IF(M37&lt;=$C$23+1,((1-$C$22)*$C$14*(1-$C$15))/$C$23,"")</f>
        <v/>
      </c>
      <c r="N70" s="1" t="str">
        <f>IF(N37&lt;=$C$23+1,((1-$C$22)*$C$14*(1-$C$15))/$C$23,"")</f>
        <v/>
      </c>
      <c r="O70" s="1" t="str">
        <f>IF(O37&lt;=$C$23+1,((1-$C$22)*$C$14*(1-$C$15))/$C$23,"")</f>
        <v/>
      </c>
      <c r="P70" s="1" t="str">
        <f t="shared" ref="P70:V70" si="21">IF(P37&lt;=$C$23+1,((1-$C$22)*$C$14*(1-$C$15))/$C$23,"")</f>
        <v/>
      </c>
      <c r="Q70" s="1" t="str">
        <f t="shared" si="21"/>
        <v/>
      </c>
      <c r="R70" s="1" t="str">
        <f t="shared" si="21"/>
        <v/>
      </c>
      <c r="S70" s="1" t="str">
        <f t="shared" si="21"/>
        <v/>
      </c>
      <c r="T70" s="1" t="str">
        <f t="shared" si="21"/>
        <v/>
      </c>
      <c r="U70" s="1" t="str">
        <f t="shared" si="21"/>
        <v/>
      </c>
      <c r="V70" s="1" t="str">
        <f t="shared" si="21"/>
        <v/>
      </c>
      <c r="W70" s="1">
        <f t="shared" si="17"/>
        <v>30200</v>
      </c>
    </row>
    <row r="71" spans="1:23" x14ac:dyDescent="0.15">
      <c r="A71" s="1" t="s">
        <v>16</v>
      </c>
      <c r="C71" s="1">
        <f t="shared" ref="C71:O71" si="22">-C12</f>
        <v>-190</v>
      </c>
      <c r="D71" s="1">
        <f t="shared" si="22"/>
        <v>0</v>
      </c>
      <c r="E71" s="1">
        <f t="shared" si="22"/>
        <v>0</v>
      </c>
      <c r="F71" s="1">
        <f t="shared" si="22"/>
        <v>0</v>
      </c>
      <c r="G71" s="1">
        <f t="shared" si="22"/>
        <v>0</v>
      </c>
      <c r="H71" s="1">
        <f t="shared" si="22"/>
        <v>0</v>
      </c>
      <c r="I71" s="1">
        <f t="shared" si="22"/>
        <v>0</v>
      </c>
      <c r="J71" s="1">
        <f t="shared" si="22"/>
        <v>0</v>
      </c>
      <c r="K71" s="1">
        <f t="shared" si="22"/>
        <v>0</v>
      </c>
      <c r="L71" s="1">
        <f t="shared" si="22"/>
        <v>0</v>
      </c>
      <c r="M71" s="1">
        <f t="shared" si="22"/>
        <v>0</v>
      </c>
      <c r="N71" s="1">
        <f t="shared" si="22"/>
        <v>0</v>
      </c>
      <c r="O71" s="1">
        <f t="shared" si="22"/>
        <v>0</v>
      </c>
      <c r="P71" s="1">
        <f t="shared" ref="P71:V71" si="23">-O12</f>
        <v>0</v>
      </c>
      <c r="Q71" s="1">
        <f t="shared" si="23"/>
        <v>0</v>
      </c>
      <c r="R71" s="1">
        <f t="shared" si="23"/>
        <v>0</v>
      </c>
      <c r="S71" s="1">
        <f t="shared" si="23"/>
        <v>0</v>
      </c>
      <c r="T71" s="1">
        <f t="shared" si="23"/>
        <v>0</v>
      </c>
      <c r="U71" s="1">
        <f t="shared" si="23"/>
        <v>0</v>
      </c>
      <c r="V71" s="1">
        <f t="shared" si="23"/>
        <v>0</v>
      </c>
      <c r="W71" s="1">
        <f t="shared" si="17"/>
        <v>-190</v>
      </c>
    </row>
    <row r="72" spans="1:23" x14ac:dyDescent="0.15">
      <c r="A72" s="1" t="s">
        <v>42</v>
      </c>
      <c r="C72" s="1">
        <f t="shared" ref="C72:V72" si="24">-C39-C41</f>
        <v>-2603.4612812500004</v>
      </c>
      <c r="D72" s="1">
        <f t="shared" si="24"/>
        <v>-2603.4612812500004</v>
      </c>
      <c r="E72" s="1">
        <f t="shared" si="24"/>
        <v>-2603.4612812500004</v>
      </c>
      <c r="F72" s="1">
        <f t="shared" si="24"/>
        <v>-2603.4612812500004</v>
      </c>
      <c r="G72" s="1">
        <f t="shared" si="24"/>
        <v>-2603.4612812500004</v>
      </c>
      <c r="H72" s="1">
        <f t="shared" si="24"/>
        <v>-5206.9225625000008</v>
      </c>
      <c r="I72" s="1">
        <f t="shared" si="24"/>
        <v>-5206.9225625000008</v>
      </c>
      <c r="J72" s="1">
        <f t="shared" si="24"/>
        <v>-5206.9225625000008</v>
      </c>
      <c r="K72" s="1">
        <f t="shared" si="24"/>
        <v>-1561.925906249995</v>
      </c>
      <c r="L72" s="1">
        <f t="shared" si="24"/>
        <v>0</v>
      </c>
      <c r="M72" s="1">
        <f t="shared" si="24"/>
        <v>0</v>
      </c>
      <c r="N72" s="1">
        <f t="shared" si="24"/>
        <v>0</v>
      </c>
      <c r="O72" s="1">
        <f t="shared" si="24"/>
        <v>0</v>
      </c>
      <c r="P72" s="1">
        <f t="shared" si="24"/>
        <v>0</v>
      </c>
      <c r="Q72" s="1">
        <f t="shared" si="24"/>
        <v>0</v>
      </c>
      <c r="R72" s="1">
        <f t="shared" si="24"/>
        <v>0</v>
      </c>
      <c r="S72" s="1">
        <f t="shared" si="24"/>
        <v>0</v>
      </c>
      <c r="T72" s="1">
        <f t="shared" si="24"/>
        <v>0</v>
      </c>
      <c r="U72" s="1">
        <f t="shared" si="24"/>
        <v>0</v>
      </c>
      <c r="V72" s="1">
        <f t="shared" si="24"/>
        <v>0</v>
      </c>
      <c r="W72" s="1">
        <f t="shared" si="17"/>
        <v>-30199.999999999996</v>
      </c>
    </row>
    <row r="73" spans="1:23" x14ac:dyDescent="0.15">
      <c r="A73" s="1" t="s">
        <v>17</v>
      </c>
      <c r="C73" s="1" t="str">
        <f t="shared" ref="C73:O73" si="25">IF(AND(SUM(C65:C72)&gt;$C$34,C57&gt;0),-(SUM(C65:C72)-$C$34),"")</f>
        <v/>
      </c>
      <c r="D73" s="1" t="str">
        <f t="shared" si="25"/>
        <v/>
      </c>
      <c r="E73" s="1" t="str">
        <f t="shared" si="25"/>
        <v/>
      </c>
      <c r="F73" s="1" t="str">
        <f t="shared" si="25"/>
        <v/>
      </c>
      <c r="G73" s="1" t="str">
        <f t="shared" si="25"/>
        <v/>
      </c>
      <c r="H73" s="1">
        <f t="shared" si="25"/>
        <v>-12879.514957097566</v>
      </c>
      <c r="I73" s="1" t="str">
        <f t="shared" si="25"/>
        <v/>
      </c>
      <c r="J73" s="1">
        <f t="shared" si="25"/>
        <v>-41.03415832013161</v>
      </c>
      <c r="K73" s="1">
        <f t="shared" si="25"/>
        <v>-9492.9095360701376</v>
      </c>
      <c r="L73" s="1">
        <f t="shared" si="25"/>
        <v>-11041.576274070132</v>
      </c>
      <c r="M73" s="1">
        <f t="shared" si="25"/>
        <v>-11023.394715570132</v>
      </c>
      <c r="N73" s="1">
        <f t="shared" si="25"/>
        <v>-8729.7692433143093</v>
      </c>
      <c r="O73" s="1">
        <f t="shared" si="25"/>
        <v>-5309.9705477950665</v>
      </c>
      <c r="P73" s="1" t="str">
        <f t="shared" ref="P73:V73" si="26">IF(AND(SUM(P65:P72)&gt;$C$34,P57&gt;0),-(SUM(P65:P72)-$C$34),"")</f>
        <v/>
      </c>
      <c r="Q73" s="1" t="str">
        <f t="shared" si="26"/>
        <v/>
      </c>
      <c r="R73" s="1" t="str">
        <f t="shared" si="26"/>
        <v/>
      </c>
      <c r="S73" s="1" t="str">
        <f t="shared" si="26"/>
        <v/>
      </c>
      <c r="T73" s="1" t="str">
        <f t="shared" si="26"/>
        <v/>
      </c>
      <c r="U73" s="1" t="str">
        <f t="shared" si="26"/>
        <v/>
      </c>
      <c r="V73" s="1" t="str">
        <f t="shared" si="26"/>
        <v/>
      </c>
      <c r="W73" s="1">
        <f t="shared" si="17"/>
        <v>-58518.169432237468</v>
      </c>
    </row>
    <row r="74" spans="1:23" ht="14" thickBot="1" x14ac:dyDescent="0.2">
      <c r="A74" s="1" t="s">
        <v>18</v>
      </c>
      <c r="C74" s="8">
        <f t="shared" ref="C74:W74" si="27">SUM(C65:C73)</f>
        <v>1213.2637187499995</v>
      </c>
      <c r="D74" s="8">
        <f t="shared" si="27"/>
        <v>2858.1274374999998</v>
      </c>
      <c r="E74" s="8">
        <f t="shared" si="27"/>
        <v>4534.2326916250004</v>
      </c>
      <c r="F74" s="8">
        <f t="shared" si="27"/>
        <v>6241.5794811249998</v>
      </c>
      <c r="G74" s="8">
        <f t="shared" si="27"/>
        <v>7980.1678059999995</v>
      </c>
      <c r="H74" s="8">
        <f t="shared" si="27"/>
        <v>50</v>
      </c>
      <c r="I74" s="8">
        <f t="shared" si="27"/>
        <v>24.511186472565896</v>
      </c>
      <c r="J74" s="8">
        <f t="shared" si="27"/>
        <v>50</v>
      </c>
      <c r="K74" s="8">
        <f t="shared" si="27"/>
        <v>50</v>
      </c>
      <c r="L74" s="8">
        <f t="shared" si="27"/>
        <v>50</v>
      </c>
      <c r="M74" s="8">
        <f t="shared" si="27"/>
        <v>50</v>
      </c>
      <c r="N74" s="8">
        <f t="shared" si="27"/>
        <v>50</v>
      </c>
      <c r="O74" s="8">
        <f t="shared" si="27"/>
        <v>50</v>
      </c>
      <c r="P74" s="8">
        <f t="shared" si="27"/>
        <v>50</v>
      </c>
      <c r="Q74" s="8">
        <f t="shared" si="27"/>
        <v>50</v>
      </c>
      <c r="R74" s="8">
        <f t="shared" si="27"/>
        <v>50</v>
      </c>
      <c r="S74" s="8">
        <f t="shared" si="27"/>
        <v>50</v>
      </c>
      <c r="T74" s="8">
        <f t="shared" si="27"/>
        <v>50</v>
      </c>
      <c r="U74" s="8">
        <f t="shared" si="27"/>
        <v>50</v>
      </c>
      <c r="V74" s="8">
        <f t="shared" si="27"/>
        <v>50</v>
      </c>
      <c r="W74" s="8">
        <f t="shared" si="27"/>
        <v>50</v>
      </c>
    </row>
    <row r="75" spans="1:23" ht="14" hidden="1" thickTop="1" x14ac:dyDescent="0.15"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1:23" ht="14" hidden="1" thickTop="1" x14ac:dyDescent="0.15">
      <c r="A76" s="1" t="s">
        <v>51</v>
      </c>
      <c r="C76" s="10">
        <f>IF(AND(-SUM($C73:C73)&lt;C78,-C73&gt;0),-C73*$F$8,IF(C73="",0,C78*$F$8-SUM(B$76:$C76)+(-SUM($C73:C73)-C78)*$G$8*$F$8))</f>
        <v>0</v>
      </c>
      <c r="D76" s="10">
        <f>IF(AND(-SUM($C73:D73)&lt;D78,-D73&gt;0),-D73*$F$8,IF(D73="",0,D78*$F$8-SUM($C$76:C76)+(-SUM($C73:D73)-D78)*$G$8*$F$8))</f>
        <v>0</v>
      </c>
      <c r="E76" s="10">
        <f>IF(AND(-SUM($C73:E73)&lt;E78,-E73&gt;0),-E73*$F$8,IF(E73="",0,E78*$F$8-SUM($C$76:D76)+(-SUM($C73:E73)-E78)*$G$8*$F$8))</f>
        <v>0</v>
      </c>
      <c r="F76" s="10">
        <f>IF(AND(-SUM($C73:F73)&lt;F78,-F73&gt;0),-F73*$F$8,IF(F73="",0,F78*$F$8-SUM($C$76:E76)+(-SUM($C73:F73)-F78)*$G$8*$F$8))</f>
        <v>0</v>
      </c>
      <c r="G76" s="10">
        <f>IF(AND(-SUM($C73:G73)&lt;G78,-G73&gt;0),-G73*$F$8,IF(G73="",0,G78*$F$8-SUM($C$76:F76)+(-SUM($C73:G73)-G78)*$G$8*$F$8))</f>
        <v>0</v>
      </c>
      <c r="H76" s="10">
        <f>IF(AND(-SUM($C73:H73)&lt;H78,-H73&gt;0),-H73*$F$8,IF(H73="",0,H78*$F$8-SUM($C$76:G76)+(-SUM($C73:H73)-H78)*$G$8*$F$8))</f>
        <v>12794.220156057185</v>
      </c>
      <c r="I76" s="10">
        <f>IF(AND(-SUM($C73:I73)&lt;I78,-I73&gt;0),-I73*$F$8,IF(I73="",0,I78*$F$8-SUM($C$76:H76)+(-SUM($C73:I73)-I78)*$G$8*$F$8))</f>
        <v>0</v>
      </c>
      <c r="J76" s="10">
        <f>IF(AND(-SUM($C73:J73)&lt;J78,-J73&gt;0),-J73*$F$8,IF(J73="",0,J78*$F$8-SUM($C$76:I76)+(-SUM($C73:J73)-J78)*$G$8*$F$8))</f>
        <v>40.762408927283055</v>
      </c>
      <c r="K76" s="10">
        <f>IF(AND(-SUM($C73:K73)&lt;K78,-K73&gt;0),-K73*$F$8,IF(K73="",0,K78*$F$8-SUM($C$76:J76)+(-SUM($C73:K73)-K78)*$G$8*$F$8))</f>
        <v>9430.0425855001358</v>
      </c>
      <c r="L76" s="10">
        <f>IF(AND(-SUM($C73:L73)&lt;L78,-L73&gt;0),-L73*$F$8,IF(L73="",0,L78*$F$8-SUM($C$76:K76)+(-SUM($C73:L73)-L78)*$G$8*$F$8))</f>
        <v>10321.757571813117</v>
      </c>
      <c r="M76" s="10">
        <f>IF(AND(-SUM($C73:M73)&lt;M78,-M73&gt;0),-M73*$F$8,IF(M73="",0,M78*$F$8-SUM($C$76:L76)+(-SUM($C73:M73)-M78)*$G$8*$F$8))</f>
        <v>8760.3136812477842</v>
      </c>
      <c r="N76" s="10">
        <f>IF(AND(-SUM($C73:N73)&lt;N78,-N73&gt;0),-N73*$F$8,IF(N73="",0,N78*$F$8-SUM($C$76:M76)+(-SUM($C73:N73)-N78)*$G$8*$F$8))</f>
        <v>6937.5649615742877</v>
      </c>
      <c r="O76" s="10">
        <f>IF(AND(-SUM($C73:O73)&lt;O78,-O73&gt;0),-O73*$F$8,IF(O73="",0,O78*$F$8-SUM($C$76:N76)+(-SUM($C73:O73)-O78)*$G$8*$F$8))</f>
        <v>4219.8441439430972</v>
      </c>
      <c r="P76" s="10">
        <f>IF(AND(-SUM($C73:P73)&lt;P78,-P73&gt;0),-P73*$F$8,IF(P73="",0,P78*$F$8-SUM($C$76:O76)+(-SUM($C73:P73)-P78)*$G$8*$F$8))</f>
        <v>0</v>
      </c>
      <c r="Q76" s="10">
        <f>IF(AND(-SUM($C73:Q73)&lt;Q78,-Q73&gt;0),-Q73*$F$8,IF(Q73="",0,Q78*$F$8-SUM($C$76:P76)+(-SUM($C73:Q73)-Q78)*$G$8*$F$8))</f>
        <v>0</v>
      </c>
      <c r="R76" s="10">
        <f>IF(AND(-SUM($C73:R73)&lt;R78,-R73&gt;0),-R73*$F$8,IF(R73="",0,R78*$F$8-SUM($C$76:Q76)+(-SUM($C73:R73)-R78)*$G$8*$F$8))</f>
        <v>0</v>
      </c>
      <c r="S76" s="10">
        <f>IF(AND(-SUM($C73:S73)&lt;S78,-S73&gt;0),-S73*$F$8,IF(S73="",0,S78*$F$8-SUM($C$76:R76)+(-SUM($C73:S73)-S78)*$G$8*$F$8))</f>
        <v>0</v>
      </c>
      <c r="T76" s="10">
        <f>IF(AND(-SUM($C73:T73)&lt;T78,-T73&gt;0),-T73*$F$8,IF(T73="",0,T78*$F$8-SUM($C$76:S76)+(-SUM($C73:T73)-T78)*$G$8*$F$8))</f>
        <v>0</v>
      </c>
      <c r="U76" s="10">
        <f>IF(AND(-SUM($C73:U73)&lt;U78,-U73&gt;0),-U73*$F$8,IF(U73="",0,U78*$F$8-SUM($C$76:T76)+(-SUM($C73:U73)-U78)*$G$8*$F$8))</f>
        <v>0</v>
      </c>
      <c r="V76" s="10">
        <f>IF(AND(-SUM($C73:V73)&lt;V78,-V73&gt;0),-V73*$F$8,IF(V73="",0,V78*$F$8-SUM($C$76:U76)+(-SUM($C73:V73)-V78)*$G$8*$F$8))</f>
        <v>0</v>
      </c>
      <c r="W76" s="10">
        <f>SUM(C76:V76)</f>
        <v>52504.505509062888</v>
      </c>
    </row>
    <row r="77" spans="1:23" ht="14" thickTop="1" x14ac:dyDescent="0.15"/>
    <row r="78" spans="1:23" x14ac:dyDescent="0.15">
      <c r="A78" s="1" t="s">
        <v>19</v>
      </c>
      <c r="C78" s="1">
        <f t="shared" ref="C78:V78" si="28">B78+C70</f>
        <v>4832</v>
      </c>
      <c r="D78" s="1">
        <f t="shared" si="28"/>
        <v>9905.6</v>
      </c>
      <c r="E78" s="1">
        <f t="shared" si="28"/>
        <v>14979.2</v>
      </c>
      <c r="F78" s="1">
        <f t="shared" si="28"/>
        <v>20052.800000000003</v>
      </c>
      <c r="G78" s="1">
        <f t="shared" si="28"/>
        <v>25126.400000000001</v>
      </c>
      <c r="H78" s="1">
        <f t="shared" si="28"/>
        <v>30200</v>
      </c>
      <c r="I78" s="1">
        <f t="shared" si="28"/>
        <v>30200</v>
      </c>
      <c r="J78" s="1">
        <f t="shared" si="28"/>
        <v>30200</v>
      </c>
      <c r="K78" s="1">
        <f t="shared" si="28"/>
        <v>30200</v>
      </c>
      <c r="L78" s="1">
        <f t="shared" si="28"/>
        <v>30200</v>
      </c>
      <c r="M78" s="1">
        <f t="shared" si="28"/>
        <v>30200</v>
      </c>
      <c r="N78" s="1">
        <f t="shared" si="28"/>
        <v>30200</v>
      </c>
      <c r="O78" s="1">
        <f t="shared" si="28"/>
        <v>30200</v>
      </c>
      <c r="P78" s="1">
        <f t="shared" si="28"/>
        <v>30200</v>
      </c>
      <c r="Q78" s="1">
        <f t="shared" si="28"/>
        <v>30200</v>
      </c>
      <c r="R78" s="1">
        <f t="shared" si="28"/>
        <v>30200</v>
      </c>
      <c r="S78" s="1">
        <f t="shared" si="28"/>
        <v>30200</v>
      </c>
      <c r="T78" s="1">
        <f t="shared" si="28"/>
        <v>30200</v>
      </c>
      <c r="U78" s="1">
        <f t="shared" si="28"/>
        <v>30200</v>
      </c>
      <c r="V78" s="1">
        <f t="shared" si="28"/>
        <v>30200</v>
      </c>
    </row>
    <row r="79" spans="1:23" x14ac:dyDescent="0.15">
      <c r="A79" s="1" t="s">
        <v>20</v>
      </c>
      <c r="C79" s="1">
        <f>IF(SUM($B$83:B83)&gt;0,"",(+C78+B79)*$C$33)</f>
        <v>386.56</v>
      </c>
      <c r="D79" s="1">
        <f>IF(SUM($B$83:C83)&gt;0,"",(+D78+C79)*$C$33)</f>
        <v>823.37279999999998</v>
      </c>
      <c r="E79" s="1">
        <f>IF(SUM($B$83:D83)&gt;0,"",(+E78+D79)*$C$33)</f>
        <v>1264.2058240000001</v>
      </c>
      <c r="F79" s="1">
        <f>IF(SUM($B$83:E83)&gt;0,"",(+F78+E79)*$C$33)</f>
        <v>1705.3604659200003</v>
      </c>
      <c r="G79" s="1">
        <f>IF(SUM($B$83:F83)&gt;0,"",(+G78+F79)*$C$33)</f>
        <v>2146.5408372736001</v>
      </c>
      <c r="H79" s="1">
        <f>IF(SUM($B$83:G83)&gt;0,"",(+H78+G79)*$C$33)</f>
        <v>2587.7232669818877</v>
      </c>
      <c r="I79" s="1">
        <f>IF(SUM($B$83:H83)&gt;0,"",(+I78+H79)*$C$33)</f>
        <v>2623.0178613585513</v>
      </c>
      <c r="J79" s="1">
        <f>IF(SUM($B$83:I83)&gt;0,"",(+J78+I79)*$C$33)</f>
        <v>2625.8414289086841</v>
      </c>
      <c r="K79" s="1">
        <f>IF(SUM($B$83:J83)&gt;0,"",(+K78+J79)*$C$33)</f>
        <v>2626.0673143126951</v>
      </c>
      <c r="L79" s="1">
        <f>IF(SUM($B$83:K83)&gt;0,"",(+L78+K79)*$C$33)</f>
        <v>2626.0853851450152</v>
      </c>
      <c r="M79" s="1">
        <f>IF(SUM($B$83:L83)&gt;0,"",(+M78+L79)*$C$33)</f>
        <v>2626.0868308116014</v>
      </c>
      <c r="N79" s="1">
        <f>IF(SUM($B$83:M83)&gt;0,"",(+N78+M79)*$C$33)</f>
        <v>2626.0869464649286</v>
      </c>
      <c r="O79" s="1">
        <f>IF(SUM($B$83:N83)&gt;0,"",(+O78+N79)*$C$33)</f>
        <v>2626.0869557171945</v>
      </c>
      <c r="P79" s="1" t="str">
        <f>IF(SUM($B$83:O83)&gt;0,"",(+P78+O79)*$C$33)</f>
        <v/>
      </c>
      <c r="Q79" s="1" t="str">
        <f>IF(SUM($B$83:P83)&gt;0,"",(+Q78+P79)*$C$33)</f>
        <v/>
      </c>
      <c r="R79" s="1" t="str">
        <f>IF(SUM($B$83:Q83)&gt;0,"",(+R78+Q79)*$C$33)</f>
        <v/>
      </c>
      <c r="S79" s="1" t="str">
        <f>IF(SUM($B$83:R83)&gt;0,"",(+S78+R79)*$C$33)</f>
        <v/>
      </c>
      <c r="T79" s="1" t="str">
        <f>IF(SUM($B$83:S83)&gt;0,"",(+T78+S79)*$C$33)</f>
        <v/>
      </c>
      <c r="U79" s="1" t="str">
        <f>IF(SUM($B$83:T83)&gt;0,"",(+U78+T79)*$C$33)</f>
        <v/>
      </c>
      <c r="V79" s="1" t="str">
        <f>IF(SUM($B$83:U83)&gt;0,"",(+V78+U79)*$C$33)</f>
        <v/>
      </c>
      <c r="W79" s="1">
        <f>SUM(C79:V79)</f>
        <v>27293.035916894158</v>
      </c>
    </row>
    <row r="80" spans="1:23" x14ac:dyDescent="0.15">
      <c r="A80" s="1" t="s">
        <v>21</v>
      </c>
      <c r="C80" s="1">
        <f t="shared" ref="C80:V80" si="29">B80+C79</f>
        <v>386.56</v>
      </c>
      <c r="D80" s="1">
        <f t="shared" si="29"/>
        <v>1209.9328</v>
      </c>
      <c r="E80" s="1">
        <f t="shared" si="29"/>
        <v>2474.1386240000002</v>
      </c>
      <c r="F80" s="1">
        <f t="shared" si="29"/>
        <v>4179.4990899200002</v>
      </c>
      <c r="G80" s="1">
        <f t="shared" si="29"/>
        <v>6326.0399271936003</v>
      </c>
      <c r="H80" s="1">
        <f t="shared" si="29"/>
        <v>8913.763194175488</v>
      </c>
      <c r="I80" s="1">
        <f t="shared" si="29"/>
        <v>11536.78105553404</v>
      </c>
      <c r="J80" s="1">
        <f t="shared" si="29"/>
        <v>14162.622484442723</v>
      </c>
      <c r="K80" s="1">
        <f t="shared" si="29"/>
        <v>16788.689798755418</v>
      </c>
      <c r="L80" s="1">
        <f t="shared" si="29"/>
        <v>19414.775183900434</v>
      </c>
      <c r="M80" s="1">
        <f t="shared" si="29"/>
        <v>22040.862014712035</v>
      </c>
      <c r="N80" s="1">
        <f t="shared" si="29"/>
        <v>24666.948961176964</v>
      </c>
      <c r="O80" s="1">
        <f t="shared" si="29"/>
        <v>27293.035916894158</v>
      </c>
      <c r="P80" s="1">
        <f t="shared" si="29"/>
        <v>27293.035916894158</v>
      </c>
      <c r="Q80" s="1">
        <f t="shared" si="29"/>
        <v>27293.035916894158</v>
      </c>
      <c r="R80" s="1">
        <f t="shared" si="29"/>
        <v>27293.035916894158</v>
      </c>
      <c r="S80" s="1">
        <f t="shared" si="29"/>
        <v>27293.035916894158</v>
      </c>
      <c r="T80" s="1">
        <f t="shared" si="29"/>
        <v>27293.035916894158</v>
      </c>
      <c r="U80" s="1">
        <f t="shared" si="29"/>
        <v>27293.035916894158</v>
      </c>
      <c r="V80" s="1">
        <f t="shared" si="29"/>
        <v>27293.035916894158</v>
      </c>
    </row>
    <row r="81" spans="1:23" x14ac:dyDescent="0.15">
      <c r="A81" s="1" t="s">
        <v>22</v>
      </c>
      <c r="C81" s="1">
        <f t="shared" ref="C81:V81" si="30">B81-C73</f>
        <v>0</v>
      </c>
      <c r="D81" s="1">
        <f t="shared" si="30"/>
        <v>0</v>
      </c>
      <c r="E81" s="1">
        <f t="shared" si="30"/>
        <v>0</v>
      </c>
      <c r="F81" s="1">
        <f t="shared" si="30"/>
        <v>0</v>
      </c>
      <c r="G81" s="1">
        <f t="shared" si="30"/>
        <v>0</v>
      </c>
      <c r="H81" s="1">
        <f t="shared" si="30"/>
        <v>12879.514957097566</v>
      </c>
      <c r="I81" s="1">
        <f t="shared" si="30"/>
        <v>12879.514957097566</v>
      </c>
      <c r="J81" s="1">
        <f t="shared" si="30"/>
        <v>12920.549115417698</v>
      </c>
      <c r="K81" s="1">
        <f t="shared" si="30"/>
        <v>22413.458651487836</v>
      </c>
      <c r="L81" s="1">
        <f t="shared" si="30"/>
        <v>33455.034925557964</v>
      </c>
      <c r="M81" s="1">
        <f t="shared" si="30"/>
        <v>44478.429641128096</v>
      </c>
      <c r="N81" s="1">
        <f t="shared" si="30"/>
        <v>53208.198884442405</v>
      </c>
      <c r="O81" s="1">
        <f t="shared" si="30"/>
        <v>58518.169432237468</v>
      </c>
      <c r="P81" s="1">
        <f t="shared" si="30"/>
        <v>58518.169432237468</v>
      </c>
      <c r="Q81" s="1">
        <f t="shared" si="30"/>
        <v>58518.169432237468</v>
      </c>
      <c r="R81" s="1">
        <f t="shared" si="30"/>
        <v>58518.169432237468</v>
      </c>
      <c r="S81" s="1">
        <f t="shared" si="30"/>
        <v>58518.169432237468</v>
      </c>
      <c r="T81" s="1">
        <f t="shared" si="30"/>
        <v>58518.169432237468</v>
      </c>
      <c r="U81" s="1">
        <f t="shared" si="30"/>
        <v>58518.169432237468</v>
      </c>
      <c r="V81" s="1">
        <f t="shared" si="30"/>
        <v>58518.169432237468</v>
      </c>
    </row>
    <row r="82" spans="1:23" x14ac:dyDescent="0.15">
      <c r="A82" s="1" t="s">
        <v>23</v>
      </c>
      <c r="C82" s="1">
        <f t="shared" ref="C82:V82" si="31">IF(C81&lt;=(C78+C80),-C73,IF(B81&lt;(C78+C80),(C78+C80)-B81,""))</f>
        <v>0</v>
      </c>
      <c r="D82" s="1">
        <f t="shared" si="31"/>
        <v>0</v>
      </c>
      <c r="E82" s="1">
        <f t="shared" si="31"/>
        <v>0</v>
      </c>
      <c r="F82" s="1">
        <f t="shared" si="31"/>
        <v>0</v>
      </c>
      <c r="G82" s="1">
        <f t="shared" si="31"/>
        <v>0</v>
      </c>
      <c r="H82" s="1">
        <f t="shared" si="31"/>
        <v>12879.514957097566</v>
      </c>
      <c r="I82" s="1">
        <f t="shared" si="31"/>
        <v>0</v>
      </c>
      <c r="J82" s="1">
        <f t="shared" si="31"/>
        <v>41.03415832013161</v>
      </c>
      <c r="K82" s="1">
        <f t="shared" si="31"/>
        <v>9492.9095360701376</v>
      </c>
      <c r="L82" s="1">
        <f t="shared" si="31"/>
        <v>11041.576274070132</v>
      </c>
      <c r="M82" s="1">
        <f t="shared" si="31"/>
        <v>11023.394715570132</v>
      </c>
      <c r="N82" s="1">
        <f t="shared" si="31"/>
        <v>8729.7692433143093</v>
      </c>
      <c r="O82" s="1">
        <f t="shared" si="31"/>
        <v>4284.8370324517527</v>
      </c>
      <c r="P82" s="1" t="str">
        <f t="shared" si="31"/>
        <v/>
      </c>
      <c r="Q82" s="1" t="str">
        <f t="shared" si="31"/>
        <v/>
      </c>
      <c r="R82" s="1" t="str">
        <f t="shared" si="31"/>
        <v/>
      </c>
      <c r="S82" s="1" t="str">
        <f t="shared" si="31"/>
        <v/>
      </c>
      <c r="T82" s="1" t="str">
        <f t="shared" si="31"/>
        <v/>
      </c>
      <c r="U82" s="1" t="str">
        <f t="shared" si="31"/>
        <v/>
      </c>
      <c r="V82" s="1" t="str">
        <f t="shared" si="31"/>
        <v/>
      </c>
      <c r="W82" s="1">
        <f>SUM(C82:V82)</f>
        <v>57493.035916894158</v>
      </c>
    </row>
    <row r="83" spans="1:23" x14ac:dyDescent="0.15">
      <c r="A83" s="1" t="s">
        <v>24</v>
      </c>
      <c r="C83" s="1" t="str">
        <f t="shared" ref="C83:V83" si="32">IF(C81&lt;=C78,"",-C73-C82)</f>
        <v/>
      </c>
      <c r="D83" s="1" t="str">
        <f t="shared" si="32"/>
        <v/>
      </c>
      <c r="E83" s="1" t="str">
        <f t="shared" si="32"/>
        <v/>
      </c>
      <c r="F83" s="1" t="str">
        <f t="shared" si="32"/>
        <v/>
      </c>
      <c r="G83" s="1" t="str">
        <f t="shared" si="32"/>
        <v/>
      </c>
      <c r="H83" s="1" t="str">
        <f t="shared" si="32"/>
        <v/>
      </c>
      <c r="I83" s="1" t="str">
        <f t="shared" si="32"/>
        <v/>
      </c>
      <c r="J83" s="1" t="str">
        <f t="shared" si="32"/>
        <v/>
      </c>
      <c r="K83" s="1" t="str">
        <f t="shared" si="32"/>
        <v/>
      </c>
      <c r="L83" s="1">
        <f t="shared" si="32"/>
        <v>0</v>
      </c>
      <c r="M83" s="1">
        <f t="shared" si="32"/>
        <v>0</v>
      </c>
      <c r="N83" s="1">
        <f t="shared" si="32"/>
        <v>0</v>
      </c>
      <c r="O83" s="1">
        <f t="shared" si="32"/>
        <v>1025.1335153433138</v>
      </c>
      <c r="P83" s="1">
        <f t="shared" si="32"/>
        <v>0</v>
      </c>
      <c r="Q83" s="1">
        <f t="shared" si="32"/>
        <v>0</v>
      </c>
      <c r="R83" s="1">
        <f t="shared" si="32"/>
        <v>0</v>
      </c>
      <c r="S83" s="1">
        <f t="shared" si="32"/>
        <v>0</v>
      </c>
      <c r="T83" s="1">
        <f t="shared" si="32"/>
        <v>0</v>
      </c>
      <c r="U83" s="1">
        <f t="shared" si="32"/>
        <v>0</v>
      </c>
      <c r="V83" s="1">
        <f t="shared" si="32"/>
        <v>0</v>
      </c>
      <c r="W83" s="1">
        <f>SUM(C83:V83)</f>
        <v>1025.1335153433138</v>
      </c>
    </row>
    <row r="85" spans="1:23" x14ac:dyDescent="0.15">
      <c r="A85" s="2" t="s">
        <v>75</v>
      </c>
    </row>
    <row r="87" spans="1:23" x14ac:dyDescent="0.15">
      <c r="A87" s="1" t="s">
        <v>25</v>
      </c>
      <c r="C87" s="1">
        <f t="shared" ref="C87:V87" si="33">C74</f>
        <v>1213.2637187499995</v>
      </c>
      <c r="D87" s="1">
        <f t="shared" si="33"/>
        <v>2858.1274374999998</v>
      </c>
      <c r="E87" s="1">
        <f t="shared" si="33"/>
        <v>4534.2326916250004</v>
      </c>
      <c r="F87" s="1">
        <f t="shared" si="33"/>
        <v>6241.5794811249998</v>
      </c>
      <c r="G87" s="1">
        <f t="shared" si="33"/>
        <v>7980.1678059999995</v>
      </c>
      <c r="H87" s="1">
        <f t="shared" si="33"/>
        <v>50</v>
      </c>
      <c r="I87" s="1">
        <f t="shared" si="33"/>
        <v>24.511186472565896</v>
      </c>
      <c r="J87" s="1">
        <f t="shared" si="33"/>
        <v>50</v>
      </c>
      <c r="K87" s="1">
        <f t="shared" si="33"/>
        <v>50</v>
      </c>
      <c r="L87" s="1">
        <f t="shared" si="33"/>
        <v>50</v>
      </c>
      <c r="M87" s="1">
        <f t="shared" si="33"/>
        <v>50</v>
      </c>
      <c r="N87" s="1">
        <f t="shared" si="33"/>
        <v>50</v>
      </c>
      <c r="O87" s="1">
        <f t="shared" si="33"/>
        <v>50</v>
      </c>
      <c r="P87" s="1">
        <f t="shared" si="33"/>
        <v>50</v>
      </c>
      <c r="Q87" s="1">
        <f t="shared" si="33"/>
        <v>50</v>
      </c>
      <c r="R87" s="1">
        <f t="shared" si="33"/>
        <v>50</v>
      </c>
      <c r="S87" s="1">
        <f t="shared" si="33"/>
        <v>50</v>
      </c>
      <c r="T87" s="1">
        <f t="shared" si="33"/>
        <v>50</v>
      </c>
      <c r="U87" s="1">
        <f t="shared" si="33"/>
        <v>50</v>
      </c>
      <c r="V87" s="1">
        <f t="shared" si="33"/>
        <v>50</v>
      </c>
    </row>
    <row r="88" spans="1:23" x14ac:dyDescent="0.15">
      <c r="A88" s="1" t="s">
        <v>26</v>
      </c>
      <c r="C88" s="1">
        <f t="shared" ref="C88:V88" si="34">C43</f>
        <v>2603.4612812500004</v>
      </c>
      <c r="D88" s="1">
        <f t="shared" si="34"/>
        <v>5206.9225625000008</v>
      </c>
      <c r="E88" s="1">
        <f t="shared" si="34"/>
        <v>7810.3838437500017</v>
      </c>
      <c r="F88" s="1">
        <f t="shared" si="34"/>
        <v>10413.845125000002</v>
      </c>
      <c r="G88" s="1">
        <f t="shared" si="34"/>
        <v>13017.306406250002</v>
      </c>
      <c r="H88" s="1">
        <f t="shared" si="34"/>
        <v>15620.767687500002</v>
      </c>
      <c r="I88" s="1">
        <f t="shared" si="34"/>
        <v>18224.228968750002</v>
      </c>
      <c r="J88" s="1">
        <f t="shared" si="34"/>
        <v>20827.690250000003</v>
      </c>
      <c r="K88" s="1">
        <f t="shared" si="34"/>
        <v>17182.693593749998</v>
      </c>
      <c r="L88" s="1">
        <f t="shared" si="34"/>
        <v>11975.771031249998</v>
      </c>
      <c r="M88" s="1">
        <f t="shared" si="34"/>
        <v>6768.8484687499977</v>
      </c>
      <c r="N88" s="1">
        <f t="shared" si="34"/>
        <v>2603.4612812500027</v>
      </c>
      <c r="O88" s="1">
        <f t="shared" si="34"/>
        <v>0</v>
      </c>
      <c r="P88" s="1">
        <f t="shared" si="34"/>
        <v>0</v>
      </c>
      <c r="Q88" s="1">
        <f t="shared" si="34"/>
        <v>0</v>
      </c>
      <c r="R88" s="1">
        <f t="shared" si="34"/>
        <v>0</v>
      </c>
      <c r="S88" s="1">
        <f t="shared" si="34"/>
        <v>0</v>
      </c>
      <c r="T88" s="1">
        <f t="shared" si="34"/>
        <v>0</v>
      </c>
      <c r="U88" s="1">
        <f t="shared" si="34"/>
        <v>0</v>
      </c>
      <c r="V88" s="1">
        <f t="shared" si="34"/>
        <v>0</v>
      </c>
    </row>
    <row r="89" spans="1:23" x14ac:dyDescent="0.15">
      <c r="A89" s="1" t="s">
        <v>27</v>
      </c>
      <c r="C89" s="1">
        <f>$C$9-SUM($C$54:C$54)</f>
        <v>185.38461538461539</v>
      </c>
      <c r="D89" s="1">
        <f>$C$9-SUM($C$54:D$54)</f>
        <v>170.76923076923077</v>
      </c>
      <c r="E89" s="1">
        <f>$C$9-SUM($C$54:E$54)</f>
        <v>156.15384615384616</v>
      </c>
      <c r="F89" s="1">
        <f>$C$9-SUM($C$54:F$54)</f>
        <v>141.53846153846155</v>
      </c>
      <c r="G89" s="1">
        <f>$C$9-SUM($C$54:G$54)</f>
        <v>126.92307692307692</v>
      </c>
      <c r="H89" s="1">
        <f>$C$9-SUM($C$54:H$54)</f>
        <v>112.30769230769231</v>
      </c>
      <c r="I89" s="1">
        <f>$C$9-SUM($C$54:I$54)</f>
        <v>97.692307692307693</v>
      </c>
      <c r="J89" s="1">
        <f>$C$9-SUM($C$54:J$54)</f>
        <v>83.07692307692308</v>
      </c>
      <c r="K89" s="1">
        <f>$C$9-SUM($C$54:K$54)</f>
        <v>68.461538461538453</v>
      </c>
      <c r="L89" s="1">
        <f>$C$9-SUM($C$54:L$54)</f>
        <v>53.84615384615384</v>
      </c>
      <c r="M89" s="1">
        <f>$C$9-SUM($C$54:M$54)</f>
        <v>39.230769230769226</v>
      </c>
      <c r="N89" s="1">
        <f>$C$9-SUM($C$54:N$54)</f>
        <v>24.615384615384613</v>
      </c>
      <c r="O89" s="1">
        <f>$C$9-SUM($C$54:O$54)</f>
        <v>10</v>
      </c>
      <c r="P89" s="1">
        <f>$C$9-SUM($C$54:P$54)</f>
        <v>10</v>
      </c>
      <c r="Q89" s="1">
        <f>$C$9-SUM($C$54:Q$54)</f>
        <v>10</v>
      </c>
      <c r="R89" s="1">
        <f>$C$9-SUM($C$54:R$54)</f>
        <v>10</v>
      </c>
      <c r="S89" s="1">
        <f>$C$9-SUM($C$54:S$54)</f>
        <v>10</v>
      </c>
      <c r="T89" s="1">
        <f>$C$9-SUM($C$54:T$54)</f>
        <v>10</v>
      </c>
      <c r="U89" s="1">
        <f>$C$9-SUM($C$54:U$54)</f>
        <v>10</v>
      </c>
      <c r="V89" s="1">
        <f>$C$9-SUM($C$54:V$54)</f>
        <v>10</v>
      </c>
    </row>
    <row r="90" spans="1:23" ht="14" thickBot="1" x14ac:dyDescent="0.2">
      <c r="A90" s="1" t="s">
        <v>28</v>
      </c>
      <c r="C90" s="8">
        <f t="shared" ref="C90:V90" si="35">SUM(C87:C89)</f>
        <v>4002.1096153846152</v>
      </c>
      <c r="D90" s="8">
        <f t="shared" si="35"/>
        <v>8235.8192307692316</v>
      </c>
      <c r="E90" s="8">
        <f t="shared" si="35"/>
        <v>12500.770381528848</v>
      </c>
      <c r="F90" s="8">
        <f t="shared" si="35"/>
        <v>16796.963067663462</v>
      </c>
      <c r="G90" s="8">
        <f t="shared" si="35"/>
        <v>21124.397289173081</v>
      </c>
      <c r="H90" s="8">
        <f t="shared" si="35"/>
        <v>15783.075379807693</v>
      </c>
      <c r="I90" s="8">
        <f t="shared" si="35"/>
        <v>18346.432462914876</v>
      </c>
      <c r="J90" s="8">
        <f t="shared" si="35"/>
        <v>20960.767173076925</v>
      </c>
      <c r="K90" s="8">
        <f t="shared" si="35"/>
        <v>17301.155132211537</v>
      </c>
      <c r="L90" s="8">
        <f t="shared" si="35"/>
        <v>12079.617185096153</v>
      </c>
      <c r="M90" s="8">
        <f t="shared" si="35"/>
        <v>6858.0792379807672</v>
      </c>
      <c r="N90" s="8">
        <f t="shared" si="35"/>
        <v>2678.0766658653874</v>
      </c>
      <c r="O90" s="8">
        <f t="shared" si="35"/>
        <v>60</v>
      </c>
      <c r="P90" s="8">
        <f t="shared" si="35"/>
        <v>60</v>
      </c>
      <c r="Q90" s="8">
        <f t="shared" si="35"/>
        <v>60</v>
      </c>
      <c r="R90" s="8">
        <f t="shared" si="35"/>
        <v>60</v>
      </c>
      <c r="S90" s="8">
        <f t="shared" si="35"/>
        <v>60</v>
      </c>
      <c r="T90" s="8">
        <f t="shared" si="35"/>
        <v>60</v>
      </c>
      <c r="U90" s="8">
        <f t="shared" si="35"/>
        <v>60</v>
      </c>
      <c r="V90" s="8">
        <f t="shared" si="35"/>
        <v>60</v>
      </c>
    </row>
    <row r="91" spans="1:23" ht="14" thickTop="1" x14ac:dyDescent="0.15"/>
    <row r="92" spans="1:23" x14ac:dyDescent="0.15">
      <c r="A92" s="1" t="s">
        <v>29</v>
      </c>
    </row>
    <row r="93" spans="1:23" x14ac:dyDescent="0.15">
      <c r="A93" s="1" t="s">
        <v>30</v>
      </c>
      <c r="C93" s="1">
        <v>0</v>
      </c>
      <c r="D93" s="1">
        <f t="shared" ref="D93:V93" si="36">C99</f>
        <v>3965.671803362201</v>
      </c>
      <c r="E93" s="1">
        <f t="shared" si="36"/>
        <v>8171.3436067244029</v>
      </c>
      <c r="F93" s="1">
        <f t="shared" si="36"/>
        <v>12408.050047876339</v>
      </c>
      <c r="G93" s="1">
        <f t="shared" si="36"/>
        <v>16675.791126818011</v>
      </c>
      <c r="H93" s="1">
        <f t="shared" si="36"/>
        <v>20974.566843549415</v>
      </c>
      <c r="I93" s="1">
        <f t="shared" si="36"/>
        <v>15668.617926961284</v>
      </c>
      <c r="J93" s="1">
        <f t="shared" si="36"/>
        <v>18013.155277065285</v>
      </c>
      <c r="K93" s="1">
        <f t="shared" si="36"/>
        <v>20082.61978348808</v>
      </c>
      <c r="L93" s="1">
        <f t="shared" si="36"/>
        <v>15288.310306759928</v>
      </c>
      <c r="M93" s="1">
        <f t="shared" si="36"/>
        <v>8945.053075793372</v>
      </c>
      <c r="N93" s="1">
        <f t="shared" si="36"/>
        <v>2605.408074992376</v>
      </c>
      <c r="O93" s="1">
        <f t="shared" si="36"/>
        <v>-2450.8395141021556</v>
      </c>
      <c r="P93" s="1">
        <f t="shared" si="36"/>
        <v>-4568.0467262624297</v>
      </c>
      <c r="Q93" s="1">
        <f t="shared" si="36"/>
        <v>-4568.0467262624297</v>
      </c>
      <c r="R93" s="1">
        <f t="shared" si="36"/>
        <v>-4568.0467262624297</v>
      </c>
      <c r="S93" s="1">
        <f t="shared" si="36"/>
        <v>-4568.0467262624297</v>
      </c>
      <c r="T93" s="1">
        <f t="shared" si="36"/>
        <v>-4568.0467262624297</v>
      </c>
      <c r="U93" s="1">
        <f t="shared" si="36"/>
        <v>-4568.0467262624297</v>
      </c>
      <c r="V93" s="1">
        <f t="shared" si="36"/>
        <v>-4568.0467262624297</v>
      </c>
      <c r="W93" s="1">
        <f>C93</f>
        <v>0</v>
      </c>
    </row>
    <row r="94" spans="1:23" x14ac:dyDescent="0.15">
      <c r="A94" s="1" t="s">
        <v>31</v>
      </c>
      <c r="C94" s="1">
        <f t="shared" ref="C94:V94" si="37">C70*($C$8/$C$10)</f>
        <v>4800</v>
      </c>
      <c r="D94" s="1">
        <f t="shared" si="37"/>
        <v>5040</v>
      </c>
      <c r="E94" s="1">
        <f t="shared" si="37"/>
        <v>5040</v>
      </c>
      <c r="F94" s="1">
        <f t="shared" si="37"/>
        <v>5040</v>
      </c>
      <c r="G94" s="1">
        <f t="shared" si="37"/>
        <v>5040</v>
      </c>
      <c r="H94" s="1">
        <f t="shared" si="37"/>
        <v>5040</v>
      </c>
      <c r="I94" s="1">
        <f t="shared" si="37"/>
        <v>0</v>
      </c>
      <c r="J94" s="1">
        <f t="shared" si="37"/>
        <v>0</v>
      </c>
      <c r="K94" s="1">
        <f t="shared" si="37"/>
        <v>0</v>
      </c>
      <c r="L94" s="1">
        <f t="shared" si="37"/>
        <v>0</v>
      </c>
      <c r="M94" s="1">
        <f t="shared" si="37"/>
        <v>0</v>
      </c>
      <c r="N94" s="1">
        <f t="shared" si="37"/>
        <v>0</v>
      </c>
      <c r="O94" s="1">
        <f t="shared" si="37"/>
        <v>0</v>
      </c>
      <c r="P94" s="1">
        <f t="shared" si="37"/>
        <v>0</v>
      </c>
      <c r="Q94" s="1">
        <f t="shared" si="37"/>
        <v>0</v>
      </c>
      <c r="R94" s="1">
        <f t="shared" si="37"/>
        <v>0</v>
      </c>
      <c r="S94" s="1">
        <f t="shared" si="37"/>
        <v>0</v>
      </c>
      <c r="T94" s="1">
        <f t="shared" si="37"/>
        <v>0</v>
      </c>
      <c r="U94" s="1">
        <f t="shared" si="37"/>
        <v>0</v>
      </c>
      <c r="V94" s="1">
        <f t="shared" si="37"/>
        <v>0</v>
      </c>
      <c r="W94" s="1">
        <f>SUM(C94:V94)</f>
        <v>30000</v>
      </c>
    </row>
    <row r="95" spans="1:23" x14ac:dyDescent="0.15">
      <c r="A95" s="1" t="s">
        <v>43</v>
      </c>
      <c r="C95" s="9">
        <f>IF(C$59&lt;=0,C$59*$F$8,C$59*$F$9)</f>
        <v>-834.32819663779924</v>
      </c>
      <c r="D95" s="9">
        <f>IF(D$59&lt;=0,D$59*$F$8-SUM($C95:C95),D$59*$G$8*$F$8-SUM($C95:C95))</f>
        <v>-834.32819663779924</v>
      </c>
      <c r="E95" s="9">
        <f>IF(E$59&lt;=0,E$59*$F$8-SUM($C95:D95),E$59*$G$8*$F$8-SUM($C95:D95))</f>
        <v>-803.29355884806409</v>
      </c>
      <c r="F95" s="9">
        <f>IF(F$59&lt;=0,F$59*$F$8-SUM($C95:E95),F$59*$G$8*$F$8-SUM($C95:E95))</f>
        <v>-772.25892105832918</v>
      </c>
      <c r="G95" s="9">
        <f>IF(G$59&lt;=0,G$59*$F$8-SUM($C95:F95),G$59*$G$8*$F$8-SUM($C95:F95))</f>
        <v>-741.22428326859426</v>
      </c>
      <c r="H95" s="9">
        <f>IF(H$59&lt;=0,H$59*$F$8-SUM($C95:G95),H$59*$G$8*$F$8-SUM($C95:G95))</f>
        <v>2448.2712394690543</v>
      </c>
      <c r="I95" s="9">
        <f>IF(I$59&lt;=0,I$59*$F$8-SUM($C95:H95),I$59*$G$8*$F$8-SUM($C95:H95))</f>
        <v>2344.5373501040003</v>
      </c>
      <c r="J95" s="9">
        <f>IF(J$59&lt;=0,J$59*$F$8-SUM($C95:I95),J$59*$G$8*$F$8-SUM($C95:I95))</f>
        <v>2110.2269153500779</v>
      </c>
      <c r="K95" s="9">
        <f>IF(K$59&lt;=0,K$59*$F$8-SUM($C95:J95),K$59*$G$8*$F$8-SUM($C95:J95))</f>
        <v>4635.733108771984</v>
      </c>
      <c r="L95" s="9">
        <f>IF(L$59&lt;=0,L$59*$F$8-SUM($C95:K95),L$59*$G$8*$F$8-SUM($C95:K95))</f>
        <v>4625.1960214209912</v>
      </c>
      <c r="M95" s="9">
        <f>IF(M$59&lt;=0,M$59*$F$8-SUM($C95:L95),M$59*$G$8*$F$8-SUM($C95:L95))</f>
        <v>4610.7471007587374</v>
      </c>
      <c r="N95" s="9">
        <f>IF(N$59&lt;=0,N$59*$F$8-SUM($C95:M95),N$59*$G$8*$F$8-SUM($C95:M95))</f>
        <v>3615.7086128733245</v>
      </c>
      <c r="O95" s="9">
        <f>IF(O$59&lt;=0,O$59*$F$8-SUM($C95:N95),O$59*$G$8*$F$8-SUM($C95:N95))</f>
        <v>2139.2534161030562</v>
      </c>
      <c r="P95" s="9">
        <f>IF(P$59&lt;=0,P$59*$F$8-SUM($C95:O95),P$59*$G$8*$F$8-SUM($C95:O95))</f>
        <v>0</v>
      </c>
      <c r="Q95" s="9">
        <f>IF(Q$59&lt;=0,Q$59*$F$8-SUM($C95:P95),Q$59*$G$8*$F$8-SUM($C95:P95))</f>
        <v>0</v>
      </c>
      <c r="R95" s="9">
        <f>IF(R$59&lt;=0,R$59*$F$8-SUM($C95:Q95),R$59*$G$8*$F$8-SUM($C95:Q95))</f>
        <v>0</v>
      </c>
      <c r="S95" s="9">
        <f>IF(S$59&lt;=0,S$59*$F$8-SUM($C95:R95),S$59*$G$8*$F$8-SUM($C95:R95))</f>
        <v>0</v>
      </c>
      <c r="T95" s="9">
        <f>IF(T$59&lt;=0,T$59*$F$8-SUM($C95:S95),T$59*$G$8*$F$8-SUM($C95:S95))</f>
        <v>0</v>
      </c>
      <c r="U95" s="9">
        <f>IF(U$59&lt;=0,U$59*$F$8-SUM($C95:T95),U$59*$G$8*$F$8-SUM($C95:T95))</f>
        <v>0</v>
      </c>
      <c r="V95" s="9">
        <f>IF(V$59&lt;=0,V$59*$F$8-SUM($C95:U95),V$59*$G$8*$F$8-SUM($C95:U95))</f>
        <v>0</v>
      </c>
      <c r="W95" s="1">
        <f>SUM(C95:V95)</f>
        <v>22544.24060840064</v>
      </c>
    </row>
    <row r="96" spans="1:23" x14ac:dyDescent="0.15">
      <c r="A96" s="1" t="s">
        <v>44</v>
      </c>
      <c r="W96" s="1">
        <f>SUM(C96:V96)</f>
        <v>0</v>
      </c>
    </row>
    <row r="97" spans="1:23" x14ac:dyDescent="0.15">
      <c r="A97" s="1" t="s">
        <v>45</v>
      </c>
      <c r="C97" s="1">
        <f t="shared" ref="C97:V97" si="38">-C82*$F$8</f>
        <v>0</v>
      </c>
      <c r="D97" s="1">
        <f t="shared" si="38"/>
        <v>0</v>
      </c>
      <c r="E97" s="1">
        <f t="shared" si="38"/>
        <v>0</v>
      </c>
      <c r="F97" s="1">
        <f t="shared" si="38"/>
        <v>0</v>
      </c>
      <c r="G97" s="1">
        <f t="shared" si="38"/>
        <v>0</v>
      </c>
      <c r="H97" s="1">
        <f t="shared" si="38"/>
        <v>-12794.220156057185</v>
      </c>
      <c r="I97" s="1">
        <f t="shared" si="38"/>
        <v>0</v>
      </c>
      <c r="J97" s="1">
        <f t="shared" si="38"/>
        <v>-40.762408927283055</v>
      </c>
      <c r="K97" s="1">
        <f t="shared" si="38"/>
        <v>-9430.0425855001358</v>
      </c>
      <c r="L97" s="1">
        <f t="shared" si="38"/>
        <v>-10968.453252387548</v>
      </c>
      <c r="M97" s="1">
        <f t="shared" si="38"/>
        <v>-10950.392101559733</v>
      </c>
      <c r="N97" s="1">
        <f t="shared" si="38"/>
        <v>-8671.956201967856</v>
      </c>
      <c r="O97" s="1">
        <f t="shared" si="38"/>
        <v>-4256.4606282633304</v>
      </c>
      <c r="P97" s="1">
        <f t="shared" si="38"/>
        <v>0</v>
      </c>
      <c r="Q97" s="1">
        <f t="shared" si="38"/>
        <v>0</v>
      </c>
      <c r="R97" s="1">
        <f t="shared" si="38"/>
        <v>0</v>
      </c>
      <c r="S97" s="1">
        <f t="shared" si="38"/>
        <v>0</v>
      </c>
      <c r="T97" s="1">
        <f t="shared" si="38"/>
        <v>0</v>
      </c>
      <c r="U97" s="1">
        <f t="shared" si="38"/>
        <v>0</v>
      </c>
      <c r="V97" s="1">
        <f t="shared" si="38"/>
        <v>0</v>
      </c>
      <c r="W97" s="1">
        <f>SUM(C97:V97)</f>
        <v>-57112.287334663066</v>
      </c>
    </row>
    <row r="98" spans="1:23" x14ac:dyDescent="0.15">
      <c r="A98" s="1" t="s">
        <v>46</v>
      </c>
      <c r="C98" s="1" t="str">
        <f>IF(-C83&lt;=0,"",-C83*$G$8)</f>
        <v/>
      </c>
      <c r="D98" s="1" t="str">
        <f>IF(D83&lt;=0,"",-SUM($C76:D76)-SUM($C97:D97)-SUM($C98:C98))</f>
        <v/>
      </c>
      <c r="E98" s="1" t="str">
        <f>IF(E83&lt;=0,"",-SUM($C76:E76)-SUM($C97:E97)-SUM($C98:D98))</f>
        <v/>
      </c>
      <c r="F98" s="1" t="str">
        <f>IF(F83&lt;=0,"",-SUM($C76:F76)-SUM($C97:F97)-SUM($C98:E98))</f>
        <v/>
      </c>
      <c r="G98" s="1" t="str">
        <f>IF(G83&lt;=0,"",-SUM($C76:G76)-SUM($C97:G97)-SUM($C98:F98))</f>
        <v/>
      </c>
      <c r="H98" s="1" t="str">
        <f>IF(H83&lt;=0,"",-SUM($C76:H76)-SUM($C97:H97)-SUM($C98:G98))</f>
        <v/>
      </c>
      <c r="I98" s="1" t="str">
        <f>IF(I83&lt;=0,"",-SUM($C76:I76)-SUM($C97:I97)-SUM($C98:H98))</f>
        <v/>
      </c>
      <c r="J98" s="1" t="str">
        <f>IF(J83&lt;=0,"",-SUM($C76:J76)-SUM($C97:J97)-SUM($C98:I98))</f>
        <v/>
      </c>
      <c r="K98" s="1" t="str">
        <f>IF(K83&lt;=0,"",-SUM($C76:K76)-SUM($C97:K97)-SUM($C98:J98))</f>
        <v/>
      </c>
      <c r="L98" s="1" t="str">
        <f>IF(L83&lt;=0,"",-SUM($C76:L76)-SUM($C97:L97)-SUM($C98:K98))</f>
        <v/>
      </c>
      <c r="M98" s="1" t="str">
        <f>IF(M83&lt;=0,"",-SUM($C76:M76)-SUM($C97:M97)-SUM($C98:L98))</f>
        <v/>
      </c>
      <c r="N98" s="1" t="str">
        <f>IF(N83&lt;=0,"",-SUM($C76:N76)-SUM($C97:N97)-SUM($C98:M98))</f>
        <v/>
      </c>
      <c r="O98" s="1">
        <f>IF(O83&lt;=0,"",MINA(-SUM($C76:O76)-SUM($C97:O97)-SUM($C98:N98),0))</f>
        <v>0</v>
      </c>
      <c r="P98" s="1" t="str">
        <f>IF(P83&lt;=0,"",MINA(-SUM($C76:P76)-SUM($C97:P97)-SUM($C98:O98),0))</f>
        <v/>
      </c>
      <c r="Q98" s="1" t="str">
        <f>IF(Q83&lt;=0,"",MINA(-SUM($C76:Q76)-SUM($C97:Q97)-SUM($C98:P98),0))</f>
        <v/>
      </c>
      <c r="R98" s="1" t="str">
        <f>IF(R83&lt;=0,"",MINA(-SUM($C76:R76)-SUM($C97:R97)-SUM($C98:Q98),0))</f>
        <v/>
      </c>
      <c r="S98" s="1" t="str">
        <f>IF(S83&lt;=0,"",MINA(-SUM($C76:S76)-SUM($C97:S97)-SUM($C98:R98),0))</f>
        <v/>
      </c>
      <c r="T98" s="1" t="str">
        <f>IF(T83&lt;=0,"",MINA(-SUM($C76:T76)-SUM($C97:T97)-SUM($C98:S98),0))</f>
        <v/>
      </c>
      <c r="U98" s="1" t="str">
        <f>IF(U83&lt;=0,"",MINA(-SUM($C76:U76)-SUM($C97:U97)-SUM($C98:T98),0))</f>
        <v/>
      </c>
      <c r="V98" s="1" t="str">
        <f>IF(V83&lt;=0,"",MINA(-SUM($C76:V76)-SUM($C97:V97)-SUM($C98:U98),0))</f>
        <v/>
      </c>
      <c r="W98" s="1">
        <f>SUM(C98:V98)</f>
        <v>0</v>
      </c>
    </row>
    <row r="99" spans="1:23" x14ac:dyDescent="0.15">
      <c r="A99" s="1" t="s">
        <v>32</v>
      </c>
      <c r="C99" s="3">
        <f t="shared" ref="C99:W99" si="39">SUM(C93:C98)</f>
        <v>3965.671803362201</v>
      </c>
      <c r="D99" s="3">
        <f t="shared" si="39"/>
        <v>8171.3436067244029</v>
      </c>
      <c r="E99" s="3">
        <f t="shared" si="39"/>
        <v>12408.050047876339</v>
      </c>
      <c r="F99" s="3">
        <f t="shared" si="39"/>
        <v>16675.791126818011</v>
      </c>
      <c r="G99" s="3">
        <f t="shared" si="39"/>
        <v>20974.566843549415</v>
      </c>
      <c r="H99" s="3">
        <f t="shared" si="39"/>
        <v>15668.617926961284</v>
      </c>
      <c r="I99" s="3">
        <f t="shared" si="39"/>
        <v>18013.155277065285</v>
      </c>
      <c r="J99" s="3">
        <f t="shared" si="39"/>
        <v>20082.61978348808</v>
      </c>
      <c r="K99" s="3">
        <f t="shared" si="39"/>
        <v>15288.310306759928</v>
      </c>
      <c r="L99" s="3">
        <f t="shared" si="39"/>
        <v>8945.053075793372</v>
      </c>
      <c r="M99" s="3">
        <f t="shared" si="39"/>
        <v>2605.408074992376</v>
      </c>
      <c r="N99" s="3">
        <f t="shared" si="39"/>
        <v>-2450.8395141021556</v>
      </c>
      <c r="O99" s="3">
        <f t="shared" si="39"/>
        <v>-4568.0467262624297</v>
      </c>
      <c r="P99" s="3">
        <f t="shared" si="39"/>
        <v>-4568.0467262624297</v>
      </c>
      <c r="Q99" s="3">
        <f t="shared" si="39"/>
        <v>-4568.0467262624297</v>
      </c>
      <c r="R99" s="3">
        <f t="shared" si="39"/>
        <v>-4568.0467262624297</v>
      </c>
      <c r="S99" s="3">
        <f t="shared" si="39"/>
        <v>-4568.0467262624297</v>
      </c>
      <c r="T99" s="3">
        <f t="shared" si="39"/>
        <v>-4568.0467262624297</v>
      </c>
      <c r="U99" s="3">
        <f t="shared" si="39"/>
        <v>-4568.0467262624297</v>
      </c>
      <c r="V99" s="3">
        <f t="shared" si="39"/>
        <v>-4568.0467262624297</v>
      </c>
      <c r="W99" s="3">
        <f t="shared" si="39"/>
        <v>-4568.0467262624297</v>
      </c>
    </row>
    <row r="101" spans="1:23" x14ac:dyDescent="0.15">
      <c r="A101" s="1" t="s">
        <v>33</v>
      </c>
    </row>
    <row r="102" spans="1:23" x14ac:dyDescent="0.15">
      <c r="A102" s="1" t="s">
        <v>30</v>
      </c>
      <c r="C102" s="1">
        <v>0</v>
      </c>
      <c r="D102" s="1">
        <f t="shared" ref="D102:V102" si="40">C108</f>
        <v>26.437812022414619</v>
      </c>
      <c r="E102" s="1">
        <f t="shared" si="40"/>
        <v>54.475624044829239</v>
      </c>
      <c r="F102" s="1">
        <f t="shared" si="40"/>
        <v>82.720333652508728</v>
      </c>
      <c r="G102" s="1">
        <f t="shared" si="40"/>
        <v>111.17194084545332</v>
      </c>
      <c r="H102" s="1">
        <f t="shared" si="40"/>
        <v>139.830445623663</v>
      </c>
      <c r="I102" s="1">
        <f t="shared" si="40"/>
        <v>104.45745284640873</v>
      </c>
      <c r="J102" s="1">
        <f t="shared" si="40"/>
        <v>323.27718584958996</v>
      </c>
      <c r="K102" s="1">
        <f t="shared" si="40"/>
        <v>868.14738958884493</v>
      </c>
      <c r="L102" s="1">
        <f t="shared" si="40"/>
        <v>2002.844825451607</v>
      </c>
      <c r="M102" s="1">
        <f t="shared" si="40"/>
        <v>3124.5641093027784</v>
      </c>
      <c r="N102" s="1">
        <f t="shared" si="40"/>
        <v>4242.6711629883885</v>
      </c>
      <c r="O102" s="1">
        <f t="shared" si="40"/>
        <v>5118.9161799675412</v>
      </c>
      <c r="P102" s="1">
        <f t="shared" si="40"/>
        <v>4618.0467262624297</v>
      </c>
      <c r="Q102" s="1">
        <f t="shared" si="40"/>
        <v>4618.0467262624297</v>
      </c>
      <c r="R102" s="1">
        <f t="shared" si="40"/>
        <v>4618.0467262624297</v>
      </c>
      <c r="S102" s="1">
        <f t="shared" si="40"/>
        <v>4618.0467262624297</v>
      </c>
      <c r="T102" s="1">
        <f t="shared" si="40"/>
        <v>4618.0467262624297</v>
      </c>
      <c r="U102" s="1">
        <f t="shared" si="40"/>
        <v>4618.0467262624297</v>
      </c>
      <c r="V102" s="1">
        <f t="shared" si="40"/>
        <v>4618.0467262624297</v>
      </c>
      <c r="W102" s="1">
        <f>C102</f>
        <v>0</v>
      </c>
    </row>
    <row r="103" spans="1:23" x14ac:dyDescent="0.15">
      <c r="A103" s="1" t="s">
        <v>31</v>
      </c>
      <c r="C103" s="1">
        <f t="shared" ref="C103:V103" si="41">C70*$C$9/$C$10</f>
        <v>32</v>
      </c>
      <c r="D103" s="1">
        <f t="shared" si="41"/>
        <v>33.6</v>
      </c>
      <c r="E103" s="1">
        <f t="shared" si="41"/>
        <v>33.6</v>
      </c>
      <c r="F103" s="1">
        <f t="shared" si="41"/>
        <v>33.6</v>
      </c>
      <c r="G103" s="1">
        <f t="shared" si="41"/>
        <v>33.6</v>
      </c>
      <c r="H103" s="1">
        <f t="shared" si="41"/>
        <v>33.6</v>
      </c>
      <c r="I103" s="1">
        <f t="shared" si="41"/>
        <v>0</v>
      </c>
      <c r="J103" s="1">
        <f t="shared" si="41"/>
        <v>0</v>
      </c>
      <c r="K103" s="1">
        <f t="shared" si="41"/>
        <v>0</v>
      </c>
      <c r="L103" s="1">
        <f t="shared" si="41"/>
        <v>0</v>
      </c>
      <c r="M103" s="1">
        <f t="shared" si="41"/>
        <v>0</v>
      </c>
      <c r="N103" s="1">
        <f t="shared" si="41"/>
        <v>0</v>
      </c>
      <c r="O103" s="1">
        <f t="shared" si="41"/>
        <v>0</v>
      </c>
      <c r="P103" s="1">
        <f t="shared" si="41"/>
        <v>0</v>
      </c>
      <c r="Q103" s="1">
        <f t="shared" si="41"/>
        <v>0</v>
      </c>
      <c r="R103" s="1">
        <f t="shared" si="41"/>
        <v>0</v>
      </c>
      <c r="S103" s="1">
        <f t="shared" si="41"/>
        <v>0</v>
      </c>
      <c r="T103" s="1">
        <f t="shared" si="41"/>
        <v>0</v>
      </c>
      <c r="U103" s="1">
        <f t="shared" si="41"/>
        <v>0</v>
      </c>
      <c r="V103" s="1">
        <f t="shared" si="41"/>
        <v>0</v>
      </c>
      <c r="W103" s="1">
        <f>SUM(C103:V103)</f>
        <v>199.99999999999997</v>
      </c>
    </row>
    <row r="104" spans="1:23" x14ac:dyDescent="0.15">
      <c r="A104" s="1" t="s">
        <v>43</v>
      </c>
      <c r="C104" s="9">
        <f t="shared" ref="C104:V104" si="42">C57-C95</f>
        <v>-5.5621879775853813</v>
      </c>
      <c r="D104" s="9">
        <f t="shared" si="42"/>
        <v>-5.5621879775853813</v>
      </c>
      <c r="E104" s="9">
        <f t="shared" si="42"/>
        <v>-5.3552903923205122</v>
      </c>
      <c r="F104" s="9">
        <f t="shared" si="42"/>
        <v>-5.1483928070554157</v>
      </c>
      <c r="G104" s="9">
        <f t="shared" si="42"/>
        <v>-4.9414952217903192</v>
      </c>
      <c r="H104" s="9">
        <f t="shared" si="42"/>
        <v>16.321808263126968</v>
      </c>
      <c r="I104" s="9">
        <f t="shared" si="42"/>
        <v>218.81973300318123</v>
      </c>
      <c r="J104" s="9">
        <f t="shared" si="42"/>
        <v>545.14195313210348</v>
      </c>
      <c r="K104" s="9">
        <f t="shared" si="42"/>
        <v>1197.5643864327631</v>
      </c>
      <c r="L104" s="9">
        <f t="shared" si="42"/>
        <v>1194.8423055337553</v>
      </c>
      <c r="M104" s="9">
        <f t="shared" si="42"/>
        <v>1191.1096676960087</v>
      </c>
      <c r="N104" s="9">
        <f t="shared" si="42"/>
        <v>934.05805832560509</v>
      </c>
      <c r="O104" s="9">
        <f t="shared" si="42"/>
        <v>552.64046582662513</v>
      </c>
      <c r="P104" s="9">
        <f t="shared" si="42"/>
        <v>0</v>
      </c>
      <c r="Q104" s="9">
        <f t="shared" si="42"/>
        <v>0</v>
      </c>
      <c r="R104" s="9">
        <f t="shared" si="42"/>
        <v>0</v>
      </c>
      <c r="S104" s="9">
        <f t="shared" si="42"/>
        <v>0</v>
      </c>
      <c r="T104" s="9">
        <f t="shared" si="42"/>
        <v>0</v>
      </c>
      <c r="U104" s="9">
        <f t="shared" si="42"/>
        <v>0</v>
      </c>
      <c r="V104" s="9">
        <f t="shared" si="42"/>
        <v>0</v>
      </c>
      <c r="W104" s="1">
        <f>SUM(C104:V104)</f>
        <v>5823.9288238368317</v>
      </c>
    </row>
    <row r="105" spans="1:23" x14ac:dyDescent="0.15">
      <c r="A105" s="1" t="s">
        <v>44</v>
      </c>
      <c r="W105" s="1">
        <f>SUM(C105:V105)</f>
        <v>0</v>
      </c>
    </row>
    <row r="106" spans="1:23" x14ac:dyDescent="0.15">
      <c r="A106" s="1" t="s">
        <v>45</v>
      </c>
      <c r="C106" s="1">
        <f t="shared" ref="C106:V106" si="43">-C82*$F$9</f>
        <v>0</v>
      </c>
      <c r="D106" s="1">
        <f t="shared" si="43"/>
        <v>0</v>
      </c>
      <c r="E106" s="1">
        <f t="shared" si="43"/>
        <v>0</v>
      </c>
      <c r="F106" s="1">
        <f t="shared" si="43"/>
        <v>0</v>
      </c>
      <c r="G106" s="1">
        <f t="shared" si="43"/>
        <v>0</v>
      </c>
      <c r="H106" s="1">
        <f t="shared" si="43"/>
        <v>-85.29480104038123</v>
      </c>
      <c r="I106" s="1">
        <f t="shared" si="43"/>
        <v>0</v>
      </c>
      <c r="J106" s="1">
        <f t="shared" si="43"/>
        <v>-0.27174939284855371</v>
      </c>
      <c r="K106" s="1">
        <f t="shared" si="43"/>
        <v>-62.86695057000091</v>
      </c>
      <c r="L106" s="1">
        <f t="shared" si="43"/>
        <v>-73.123021682583655</v>
      </c>
      <c r="M106" s="1">
        <f t="shared" si="43"/>
        <v>-73.002614010398219</v>
      </c>
      <c r="N106" s="1">
        <f t="shared" si="43"/>
        <v>-57.81304134645238</v>
      </c>
      <c r="O106" s="1">
        <f t="shared" si="43"/>
        <v>-28.376404188422203</v>
      </c>
      <c r="P106" s="1">
        <f t="shared" si="43"/>
        <v>0</v>
      </c>
      <c r="Q106" s="1">
        <f t="shared" si="43"/>
        <v>0</v>
      </c>
      <c r="R106" s="1">
        <f t="shared" si="43"/>
        <v>0</v>
      </c>
      <c r="S106" s="1">
        <f t="shared" si="43"/>
        <v>0</v>
      </c>
      <c r="T106" s="1">
        <f t="shared" si="43"/>
        <v>0</v>
      </c>
      <c r="U106" s="1">
        <f t="shared" si="43"/>
        <v>0</v>
      </c>
      <c r="V106" s="1">
        <f t="shared" si="43"/>
        <v>0</v>
      </c>
      <c r="W106" s="1">
        <f>SUM(C106:V106)</f>
        <v>-380.7485822310872</v>
      </c>
    </row>
    <row r="107" spans="1:23" x14ac:dyDescent="0.15">
      <c r="A107" s="1" t="s">
        <v>46</v>
      </c>
      <c r="C107" s="1">
        <f t="shared" ref="C107:V107" si="44">-C83-C98</f>
        <v>0</v>
      </c>
      <c r="D107" s="1">
        <f t="shared" si="44"/>
        <v>0</v>
      </c>
      <c r="E107" s="1">
        <f t="shared" si="44"/>
        <v>0</v>
      </c>
      <c r="F107" s="1">
        <f t="shared" si="44"/>
        <v>0</v>
      </c>
      <c r="G107" s="1">
        <f t="shared" si="44"/>
        <v>0</v>
      </c>
      <c r="H107" s="1">
        <f t="shared" si="44"/>
        <v>0</v>
      </c>
      <c r="I107" s="1">
        <f t="shared" si="44"/>
        <v>0</v>
      </c>
      <c r="J107" s="1">
        <f t="shared" si="44"/>
        <v>0</v>
      </c>
      <c r="K107" s="1">
        <f t="shared" si="44"/>
        <v>0</v>
      </c>
      <c r="L107" s="1">
        <f t="shared" si="44"/>
        <v>0</v>
      </c>
      <c r="M107" s="1">
        <f t="shared" si="44"/>
        <v>0</v>
      </c>
      <c r="N107" s="1">
        <f t="shared" si="44"/>
        <v>0</v>
      </c>
      <c r="O107" s="1">
        <f t="shared" si="44"/>
        <v>-1025.1335153433138</v>
      </c>
      <c r="P107" s="1">
        <f t="shared" si="44"/>
        <v>0</v>
      </c>
      <c r="Q107" s="1">
        <f t="shared" si="44"/>
        <v>0</v>
      </c>
      <c r="R107" s="1">
        <f t="shared" si="44"/>
        <v>0</v>
      </c>
      <c r="S107" s="1">
        <f t="shared" si="44"/>
        <v>0</v>
      </c>
      <c r="T107" s="1">
        <f t="shared" si="44"/>
        <v>0</v>
      </c>
      <c r="U107" s="1">
        <f t="shared" si="44"/>
        <v>0</v>
      </c>
      <c r="V107" s="1">
        <f t="shared" si="44"/>
        <v>0</v>
      </c>
      <c r="W107" s="1">
        <f>SUM(C107:V107)</f>
        <v>-1025.1335153433138</v>
      </c>
    </row>
    <row r="108" spans="1:23" x14ac:dyDescent="0.15">
      <c r="A108" s="1" t="s">
        <v>32</v>
      </c>
      <c r="C108" s="3">
        <f t="shared" ref="C108:W108" si="45">SUM(C102:C107)</f>
        <v>26.437812022414619</v>
      </c>
      <c r="D108" s="3">
        <f t="shared" si="45"/>
        <v>54.475624044829239</v>
      </c>
      <c r="E108" s="3">
        <f t="shared" si="45"/>
        <v>82.720333652508728</v>
      </c>
      <c r="F108" s="3">
        <f t="shared" si="45"/>
        <v>111.17194084545332</v>
      </c>
      <c r="G108" s="3">
        <f t="shared" si="45"/>
        <v>139.830445623663</v>
      </c>
      <c r="H108" s="3">
        <f t="shared" si="45"/>
        <v>104.45745284640873</v>
      </c>
      <c r="I108" s="3">
        <f t="shared" si="45"/>
        <v>323.27718584958996</v>
      </c>
      <c r="J108" s="3">
        <f t="shared" si="45"/>
        <v>868.14738958884493</v>
      </c>
      <c r="K108" s="3">
        <f t="shared" si="45"/>
        <v>2002.844825451607</v>
      </c>
      <c r="L108" s="3">
        <f t="shared" si="45"/>
        <v>3124.5641093027784</v>
      </c>
      <c r="M108" s="3">
        <f t="shared" si="45"/>
        <v>4242.6711629883885</v>
      </c>
      <c r="N108" s="3">
        <f t="shared" si="45"/>
        <v>5118.9161799675412</v>
      </c>
      <c r="O108" s="3">
        <f t="shared" si="45"/>
        <v>4618.0467262624297</v>
      </c>
      <c r="P108" s="3">
        <f t="shared" si="45"/>
        <v>4618.0467262624297</v>
      </c>
      <c r="Q108" s="3">
        <f t="shared" si="45"/>
        <v>4618.0467262624297</v>
      </c>
      <c r="R108" s="3">
        <f t="shared" si="45"/>
        <v>4618.0467262624297</v>
      </c>
      <c r="S108" s="3">
        <f t="shared" si="45"/>
        <v>4618.0467262624297</v>
      </c>
      <c r="T108" s="3">
        <f t="shared" si="45"/>
        <v>4618.0467262624297</v>
      </c>
      <c r="U108" s="3">
        <f t="shared" si="45"/>
        <v>4618.0467262624297</v>
      </c>
      <c r="V108" s="3">
        <f t="shared" si="45"/>
        <v>4618.0467262624297</v>
      </c>
      <c r="W108" s="3">
        <f t="shared" si="45"/>
        <v>4618.0467262624306</v>
      </c>
    </row>
    <row r="110" spans="1:23" ht="14" thickBot="1" x14ac:dyDescent="0.2">
      <c r="A110" s="1" t="s">
        <v>34</v>
      </c>
      <c r="C110" s="7">
        <f t="shared" ref="C110:V110" si="46">C99+C108</f>
        <v>3992.1096153846156</v>
      </c>
      <c r="D110" s="7">
        <f t="shared" si="46"/>
        <v>8225.8192307692316</v>
      </c>
      <c r="E110" s="7">
        <f t="shared" si="46"/>
        <v>12490.770381528848</v>
      </c>
      <c r="F110" s="7">
        <f t="shared" si="46"/>
        <v>16786.963067663462</v>
      </c>
      <c r="G110" s="7">
        <f t="shared" si="46"/>
        <v>21114.397289173077</v>
      </c>
      <c r="H110" s="7">
        <f t="shared" si="46"/>
        <v>15773.075379807693</v>
      </c>
      <c r="I110" s="7">
        <f t="shared" si="46"/>
        <v>18336.432462914876</v>
      </c>
      <c r="J110" s="7">
        <f t="shared" si="46"/>
        <v>20950.767173076925</v>
      </c>
      <c r="K110" s="7">
        <f t="shared" si="46"/>
        <v>17291.155132211534</v>
      </c>
      <c r="L110" s="7">
        <f t="shared" si="46"/>
        <v>12069.617185096151</v>
      </c>
      <c r="M110" s="7">
        <f t="shared" si="46"/>
        <v>6848.0792379807644</v>
      </c>
      <c r="N110" s="7">
        <f t="shared" si="46"/>
        <v>2668.0766658653856</v>
      </c>
      <c r="O110" s="7">
        <f t="shared" si="46"/>
        <v>50</v>
      </c>
      <c r="P110" s="7">
        <f t="shared" si="46"/>
        <v>50</v>
      </c>
      <c r="Q110" s="7">
        <f t="shared" si="46"/>
        <v>50</v>
      </c>
      <c r="R110" s="7">
        <f t="shared" si="46"/>
        <v>50</v>
      </c>
      <c r="S110" s="7">
        <f t="shared" si="46"/>
        <v>50</v>
      </c>
      <c r="T110" s="7">
        <f t="shared" si="46"/>
        <v>50</v>
      </c>
      <c r="U110" s="7">
        <f t="shared" si="46"/>
        <v>50</v>
      </c>
      <c r="V110" s="7">
        <f t="shared" si="46"/>
        <v>50</v>
      </c>
    </row>
    <row r="111" spans="1:23" ht="14" thickTop="1" x14ac:dyDescent="0.15"/>
    <row r="114" spans="1:22" x14ac:dyDescent="0.15">
      <c r="A114" s="1" t="s">
        <v>87</v>
      </c>
      <c r="C114" s="13">
        <f>C21</f>
        <v>38718</v>
      </c>
      <c r="D114" s="13">
        <f>C114+547</f>
        <v>39265</v>
      </c>
      <c r="E114" s="13">
        <f>D114+365</f>
        <v>39630</v>
      </c>
      <c r="F114" s="13">
        <f t="shared" ref="F114:V114" si="47">E114+365</f>
        <v>39995</v>
      </c>
      <c r="G114" s="13">
        <f t="shared" si="47"/>
        <v>40360</v>
      </c>
      <c r="H114" s="13">
        <f t="shared" si="47"/>
        <v>40725</v>
      </c>
      <c r="I114" s="13">
        <f>H114+366</f>
        <v>41091</v>
      </c>
      <c r="J114" s="13">
        <f t="shared" si="47"/>
        <v>41456</v>
      </c>
      <c r="K114" s="13">
        <f t="shared" si="47"/>
        <v>41821</v>
      </c>
      <c r="L114" s="13">
        <f t="shared" si="47"/>
        <v>42186</v>
      </c>
      <c r="M114" s="13">
        <f>L114+366</f>
        <v>42552</v>
      </c>
      <c r="N114" s="13">
        <f t="shared" si="47"/>
        <v>42917</v>
      </c>
      <c r="O114" s="13">
        <f t="shared" si="47"/>
        <v>43282</v>
      </c>
      <c r="P114" s="13">
        <f t="shared" si="47"/>
        <v>43647</v>
      </c>
      <c r="Q114" s="13">
        <f>P114+366</f>
        <v>44013</v>
      </c>
      <c r="R114" s="13">
        <f t="shared" si="47"/>
        <v>44378</v>
      </c>
      <c r="S114" s="13">
        <f t="shared" si="47"/>
        <v>44743</v>
      </c>
      <c r="T114" s="13">
        <f t="shared" si="47"/>
        <v>45108</v>
      </c>
      <c r="U114" s="13">
        <f t="shared" si="47"/>
        <v>45473</v>
      </c>
      <c r="V114" s="13">
        <f t="shared" si="47"/>
        <v>45838</v>
      </c>
    </row>
    <row r="115" spans="1:22" x14ac:dyDescent="0.15">
      <c r="A115" s="1" t="s">
        <v>83</v>
      </c>
      <c r="C115" s="1">
        <f>-C94-C97-C98</f>
        <v>-4800</v>
      </c>
      <c r="D115" s="1">
        <f t="shared" ref="D115:V115" si="48">-D94-D97-D98</f>
        <v>-5040</v>
      </c>
      <c r="E115" s="1">
        <f t="shared" si="48"/>
        <v>-5040</v>
      </c>
      <c r="F115" s="1">
        <f t="shared" si="48"/>
        <v>-5040</v>
      </c>
      <c r="G115" s="1">
        <f t="shared" si="48"/>
        <v>-5040</v>
      </c>
      <c r="H115" s="1">
        <f t="shared" si="48"/>
        <v>7754.2201560571848</v>
      </c>
      <c r="I115" s="1">
        <f t="shared" si="48"/>
        <v>0</v>
      </c>
      <c r="J115" s="1">
        <f t="shared" si="48"/>
        <v>40.762408927283055</v>
      </c>
      <c r="K115" s="1">
        <f t="shared" si="48"/>
        <v>9430.0425855001358</v>
      </c>
      <c r="L115" s="1">
        <f t="shared" si="48"/>
        <v>10968.453252387548</v>
      </c>
      <c r="M115" s="1">
        <f t="shared" si="48"/>
        <v>10950.392101559733</v>
      </c>
      <c r="N115" s="1">
        <f t="shared" si="48"/>
        <v>8671.956201967856</v>
      </c>
      <c r="O115" s="1">
        <f t="shared" si="48"/>
        <v>4256.4606282633304</v>
      </c>
      <c r="P115" s="1">
        <f t="shared" si="48"/>
        <v>0</v>
      </c>
      <c r="Q115" s="1">
        <f t="shared" si="48"/>
        <v>0</v>
      </c>
      <c r="R115" s="1">
        <f t="shared" si="48"/>
        <v>0</v>
      </c>
      <c r="S115" s="1">
        <f t="shared" si="48"/>
        <v>0</v>
      </c>
      <c r="T115" s="1">
        <f t="shared" si="48"/>
        <v>0</v>
      </c>
      <c r="U115" s="1">
        <f t="shared" si="48"/>
        <v>0</v>
      </c>
      <c r="V115" s="1">
        <f t="shared" si="48"/>
        <v>0</v>
      </c>
    </row>
    <row r="116" spans="1:22" x14ac:dyDescent="0.15">
      <c r="A116" s="1" t="s">
        <v>84</v>
      </c>
      <c r="C116" s="1">
        <f>-C103-C106-C107</f>
        <v>-32</v>
      </c>
      <c r="D116" s="1">
        <f t="shared" ref="D116:V116" si="49">-D103-D106-D107</f>
        <v>-33.6</v>
      </c>
      <c r="E116" s="1">
        <f t="shared" si="49"/>
        <v>-33.6</v>
      </c>
      <c r="F116" s="1">
        <f t="shared" si="49"/>
        <v>-33.6</v>
      </c>
      <c r="G116" s="1">
        <f t="shared" si="49"/>
        <v>-33.6</v>
      </c>
      <c r="H116" s="1">
        <f t="shared" si="49"/>
        <v>51.694801040381229</v>
      </c>
      <c r="I116" s="1">
        <f t="shared" si="49"/>
        <v>0</v>
      </c>
      <c r="J116" s="1">
        <f t="shared" si="49"/>
        <v>0.27174939284855371</v>
      </c>
      <c r="K116" s="1">
        <f t="shared" si="49"/>
        <v>62.86695057000091</v>
      </c>
      <c r="L116" s="1">
        <f t="shared" si="49"/>
        <v>73.123021682583655</v>
      </c>
      <c r="M116" s="1">
        <f t="shared" si="49"/>
        <v>73.002614010398219</v>
      </c>
      <c r="N116" s="1">
        <f t="shared" si="49"/>
        <v>57.81304134645238</v>
      </c>
      <c r="O116" s="1">
        <f t="shared" si="49"/>
        <v>1053.5099195317359</v>
      </c>
      <c r="P116" s="1">
        <f t="shared" si="49"/>
        <v>0</v>
      </c>
      <c r="Q116" s="1">
        <f t="shared" si="49"/>
        <v>0</v>
      </c>
      <c r="R116" s="1">
        <f t="shared" si="49"/>
        <v>0</v>
      </c>
      <c r="S116" s="1">
        <f t="shared" si="49"/>
        <v>0</v>
      </c>
      <c r="T116" s="1">
        <f t="shared" si="49"/>
        <v>0</v>
      </c>
      <c r="U116" s="1">
        <f t="shared" si="49"/>
        <v>0</v>
      </c>
      <c r="V116" s="1">
        <f t="shared" si="49"/>
        <v>0</v>
      </c>
    </row>
    <row r="119" spans="1:22" x14ac:dyDescent="0.15">
      <c r="A119" s="2" t="s">
        <v>81</v>
      </c>
    </row>
    <row r="121" spans="1:22" x14ac:dyDescent="0.15">
      <c r="A121" s="1" t="s">
        <v>90</v>
      </c>
      <c r="C121" s="14">
        <f>XIRR(C115:V115,C114:V114)</f>
        <v>0.11098267436027526</v>
      </c>
    </row>
    <row r="122" spans="1:22" x14ac:dyDescent="0.15">
      <c r="A122" s="1" t="s">
        <v>91</v>
      </c>
      <c r="B122"/>
      <c r="C122" s="14">
        <f>XIRR(C116:V116,C114:V114)</f>
        <v>0.25870792269706722</v>
      </c>
      <c r="D122"/>
      <c r="E122"/>
      <c r="F122"/>
      <c r="G122"/>
      <c r="H122"/>
      <c r="I122"/>
      <c r="J122"/>
      <c r="K122"/>
      <c r="L122"/>
      <c r="M122"/>
      <c r="N122"/>
      <c r="O122"/>
    </row>
    <row r="125" spans="1:22" x14ac:dyDescent="0.15">
      <c r="A125" s="5" t="s">
        <v>88</v>
      </c>
      <c r="B125" s="6" t="s">
        <v>86</v>
      </c>
    </row>
    <row r="126" spans="1:22" x14ac:dyDescent="0.15">
      <c r="A126" s="5" t="s">
        <v>85</v>
      </c>
      <c r="B126" s="6" t="s">
        <v>89</v>
      </c>
    </row>
  </sheetData>
  <mergeCells count="1">
    <mergeCell ref="F6:G6"/>
  </mergeCells>
  <phoneticPr fontId="0" type="noConversion"/>
  <pageMargins left="0.33300000000000002" right="0.67" top="1.4" bottom="0.3" header="0.5" footer="0.5"/>
  <pageSetup scale="49" fitToHeight="3" orientation="landscape" horizontalDpi="4294967293"/>
  <headerFooter alignWithMargins="0">
    <oddFooter>&amp;L&amp;D&amp;C&amp;R&amp;P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9"/>
  <sheetViews>
    <sheetView workbookViewId="0">
      <selection activeCell="B1" sqref="B1"/>
    </sheetView>
  </sheetViews>
  <sheetFormatPr baseColWidth="10" defaultRowHeight="13" x14ac:dyDescent="0.15"/>
  <cols>
    <col min="1" max="1" width="9" customWidth="1"/>
    <col min="2" max="2" width="9.59765625" bestFit="1" customWidth="1"/>
    <col min="3" max="256" width="9" customWidth="1"/>
  </cols>
  <sheetData>
    <row r="1" spans="1:2" x14ac:dyDescent="0.15">
      <c r="A1">
        <v>1</v>
      </c>
      <c r="B1">
        <f>SUM('Fund Economics'!$C$52:C$53)</f>
        <v>825.27499999999998</v>
      </c>
    </row>
    <row r="2" spans="1:2" x14ac:dyDescent="0.15">
      <c r="A2">
        <v>2</v>
      </c>
      <c r="B2">
        <f>SUM('Fund Economics'!$C$52:D$53)</f>
        <v>1650.5500000000002</v>
      </c>
    </row>
    <row r="3" spans="1:2" x14ac:dyDescent="0.15">
      <c r="A3">
        <v>3</v>
      </c>
      <c r="B3">
        <f>SUM('Fund Economics'!$C$52:E$53)</f>
        <v>2475.8250000000003</v>
      </c>
    </row>
    <row r="4" spans="1:2" x14ac:dyDescent="0.15">
      <c r="A4">
        <v>4</v>
      </c>
      <c r="B4">
        <f>SUM('Fund Economics'!$C$52:F$53)</f>
        <v>3301.1000000000004</v>
      </c>
    </row>
    <row r="5" spans="1:2" x14ac:dyDescent="0.15">
      <c r="A5">
        <v>5</v>
      </c>
      <c r="B5">
        <f>SUM('Fund Economics'!$C$52:G$53)</f>
        <v>4126.375</v>
      </c>
    </row>
    <row r="6" spans="1:2" x14ac:dyDescent="0.15">
      <c r="A6">
        <v>6</v>
      </c>
      <c r="B6">
        <f>SUM('Fund Economics'!$C$52:H$53)</f>
        <v>4876.6249999999982</v>
      </c>
    </row>
    <row r="7" spans="1:2" x14ac:dyDescent="0.15">
      <c r="A7">
        <v>7</v>
      </c>
      <c r="B7">
        <f>SUM('Fund Economics'!$C$52:I$53)</f>
        <v>5559.3524999999981</v>
      </c>
    </row>
    <row r="8" spans="1:2" x14ac:dyDescent="0.15">
      <c r="A8">
        <v>8</v>
      </c>
      <c r="B8">
        <f>SUM('Fund Economics'!$C$52:J$53)</f>
        <v>6181.3097499999976</v>
      </c>
    </row>
    <row r="9" spans="1:2" x14ac:dyDescent="0.15">
      <c r="A9">
        <v>9</v>
      </c>
      <c r="B9">
        <f>SUM('Fund Economics'!$C$52:K$53)</f>
        <v>6748.5737749999971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Fund Economics</vt:lpstr>
      <vt:lpstr> </vt:lpstr>
      <vt:lpstr>DTRYRINVEST</vt:lpstr>
      <vt:lpstr>DTYRINVEST</vt:lpstr>
      <vt:lpstr>GUAR2YR</vt:lpstr>
      <vt:lpstr>GUARR2YR</vt:lpstr>
    </vt:vector>
  </TitlesOfParts>
  <Company>Cimarron Capital Partners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Carlos Soto</dc:creator>
  <cp:lastModifiedBy>Lukas Köbis</cp:lastModifiedBy>
  <cp:lastPrinted>2006-11-01T20:01:47Z</cp:lastPrinted>
  <dcterms:created xsi:type="dcterms:W3CDTF">2001-04-06T19:35:09Z</dcterms:created>
  <dcterms:modified xsi:type="dcterms:W3CDTF">2019-07-26T11:34:13Z</dcterms:modified>
</cp:coreProperties>
</file>